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E141BC4F-8F45-4705-A4F4-12C284BC5B79}" xr6:coauthVersionLast="47" xr6:coauthVersionMax="47" xr10:uidLastSave="{00000000-0000-0000-0000-000000000000}"/>
  <bookViews>
    <workbookView xWindow="-300" yWindow="0" windowWidth="11040" windowHeight="10920" firstSheet="1" activeTab="1" xr2:uid="{00000000-000D-0000-FFFF-FFFF00000000}"/>
  </bookViews>
  <sheets>
    <sheet name="Daftar perusahaan" sheetId="1" r:id="rId1"/>
    <sheet name="Tabulasi" sheetId="11" r:id="rId2"/>
    <sheet name="Perencanaan Pajak" sheetId="10" r:id="rId3"/>
    <sheet name="Profitabilitas" sheetId="9" r:id="rId4"/>
    <sheet name="Perubahan Tarif Pajak " sheetId="7" r:id="rId5"/>
    <sheet name="Manajemen Laba" sheetId="8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0" l="1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2" i="10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3" i="9"/>
  <c r="AB3" i="8"/>
  <c r="AQ3" i="8" s="1"/>
  <c r="Y4" i="8"/>
  <c r="AK4" i="8" s="1"/>
  <c r="Y6" i="8"/>
  <c r="AK6" i="8" s="1"/>
  <c r="Y9" i="8"/>
  <c r="AK9" i="8" s="1"/>
  <c r="Y14" i="8"/>
  <c r="AK14" i="8" s="1"/>
  <c r="Y19" i="8"/>
  <c r="AK19" i="8" s="1"/>
  <c r="Y20" i="8"/>
  <c r="AK20" i="8" s="1"/>
  <c r="Y25" i="8"/>
  <c r="AK25" i="8" s="1"/>
  <c r="Y26" i="8"/>
  <c r="AK26" i="8" s="1"/>
  <c r="Y27" i="8"/>
  <c r="AK27" i="8" s="1"/>
  <c r="Y28" i="8"/>
  <c r="AK28" i="8" s="1"/>
  <c r="X4" i="8"/>
  <c r="AJ4" i="8" s="1"/>
  <c r="X5" i="8"/>
  <c r="AJ5" i="8" s="1"/>
  <c r="X6" i="8"/>
  <c r="AJ6" i="8" s="1"/>
  <c r="X8" i="8"/>
  <c r="AJ8" i="8" s="1"/>
  <c r="X9" i="8"/>
  <c r="AJ9" i="8" s="1"/>
  <c r="X12" i="8"/>
  <c r="AJ12" i="8" s="1"/>
  <c r="X14" i="8"/>
  <c r="AJ14" i="8" s="1"/>
  <c r="X19" i="8"/>
  <c r="AJ19" i="8" s="1"/>
  <c r="X20" i="8"/>
  <c r="AJ20" i="8" s="1"/>
  <c r="X25" i="8"/>
  <c r="AJ25" i="8" s="1"/>
  <c r="X26" i="8"/>
  <c r="AJ26" i="8" s="1"/>
  <c r="X27" i="8"/>
  <c r="AJ27" i="8" s="1"/>
  <c r="X28" i="8"/>
  <c r="AJ28" i="8" s="1"/>
  <c r="W29" i="8"/>
  <c r="V29" i="8"/>
  <c r="W24" i="8"/>
  <c r="V24" i="8"/>
  <c r="W23" i="8"/>
  <c r="V23" i="8"/>
  <c r="W22" i="8"/>
  <c r="V22" i="8"/>
  <c r="W21" i="8"/>
  <c r="V21" i="8"/>
  <c r="W18" i="8"/>
  <c r="V18" i="8"/>
  <c r="W17" i="8"/>
  <c r="V17" i="8"/>
  <c r="W16" i="8"/>
  <c r="V16" i="8"/>
  <c r="W15" i="8"/>
  <c r="V15" i="8"/>
  <c r="W13" i="8"/>
  <c r="V13" i="8"/>
  <c r="W11" i="8"/>
  <c r="V11" i="8"/>
  <c r="W10" i="8"/>
  <c r="V10" i="8"/>
  <c r="W7" i="8"/>
  <c r="V7" i="8"/>
  <c r="W3" i="8"/>
  <c r="V3" i="8"/>
  <c r="T29" i="8"/>
  <c r="X29" i="8" s="1"/>
  <c r="AJ29" i="8" s="1"/>
  <c r="T24" i="8"/>
  <c r="X24" i="8" s="1"/>
  <c r="AJ24" i="8" s="1"/>
  <c r="T23" i="8"/>
  <c r="X23" i="8" s="1"/>
  <c r="AJ23" i="8" s="1"/>
  <c r="T22" i="8"/>
  <c r="X22" i="8" s="1"/>
  <c r="AJ22" i="8" s="1"/>
  <c r="T21" i="8"/>
  <c r="X21" i="8" s="1"/>
  <c r="AJ21" i="8" s="1"/>
  <c r="T18" i="8"/>
  <c r="X18" i="8" s="1"/>
  <c r="AJ18" i="8" s="1"/>
  <c r="T17" i="8"/>
  <c r="X17" i="8" s="1"/>
  <c r="AJ17" i="8" s="1"/>
  <c r="T16" i="8"/>
  <c r="X16" i="8" s="1"/>
  <c r="AJ16" i="8" s="1"/>
  <c r="T15" i="8"/>
  <c r="X15" i="8" s="1"/>
  <c r="AJ15" i="8" s="1"/>
  <c r="T13" i="8"/>
  <c r="X13" i="8" s="1"/>
  <c r="AJ13" i="8" s="1"/>
  <c r="T11" i="8"/>
  <c r="X11" i="8" s="1"/>
  <c r="AJ11" i="8" s="1"/>
  <c r="T10" i="8"/>
  <c r="X10" i="8" s="1"/>
  <c r="AJ10" i="8" s="1"/>
  <c r="T7" i="8"/>
  <c r="X7" i="8" s="1"/>
  <c r="AJ7" i="8" s="1"/>
  <c r="T3" i="8"/>
  <c r="X3" i="8" s="1"/>
  <c r="AJ3" i="8" s="1"/>
  <c r="U29" i="8"/>
  <c r="Y29" i="8" s="1"/>
  <c r="AK29" i="8" s="1"/>
  <c r="U24" i="8"/>
  <c r="Y24" i="8" s="1"/>
  <c r="AK24" i="8" s="1"/>
  <c r="U23" i="8"/>
  <c r="Y23" i="8" s="1"/>
  <c r="AK23" i="8" s="1"/>
  <c r="U22" i="8"/>
  <c r="Y22" i="8" s="1"/>
  <c r="AK22" i="8" s="1"/>
  <c r="U21" i="8"/>
  <c r="Y21" i="8" s="1"/>
  <c r="AK21" i="8" s="1"/>
  <c r="U18" i="8"/>
  <c r="Y18" i="8" s="1"/>
  <c r="AK18" i="8" s="1"/>
  <c r="U17" i="8"/>
  <c r="Y17" i="8" s="1"/>
  <c r="AK17" i="8" s="1"/>
  <c r="U16" i="8"/>
  <c r="Y16" i="8" s="1"/>
  <c r="AK16" i="8" s="1"/>
  <c r="U15" i="8"/>
  <c r="Y15" i="8" s="1"/>
  <c r="AK15" i="8" s="1"/>
  <c r="U13" i="8"/>
  <c r="Y13" i="8" s="1"/>
  <c r="AK13" i="8" s="1"/>
  <c r="U12" i="8"/>
  <c r="Y12" i="8" s="1"/>
  <c r="AK12" i="8" s="1"/>
  <c r="U11" i="8"/>
  <c r="Y11" i="8" s="1"/>
  <c r="AK11" i="8" s="1"/>
  <c r="U10" i="8"/>
  <c r="Y10" i="8" s="1"/>
  <c r="AK10" i="8" s="1"/>
  <c r="U8" i="8"/>
  <c r="Y8" i="8" s="1"/>
  <c r="AK8" i="8" s="1"/>
  <c r="U7" i="8"/>
  <c r="Y7" i="8" s="1"/>
  <c r="AK7" i="8" s="1"/>
  <c r="U5" i="8"/>
  <c r="Y5" i="8" s="1"/>
  <c r="AK5" i="8" s="1"/>
  <c r="U3" i="8"/>
  <c r="Y3" i="8" s="1"/>
  <c r="AK3" i="8" s="1"/>
  <c r="AF4" i="8" l="1"/>
  <c r="AU4" i="8" s="1"/>
  <c r="AF5" i="8"/>
  <c r="AU5" i="8" s="1"/>
  <c r="AF6" i="8"/>
  <c r="AU6" i="8" s="1"/>
  <c r="AF7" i="8"/>
  <c r="AU7" i="8" s="1"/>
  <c r="AF8" i="8"/>
  <c r="AU8" i="8" s="1"/>
  <c r="AF9" i="8"/>
  <c r="AU9" i="8" s="1"/>
  <c r="AF10" i="8"/>
  <c r="AU10" i="8" s="1"/>
  <c r="AF11" i="8"/>
  <c r="AU11" i="8" s="1"/>
  <c r="AF12" i="8"/>
  <c r="AU12" i="8" s="1"/>
  <c r="AF13" i="8"/>
  <c r="AU13" i="8" s="1"/>
  <c r="AF14" i="8"/>
  <c r="AU14" i="8" s="1"/>
  <c r="AF15" i="8"/>
  <c r="AU15" i="8" s="1"/>
  <c r="AF16" i="8"/>
  <c r="AU16" i="8" s="1"/>
  <c r="AF17" i="8"/>
  <c r="AU17" i="8" s="1"/>
  <c r="AF18" i="8"/>
  <c r="AU18" i="8" s="1"/>
  <c r="AF19" i="8"/>
  <c r="AU19" i="8" s="1"/>
  <c r="AF20" i="8"/>
  <c r="AU20" i="8" s="1"/>
  <c r="AF21" i="8"/>
  <c r="AU21" i="8" s="1"/>
  <c r="AF22" i="8"/>
  <c r="AU22" i="8" s="1"/>
  <c r="AF23" i="8"/>
  <c r="AU23" i="8" s="1"/>
  <c r="AF24" i="8"/>
  <c r="AU24" i="8" s="1"/>
  <c r="AF25" i="8"/>
  <c r="AU25" i="8" s="1"/>
  <c r="AF26" i="8"/>
  <c r="AU26" i="8" s="1"/>
  <c r="AF27" i="8"/>
  <c r="AU27" i="8" s="1"/>
  <c r="AF28" i="8"/>
  <c r="AU28" i="8" s="1"/>
  <c r="AF29" i="8"/>
  <c r="AU29" i="8" s="1"/>
  <c r="AF3" i="8"/>
  <c r="AU3" i="8" s="1"/>
  <c r="AC4" i="8"/>
  <c r="AR4" i="8" s="1"/>
  <c r="AC5" i="8"/>
  <c r="AR5" i="8" s="1"/>
  <c r="AC6" i="8"/>
  <c r="AR6" i="8" s="1"/>
  <c r="AC7" i="8"/>
  <c r="AR7" i="8" s="1"/>
  <c r="AC8" i="8"/>
  <c r="AR8" i="8" s="1"/>
  <c r="AC9" i="8"/>
  <c r="AR9" i="8" s="1"/>
  <c r="AC10" i="8"/>
  <c r="AR10" i="8" s="1"/>
  <c r="AC11" i="8"/>
  <c r="AR11" i="8" s="1"/>
  <c r="AC12" i="8"/>
  <c r="AR12" i="8" s="1"/>
  <c r="AC13" i="8"/>
  <c r="AR13" i="8" s="1"/>
  <c r="AC14" i="8"/>
  <c r="AR14" i="8" s="1"/>
  <c r="AC15" i="8"/>
  <c r="AR15" i="8" s="1"/>
  <c r="AC16" i="8"/>
  <c r="AR16" i="8" s="1"/>
  <c r="AC17" i="8"/>
  <c r="AR17" i="8" s="1"/>
  <c r="AC18" i="8"/>
  <c r="AR18" i="8" s="1"/>
  <c r="AC19" i="8"/>
  <c r="AR19" i="8" s="1"/>
  <c r="AC20" i="8"/>
  <c r="AR20" i="8" s="1"/>
  <c r="AC21" i="8"/>
  <c r="AR21" i="8" s="1"/>
  <c r="AC22" i="8"/>
  <c r="AR22" i="8" s="1"/>
  <c r="AC23" i="8"/>
  <c r="AR23" i="8" s="1"/>
  <c r="AC24" i="8"/>
  <c r="AR24" i="8" s="1"/>
  <c r="AC25" i="8"/>
  <c r="AR25" i="8" s="1"/>
  <c r="AC26" i="8"/>
  <c r="AR26" i="8" s="1"/>
  <c r="AC27" i="8"/>
  <c r="AR27" i="8" s="1"/>
  <c r="AC28" i="8"/>
  <c r="AR28" i="8" s="1"/>
  <c r="AC29" i="8"/>
  <c r="AR29" i="8" s="1"/>
  <c r="AC3" i="8"/>
  <c r="AR3" i="8" s="1"/>
  <c r="AB4" i="8"/>
  <c r="AQ4" i="8" s="1"/>
  <c r="AB5" i="8"/>
  <c r="AQ5" i="8" s="1"/>
  <c r="AB6" i="8"/>
  <c r="AQ6" i="8" s="1"/>
  <c r="AB7" i="8"/>
  <c r="AQ7" i="8" s="1"/>
  <c r="AB8" i="8"/>
  <c r="AQ8" i="8" s="1"/>
  <c r="AB9" i="8"/>
  <c r="AQ9" i="8" s="1"/>
  <c r="AB10" i="8"/>
  <c r="AQ10" i="8" s="1"/>
  <c r="AB11" i="8"/>
  <c r="AQ11" i="8" s="1"/>
  <c r="AB12" i="8"/>
  <c r="AQ12" i="8" s="1"/>
  <c r="AB13" i="8"/>
  <c r="AQ13" i="8" s="1"/>
  <c r="AB14" i="8"/>
  <c r="AQ14" i="8" s="1"/>
  <c r="AB15" i="8"/>
  <c r="AQ15" i="8" s="1"/>
  <c r="AB16" i="8"/>
  <c r="AQ16" i="8" s="1"/>
  <c r="AB17" i="8"/>
  <c r="AQ17" i="8" s="1"/>
  <c r="AB18" i="8"/>
  <c r="AQ18" i="8" s="1"/>
  <c r="AB19" i="8"/>
  <c r="AQ19" i="8" s="1"/>
  <c r="AB20" i="8"/>
  <c r="AQ20" i="8" s="1"/>
  <c r="AB21" i="8"/>
  <c r="AQ21" i="8" s="1"/>
  <c r="AB22" i="8"/>
  <c r="AQ22" i="8" s="1"/>
  <c r="AB23" i="8"/>
  <c r="AQ23" i="8" s="1"/>
  <c r="AB24" i="8"/>
  <c r="AQ24" i="8" s="1"/>
  <c r="AB25" i="8"/>
  <c r="AQ25" i="8" s="1"/>
  <c r="AB26" i="8"/>
  <c r="AQ26" i="8" s="1"/>
  <c r="AB27" i="8"/>
  <c r="AQ27" i="8" s="1"/>
  <c r="AB28" i="8"/>
  <c r="AQ28" i="8" s="1"/>
  <c r="AB29" i="8"/>
  <c r="AQ29" i="8" s="1"/>
  <c r="P3" i="8"/>
  <c r="H3" i="8"/>
  <c r="Z3" i="8" s="1"/>
  <c r="AD3" i="8" l="1"/>
  <c r="AH3" i="8"/>
  <c r="AL3" i="8" l="1"/>
  <c r="BA3" i="8" s="1"/>
  <c r="BE3" i="8" s="1"/>
  <c r="AS3" i="8"/>
  <c r="AW3" i="8" s="1"/>
  <c r="BG3" i="8" s="1"/>
  <c r="H27" i="8"/>
  <c r="I27" i="8"/>
  <c r="H28" i="8"/>
  <c r="I28" i="8"/>
  <c r="H29" i="8"/>
  <c r="I29" i="8"/>
  <c r="AG4" i="8" l="1"/>
  <c r="AV4" i="8" s="1"/>
  <c r="AG5" i="8"/>
  <c r="AV5" i="8" s="1"/>
  <c r="AG6" i="8"/>
  <c r="AV6" i="8" s="1"/>
  <c r="AG7" i="8"/>
  <c r="AV7" i="8" s="1"/>
  <c r="AG8" i="8"/>
  <c r="AV8" i="8" s="1"/>
  <c r="AG9" i="8"/>
  <c r="AV9" i="8" s="1"/>
  <c r="AG10" i="8"/>
  <c r="AV10" i="8" s="1"/>
  <c r="AG11" i="8"/>
  <c r="AV11" i="8" s="1"/>
  <c r="AG12" i="8"/>
  <c r="AV12" i="8" s="1"/>
  <c r="AG13" i="8"/>
  <c r="AV13" i="8" s="1"/>
  <c r="AG14" i="8"/>
  <c r="AV14" i="8" s="1"/>
  <c r="AG15" i="8"/>
  <c r="AV15" i="8" s="1"/>
  <c r="AG16" i="8"/>
  <c r="AV16" i="8" s="1"/>
  <c r="AG17" i="8"/>
  <c r="AV17" i="8" s="1"/>
  <c r="AG18" i="8"/>
  <c r="AV18" i="8" s="1"/>
  <c r="AG19" i="8"/>
  <c r="AV19" i="8" s="1"/>
  <c r="AG20" i="8"/>
  <c r="AV20" i="8" s="1"/>
  <c r="AG21" i="8"/>
  <c r="AV21" i="8" s="1"/>
  <c r="AG22" i="8"/>
  <c r="AV22" i="8" s="1"/>
  <c r="AG23" i="8"/>
  <c r="AV23" i="8" s="1"/>
  <c r="AG24" i="8"/>
  <c r="AV24" i="8" s="1"/>
  <c r="AG25" i="8"/>
  <c r="AV25" i="8" s="1"/>
  <c r="AG26" i="8"/>
  <c r="AV26" i="8" s="1"/>
  <c r="AG27" i="8"/>
  <c r="AV27" i="8" s="1"/>
  <c r="AG28" i="8"/>
  <c r="AV28" i="8" s="1"/>
  <c r="AG29" i="8"/>
  <c r="AV29" i="8" s="1"/>
  <c r="AG3" i="8"/>
  <c r="AV3" i="8" s="1"/>
  <c r="O4" i="8" l="1"/>
  <c r="O5" i="8"/>
  <c r="O6" i="8"/>
  <c r="O7" i="8"/>
  <c r="Q7" i="8" s="1"/>
  <c r="O8" i="8"/>
  <c r="O9" i="8"/>
  <c r="Q9" i="8" s="1"/>
  <c r="O10" i="8"/>
  <c r="Q10" i="8" s="1"/>
  <c r="O11" i="8"/>
  <c r="Q11" i="8" s="1"/>
  <c r="O12" i="8"/>
  <c r="O13" i="8"/>
  <c r="Q13" i="8" s="1"/>
  <c r="O14" i="8"/>
  <c r="Q14" i="8" s="1"/>
  <c r="O15" i="8"/>
  <c r="Q15" i="8" s="1"/>
  <c r="O16" i="8"/>
  <c r="O17" i="8"/>
  <c r="O18" i="8"/>
  <c r="Q18" i="8" s="1"/>
  <c r="O19" i="8"/>
  <c r="Q19" i="8" s="1"/>
  <c r="O20" i="8"/>
  <c r="O21" i="8"/>
  <c r="O22" i="8"/>
  <c r="Q22" i="8" s="1"/>
  <c r="O23" i="8"/>
  <c r="Q23" i="8" s="1"/>
  <c r="O24" i="8"/>
  <c r="O25" i="8"/>
  <c r="Q25" i="8" s="1"/>
  <c r="O26" i="8"/>
  <c r="Q26" i="8" s="1"/>
  <c r="O27" i="8"/>
  <c r="Q27" i="8" s="1"/>
  <c r="O28" i="8"/>
  <c r="O29" i="8"/>
  <c r="Q29" i="8" s="1"/>
  <c r="O3" i="8"/>
  <c r="Q28" i="8"/>
  <c r="Q4" i="8"/>
  <c r="Q5" i="8"/>
  <c r="Q6" i="8"/>
  <c r="Q8" i="8"/>
  <c r="Q12" i="8"/>
  <c r="Q16" i="8"/>
  <c r="Q17" i="8"/>
  <c r="Q20" i="8"/>
  <c r="AI20" i="8" s="1"/>
  <c r="Q21" i="8"/>
  <c r="Q24" i="8"/>
  <c r="Q3" i="8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AE20" i="8"/>
  <c r="AM20" i="8" l="1"/>
  <c r="BB20" i="8" s="1"/>
  <c r="BF20" i="8" s="1"/>
  <c r="AT20" i="8"/>
  <c r="AX20" i="8" s="1"/>
  <c r="BH20" i="8" s="1"/>
  <c r="AE3" i="8"/>
  <c r="AI3" i="8"/>
  <c r="AE24" i="8"/>
  <c r="AI24" i="8"/>
  <c r="AE21" i="8"/>
  <c r="AI21" i="8"/>
  <c r="AE17" i="8"/>
  <c r="AI17" i="8"/>
  <c r="AE16" i="8"/>
  <c r="AI16" i="8"/>
  <c r="AE12" i="8"/>
  <c r="AI12" i="8"/>
  <c r="AE8" i="8"/>
  <c r="AI8" i="8"/>
  <c r="AE6" i="8"/>
  <c r="AI6" i="8"/>
  <c r="AE5" i="8"/>
  <c r="AI5" i="8"/>
  <c r="AE4" i="8"/>
  <c r="AI4" i="8"/>
  <c r="AE28" i="8"/>
  <c r="AI28" i="8"/>
  <c r="AE29" i="8"/>
  <c r="AI29" i="8"/>
  <c r="AE27" i="8"/>
  <c r="AI27" i="8"/>
  <c r="AE26" i="8"/>
  <c r="AI26" i="8"/>
  <c r="AE25" i="8"/>
  <c r="AI25" i="8"/>
  <c r="AE23" i="8"/>
  <c r="AI23" i="8"/>
  <c r="AE22" i="8"/>
  <c r="AI22" i="8"/>
  <c r="AE19" i="8"/>
  <c r="AI19" i="8"/>
  <c r="AE18" i="8"/>
  <c r="AI18" i="8"/>
  <c r="AE15" i="8"/>
  <c r="AI15" i="8"/>
  <c r="AE14" i="8"/>
  <c r="AI14" i="8"/>
  <c r="AE13" i="8"/>
  <c r="AI13" i="8"/>
  <c r="AE11" i="8"/>
  <c r="AI11" i="8"/>
  <c r="AE10" i="8"/>
  <c r="AI10" i="8"/>
  <c r="AE9" i="8"/>
  <c r="AI9" i="8"/>
  <c r="AE7" i="8"/>
  <c r="AI7" i="8"/>
  <c r="AD29" i="8"/>
  <c r="AH29" i="8"/>
  <c r="AD28" i="8"/>
  <c r="AH28" i="8"/>
  <c r="AD27" i="8"/>
  <c r="AH27" i="8"/>
  <c r="AD26" i="8"/>
  <c r="AH26" i="8"/>
  <c r="AD25" i="8"/>
  <c r="AH25" i="8"/>
  <c r="AD24" i="8"/>
  <c r="AH24" i="8"/>
  <c r="AD23" i="8"/>
  <c r="AH23" i="8"/>
  <c r="AD22" i="8"/>
  <c r="AH22" i="8"/>
  <c r="AD21" i="8"/>
  <c r="AH21" i="8"/>
  <c r="AD20" i="8"/>
  <c r="AH20" i="8"/>
  <c r="AD19" i="8"/>
  <c r="AH19" i="8"/>
  <c r="AD18" i="8"/>
  <c r="AH18" i="8"/>
  <c r="AD17" i="8"/>
  <c r="AH17" i="8"/>
  <c r="AD16" i="8"/>
  <c r="AH16" i="8"/>
  <c r="AD15" i="8"/>
  <c r="AH15" i="8"/>
  <c r="AD14" i="8"/>
  <c r="AH14" i="8"/>
  <c r="AD13" i="8"/>
  <c r="AH13" i="8"/>
  <c r="AD12" i="8"/>
  <c r="AH12" i="8"/>
  <c r="AD11" i="8"/>
  <c r="AH11" i="8"/>
  <c r="AD10" i="8"/>
  <c r="AH10" i="8"/>
  <c r="AD9" i="8"/>
  <c r="AH9" i="8"/>
  <c r="AD8" i="8"/>
  <c r="AH8" i="8"/>
  <c r="AD7" i="8"/>
  <c r="AH7" i="8"/>
  <c r="AD6" i="8"/>
  <c r="AH6" i="8"/>
  <c r="AD5" i="8"/>
  <c r="AH5" i="8"/>
  <c r="AD4" i="8"/>
  <c r="AH4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AL4" i="8" l="1"/>
  <c r="BA4" i="8" s="1"/>
  <c r="BE4" i="8" s="1"/>
  <c r="AS4" i="8"/>
  <c r="AW4" i="8" s="1"/>
  <c r="BG4" i="8" s="1"/>
  <c r="AL5" i="8"/>
  <c r="BA5" i="8" s="1"/>
  <c r="BE5" i="8" s="1"/>
  <c r="AS5" i="8"/>
  <c r="AW5" i="8" s="1"/>
  <c r="BG5" i="8" s="1"/>
  <c r="AL6" i="8"/>
  <c r="BA6" i="8" s="1"/>
  <c r="BE6" i="8" s="1"/>
  <c r="AS6" i="8"/>
  <c r="AW6" i="8" s="1"/>
  <c r="BG6" i="8" s="1"/>
  <c r="AL7" i="8"/>
  <c r="BA7" i="8" s="1"/>
  <c r="BE7" i="8" s="1"/>
  <c r="AS7" i="8"/>
  <c r="AW7" i="8" s="1"/>
  <c r="BG7" i="8" s="1"/>
  <c r="AL8" i="8"/>
  <c r="BA8" i="8" s="1"/>
  <c r="BE8" i="8" s="1"/>
  <c r="AS8" i="8"/>
  <c r="AW8" i="8" s="1"/>
  <c r="BG8" i="8" s="1"/>
  <c r="AL9" i="8"/>
  <c r="BA9" i="8" s="1"/>
  <c r="BE9" i="8" s="1"/>
  <c r="AS9" i="8"/>
  <c r="AW9" i="8" s="1"/>
  <c r="BG9" i="8" s="1"/>
  <c r="AL10" i="8"/>
  <c r="BA10" i="8" s="1"/>
  <c r="BE10" i="8" s="1"/>
  <c r="AS10" i="8"/>
  <c r="AW10" i="8" s="1"/>
  <c r="BG10" i="8" s="1"/>
  <c r="AL11" i="8"/>
  <c r="BA11" i="8" s="1"/>
  <c r="BE11" i="8" s="1"/>
  <c r="AS11" i="8"/>
  <c r="AW11" i="8" s="1"/>
  <c r="BG11" i="8" s="1"/>
  <c r="AL12" i="8"/>
  <c r="BA12" i="8" s="1"/>
  <c r="BE12" i="8" s="1"/>
  <c r="AS12" i="8"/>
  <c r="AW12" i="8" s="1"/>
  <c r="BG12" i="8" s="1"/>
  <c r="AL13" i="8"/>
  <c r="BA13" i="8" s="1"/>
  <c r="BE13" i="8" s="1"/>
  <c r="AS13" i="8"/>
  <c r="AW13" i="8" s="1"/>
  <c r="BG13" i="8" s="1"/>
  <c r="AL14" i="8"/>
  <c r="BA14" i="8" s="1"/>
  <c r="BE14" i="8" s="1"/>
  <c r="AS14" i="8"/>
  <c r="AW14" i="8" s="1"/>
  <c r="BG14" i="8" s="1"/>
  <c r="AL15" i="8"/>
  <c r="BA15" i="8" s="1"/>
  <c r="BE15" i="8" s="1"/>
  <c r="AS15" i="8"/>
  <c r="AW15" i="8" s="1"/>
  <c r="BG15" i="8" s="1"/>
  <c r="AL16" i="8"/>
  <c r="BA16" i="8" s="1"/>
  <c r="BE16" i="8" s="1"/>
  <c r="AS16" i="8"/>
  <c r="AW16" i="8" s="1"/>
  <c r="BG16" i="8" s="1"/>
  <c r="AL17" i="8"/>
  <c r="BA17" i="8" s="1"/>
  <c r="BE17" i="8" s="1"/>
  <c r="AS17" i="8"/>
  <c r="AW17" i="8" s="1"/>
  <c r="BG17" i="8" s="1"/>
  <c r="AL18" i="8"/>
  <c r="BA18" i="8" s="1"/>
  <c r="BE18" i="8" s="1"/>
  <c r="AS18" i="8"/>
  <c r="AW18" i="8" s="1"/>
  <c r="BG18" i="8" s="1"/>
  <c r="AL19" i="8"/>
  <c r="BA19" i="8" s="1"/>
  <c r="BE19" i="8" s="1"/>
  <c r="AS19" i="8"/>
  <c r="AW19" i="8" s="1"/>
  <c r="BG19" i="8" s="1"/>
  <c r="AL20" i="8"/>
  <c r="BA20" i="8" s="1"/>
  <c r="BE20" i="8" s="1"/>
  <c r="AS20" i="8"/>
  <c r="AW20" i="8" s="1"/>
  <c r="BG20" i="8" s="1"/>
  <c r="AL21" i="8"/>
  <c r="BA21" i="8" s="1"/>
  <c r="BE21" i="8" s="1"/>
  <c r="AS21" i="8"/>
  <c r="AW21" i="8" s="1"/>
  <c r="BG21" i="8" s="1"/>
  <c r="AL22" i="8"/>
  <c r="BA22" i="8" s="1"/>
  <c r="BE22" i="8" s="1"/>
  <c r="AS22" i="8"/>
  <c r="AW22" i="8" s="1"/>
  <c r="BG22" i="8" s="1"/>
  <c r="AL23" i="8"/>
  <c r="BA23" i="8" s="1"/>
  <c r="BE23" i="8" s="1"/>
  <c r="AS23" i="8"/>
  <c r="AW23" i="8" s="1"/>
  <c r="BG23" i="8" s="1"/>
  <c r="AL24" i="8"/>
  <c r="BA24" i="8" s="1"/>
  <c r="BE24" i="8" s="1"/>
  <c r="AS24" i="8"/>
  <c r="AW24" i="8" s="1"/>
  <c r="BG24" i="8" s="1"/>
  <c r="AL25" i="8"/>
  <c r="BA25" i="8" s="1"/>
  <c r="BE25" i="8" s="1"/>
  <c r="AS25" i="8"/>
  <c r="AW25" i="8" s="1"/>
  <c r="BG25" i="8" s="1"/>
  <c r="AL26" i="8"/>
  <c r="BA26" i="8" s="1"/>
  <c r="BE26" i="8" s="1"/>
  <c r="AS26" i="8"/>
  <c r="AW26" i="8" s="1"/>
  <c r="BG26" i="8" s="1"/>
  <c r="AL27" i="8"/>
  <c r="BA27" i="8" s="1"/>
  <c r="BE27" i="8" s="1"/>
  <c r="AS27" i="8"/>
  <c r="AW27" i="8" s="1"/>
  <c r="BG27" i="8" s="1"/>
  <c r="AL28" i="8"/>
  <c r="BA28" i="8" s="1"/>
  <c r="BE28" i="8" s="1"/>
  <c r="AS28" i="8"/>
  <c r="AW28" i="8" s="1"/>
  <c r="BG28" i="8" s="1"/>
  <c r="AL29" i="8"/>
  <c r="BA29" i="8" s="1"/>
  <c r="BE29" i="8" s="1"/>
  <c r="AS29" i="8"/>
  <c r="AW29" i="8" s="1"/>
  <c r="BG29" i="8" s="1"/>
  <c r="AM7" i="8"/>
  <c r="BB7" i="8" s="1"/>
  <c r="BF7" i="8" s="1"/>
  <c r="AT7" i="8"/>
  <c r="AX7" i="8" s="1"/>
  <c r="BH7" i="8" s="1"/>
  <c r="AM9" i="8"/>
  <c r="BB9" i="8" s="1"/>
  <c r="BF9" i="8" s="1"/>
  <c r="AT9" i="8"/>
  <c r="AX9" i="8" s="1"/>
  <c r="BH9" i="8" s="1"/>
  <c r="AM10" i="8"/>
  <c r="BB10" i="8" s="1"/>
  <c r="BF10" i="8" s="1"/>
  <c r="AT10" i="8"/>
  <c r="AX10" i="8" s="1"/>
  <c r="BH10" i="8" s="1"/>
  <c r="AM11" i="8"/>
  <c r="BB11" i="8" s="1"/>
  <c r="BF11" i="8" s="1"/>
  <c r="AT11" i="8"/>
  <c r="AX11" i="8" s="1"/>
  <c r="BH11" i="8" s="1"/>
  <c r="AM13" i="8"/>
  <c r="BB13" i="8" s="1"/>
  <c r="BF13" i="8" s="1"/>
  <c r="AT13" i="8"/>
  <c r="AX13" i="8" s="1"/>
  <c r="BH13" i="8" s="1"/>
  <c r="AM14" i="8"/>
  <c r="BB14" i="8" s="1"/>
  <c r="BF14" i="8" s="1"/>
  <c r="AT14" i="8"/>
  <c r="AX14" i="8" s="1"/>
  <c r="BH14" i="8" s="1"/>
  <c r="AM15" i="8"/>
  <c r="BB15" i="8" s="1"/>
  <c r="BF15" i="8" s="1"/>
  <c r="AT15" i="8"/>
  <c r="AX15" i="8" s="1"/>
  <c r="BH15" i="8" s="1"/>
  <c r="AM18" i="8"/>
  <c r="BB18" i="8" s="1"/>
  <c r="BF18" i="8" s="1"/>
  <c r="AT18" i="8"/>
  <c r="AX18" i="8" s="1"/>
  <c r="BH18" i="8" s="1"/>
  <c r="AM19" i="8"/>
  <c r="BB19" i="8" s="1"/>
  <c r="BF19" i="8" s="1"/>
  <c r="AT19" i="8"/>
  <c r="AX19" i="8" s="1"/>
  <c r="BH19" i="8" s="1"/>
  <c r="AM22" i="8"/>
  <c r="BB22" i="8" s="1"/>
  <c r="BF22" i="8" s="1"/>
  <c r="AT22" i="8"/>
  <c r="AX22" i="8" s="1"/>
  <c r="BH22" i="8" s="1"/>
  <c r="AM23" i="8"/>
  <c r="BB23" i="8" s="1"/>
  <c r="BF23" i="8" s="1"/>
  <c r="AT23" i="8"/>
  <c r="AX23" i="8" s="1"/>
  <c r="BH23" i="8" s="1"/>
  <c r="AM25" i="8"/>
  <c r="BB25" i="8" s="1"/>
  <c r="BF25" i="8" s="1"/>
  <c r="AT25" i="8"/>
  <c r="AX25" i="8" s="1"/>
  <c r="BH25" i="8" s="1"/>
  <c r="AM26" i="8"/>
  <c r="BB26" i="8" s="1"/>
  <c r="BF26" i="8" s="1"/>
  <c r="AT26" i="8"/>
  <c r="AX26" i="8" s="1"/>
  <c r="BH26" i="8" s="1"/>
  <c r="AM27" i="8"/>
  <c r="BB27" i="8" s="1"/>
  <c r="BF27" i="8" s="1"/>
  <c r="AT27" i="8"/>
  <c r="AX27" i="8" s="1"/>
  <c r="BH27" i="8" s="1"/>
  <c r="AM29" i="8"/>
  <c r="BB29" i="8" s="1"/>
  <c r="BF29" i="8" s="1"/>
  <c r="AT29" i="8"/>
  <c r="AX29" i="8" s="1"/>
  <c r="BH29" i="8" s="1"/>
  <c r="AM28" i="8"/>
  <c r="BB28" i="8" s="1"/>
  <c r="BF28" i="8" s="1"/>
  <c r="AT28" i="8"/>
  <c r="AX28" i="8" s="1"/>
  <c r="BH28" i="8" s="1"/>
  <c r="AM4" i="8"/>
  <c r="BB4" i="8" s="1"/>
  <c r="BF4" i="8" s="1"/>
  <c r="AT4" i="8"/>
  <c r="AX4" i="8" s="1"/>
  <c r="BH4" i="8" s="1"/>
  <c r="AM5" i="8"/>
  <c r="BB5" i="8" s="1"/>
  <c r="BF5" i="8" s="1"/>
  <c r="AT5" i="8"/>
  <c r="AX5" i="8" s="1"/>
  <c r="BH5" i="8" s="1"/>
  <c r="AM6" i="8"/>
  <c r="BB6" i="8" s="1"/>
  <c r="BF6" i="8" s="1"/>
  <c r="AT6" i="8"/>
  <c r="AX6" i="8" s="1"/>
  <c r="BH6" i="8" s="1"/>
  <c r="AM8" i="8"/>
  <c r="BB8" i="8" s="1"/>
  <c r="BF8" i="8" s="1"/>
  <c r="AT8" i="8"/>
  <c r="AX8" i="8" s="1"/>
  <c r="BH8" i="8" s="1"/>
  <c r="AM12" i="8"/>
  <c r="BB12" i="8" s="1"/>
  <c r="BF12" i="8" s="1"/>
  <c r="AT12" i="8"/>
  <c r="AX12" i="8" s="1"/>
  <c r="BH12" i="8" s="1"/>
  <c r="AM16" i="8"/>
  <c r="BB16" i="8" s="1"/>
  <c r="BF16" i="8" s="1"/>
  <c r="AT16" i="8"/>
  <c r="AX16" i="8" s="1"/>
  <c r="BH16" i="8" s="1"/>
  <c r="AM17" i="8"/>
  <c r="BB17" i="8" s="1"/>
  <c r="BF17" i="8" s="1"/>
  <c r="AT17" i="8"/>
  <c r="AX17" i="8" s="1"/>
  <c r="BH17" i="8" s="1"/>
  <c r="AM21" i="8"/>
  <c r="BB21" i="8" s="1"/>
  <c r="BF21" i="8" s="1"/>
  <c r="AT21" i="8"/>
  <c r="AX21" i="8" s="1"/>
  <c r="BH21" i="8" s="1"/>
  <c r="AM24" i="8"/>
  <c r="BB24" i="8" s="1"/>
  <c r="BF24" i="8" s="1"/>
  <c r="AT24" i="8"/>
  <c r="AX24" i="8" s="1"/>
  <c r="BH24" i="8" s="1"/>
  <c r="AM3" i="8"/>
  <c r="BB3" i="8" s="1"/>
  <c r="BF3" i="8" s="1"/>
  <c r="AT3" i="8"/>
  <c r="AX3" i="8" s="1"/>
  <c r="BH3" i="8" s="1"/>
  <c r="Z24" i="8"/>
  <c r="Z12" i="8"/>
  <c r="AA27" i="8"/>
  <c r="AA11" i="8"/>
  <c r="Z27" i="8"/>
  <c r="Z23" i="8"/>
  <c r="Z19" i="8"/>
  <c r="Z15" i="8"/>
  <c r="Z11" i="8"/>
  <c r="Z7" i="8"/>
  <c r="AA3" i="8"/>
  <c r="AA26" i="8"/>
  <c r="AA22" i="8"/>
  <c r="AA18" i="8"/>
  <c r="AA14" i="8"/>
  <c r="AA10" i="8"/>
  <c r="AA6" i="8"/>
  <c r="Z28" i="8"/>
  <c r="Z16" i="8"/>
  <c r="Z4" i="8"/>
  <c r="AA23" i="8"/>
  <c r="AA15" i="8"/>
  <c r="Z26" i="8"/>
  <c r="Z22" i="8"/>
  <c r="Z18" i="8"/>
  <c r="Z14" i="8"/>
  <c r="Z10" i="8"/>
  <c r="Z6" i="8"/>
  <c r="AA29" i="8"/>
  <c r="AA25" i="8"/>
  <c r="AA21" i="8"/>
  <c r="AA17" i="8"/>
  <c r="AA13" i="8"/>
  <c r="AA9" i="8"/>
  <c r="AA5" i="8"/>
  <c r="Z20" i="8"/>
  <c r="Z8" i="8"/>
  <c r="AA19" i="8"/>
  <c r="AA7" i="8"/>
  <c r="Z29" i="8"/>
  <c r="Z25" i="8"/>
  <c r="Z21" i="8"/>
  <c r="Z17" i="8"/>
  <c r="Z13" i="8"/>
  <c r="Z9" i="8"/>
  <c r="Z5" i="8"/>
  <c r="AA28" i="8"/>
  <c r="AA24" i="8"/>
  <c r="AA20" i="8"/>
  <c r="AA16" i="8"/>
  <c r="AA12" i="8"/>
  <c r="AA8" i="8"/>
  <c r="AA4" i="8"/>
  <c r="G16" i="7"/>
  <c r="I16" i="7" s="1"/>
  <c r="H21" i="7"/>
  <c r="J21" i="7" s="1"/>
  <c r="H4" i="7"/>
  <c r="J4" i="7" s="1"/>
  <c r="H5" i="7"/>
  <c r="J5" i="7" s="1"/>
  <c r="H6" i="7"/>
  <c r="J6" i="7" s="1"/>
  <c r="H7" i="7"/>
  <c r="J7" i="7" s="1"/>
  <c r="H8" i="7"/>
  <c r="J8" i="7" s="1"/>
  <c r="H9" i="7"/>
  <c r="J9" i="7" s="1"/>
  <c r="H10" i="7"/>
  <c r="J10" i="7" s="1"/>
  <c r="H11" i="7"/>
  <c r="J11" i="7" s="1"/>
  <c r="H12" i="7"/>
  <c r="J12" i="7" s="1"/>
  <c r="H13" i="7"/>
  <c r="J13" i="7" s="1"/>
  <c r="H14" i="7"/>
  <c r="J14" i="7" s="1"/>
  <c r="H15" i="7"/>
  <c r="J15" i="7" s="1"/>
  <c r="H16" i="7"/>
  <c r="J16" i="7" s="1"/>
  <c r="H17" i="7"/>
  <c r="J17" i="7" s="1"/>
  <c r="H18" i="7"/>
  <c r="J18" i="7" s="1"/>
  <c r="H19" i="7"/>
  <c r="J19" i="7" s="1"/>
  <c r="H20" i="7"/>
  <c r="J20" i="7" s="1"/>
  <c r="H22" i="7"/>
  <c r="J22" i="7" s="1"/>
  <c r="H23" i="7"/>
  <c r="J23" i="7" s="1"/>
  <c r="H24" i="7"/>
  <c r="J24" i="7" s="1"/>
  <c r="H25" i="7"/>
  <c r="J25" i="7" s="1"/>
  <c r="H26" i="7"/>
  <c r="J26" i="7" s="1"/>
  <c r="H27" i="7"/>
  <c r="J27" i="7" s="1"/>
  <c r="H28" i="7"/>
  <c r="J28" i="7" s="1"/>
  <c r="H29" i="7"/>
  <c r="J29" i="7" s="1"/>
  <c r="H3" i="7"/>
  <c r="J3" i="7" s="1"/>
  <c r="G4" i="7"/>
  <c r="I4" i="7" s="1"/>
  <c r="G6" i="7"/>
  <c r="I6" i="7" s="1"/>
  <c r="G8" i="7"/>
  <c r="I8" i="7" s="1"/>
  <c r="G10" i="7"/>
  <c r="I10" i="7" s="1"/>
  <c r="G11" i="7"/>
  <c r="I11" i="7" s="1"/>
  <c r="G12" i="7"/>
  <c r="I12" i="7" s="1"/>
  <c r="G14" i="7"/>
  <c r="I14" i="7" s="1"/>
  <c r="G15" i="7"/>
  <c r="I15" i="7" s="1"/>
  <c r="G17" i="7"/>
  <c r="I17" i="7" s="1"/>
  <c r="G18" i="7"/>
  <c r="I18" i="7" s="1"/>
  <c r="G20" i="7"/>
  <c r="I20" i="7" s="1"/>
  <c r="G23" i="7"/>
  <c r="I23" i="7" s="1"/>
  <c r="G25" i="7"/>
  <c r="I25" i="7" s="1"/>
  <c r="G26" i="7"/>
  <c r="I26" i="7" s="1"/>
  <c r="G29" i="7"/>
  <c r="I29" i="7" s="1"/>
  <c r="G3" i="7"/>
  <c r="I3" i="7" s="1"/>
  <c r="G5" i="7" l="1"/>
  <c r="I5" i="7" s="1"/>
  <c r="G21" i="7"/>
  <c r="I21" i="7" s="1"/>
  <c r="G24" i="7"/>
  <c r="I24" i="7" s="1"/>
  <c r="G19" i="7"/>
  <c r="I19" i="7" s="1"/>
  <c r="G22" i="7"/>
  <c r="I22" i="7" s="1"/>
  <c r="G28" i="7"/>
  <c r="I28" i="7" s="1"/>
  <c r="G27" i="7"/>
  <c r="I27" i="7" s="1"/>
  <c r="G9" i="7"/>
  <c r="I9" i="7" s="1"/>
  <c r="G13" i="7"/>
  <c r="I13" i="7" s="1"/>
  <c r="G7" i="7"/>
  <c r="I7" i="7" s="1"/>
</calcChain>
</file>

<file path=xl/sharedStrings.xml><?xml version="1.0" encoding="utf-8"?>
<sst xmlns="http://schemas.openxmlformats.org/spreadsheetml/2006/main" count="815" uniqueCount="173">
  <si>
    <t>ACST</t>
  </si>
  <si>
    <t>Acset Indonusa Tbk.</t>
  </si>
  <si>
    <t>ADHI</t>
  </si>
  <si>
    <t>Adhi Karya (Persero) Tbk.</t>
  </si>
  <si>
    <t>BALI</t>
  </si>
  <si>
    <t>Bali Towerindo Sentra Tbk.</t>
  </si>
  <si>
    <t>BTEL</t>
  </si>
  <si>
    <t>Bakrie Telecom Tbk.</t>
  </si>
  <si>
    <t>BUKK</t>
  </si>
  <si>
    <t>Bukaka Teknik Utama Tbk.</t>
  </si>
  <si>
    <t>CASS</t>
  </si>
  <si>
    <t>Cardig Aero Services Tbk.</t>
  </si>
  <si>
    <t>CENT</t>
  </si>
  <si>
    <t>Centratama Telekomunikasi Indo</t>
  </si>
  <si>
    <t>CMNP</t>
  </si>
  <si>
    <t>Citra Marga Nusaphala Persada</t>
  </si>
  <si>
    <t>DGIK</t>
  </si>
  <si>
    <t>Nusa Konstruksi Enjiniring Tbk</t>
  </si>
  <si>
    <t>EXCL</t>
  </si>
  <si>
    <t>XL Axiata Tbk.</t>
  </si>
  <si>
    <t>FREN</t>
  </si>
  <si>
    <t>Smartfren Telecom Tbk.</t>
  </si>
  <si>
    <t>GOLD</t>
  </si>
  <si>
    <t>Visi Telekomunikasi Infrastruk</t>
  </si>
  <si>
    <t>HADE</t>
  </si>
  <si>
    <t>Himalaya Energi Perkasa Tbk.</t>
  </si>
  <si>
    <t>IBST</t>
  </si>
  <si>
    <t>Inti Bangun Sejahtera Tbk.</t>
  </si>
  <si>
    <t>ISAT</t>
  </si>
  <si>
    <t>Indosat Tbk.</t>
  </si>
  <si>
    <t>JKON</t>
  </si>
  <si>
    <t>Jaya Konstruksi Manggala Prata</t>
  </si>
  <si>
    <t>JSMR</t>
  </si>
  <si>
    <t>Jasa Marga (Persero) Tbk.</t>
  </si>
  <si>
    <t>KARW</t>
  </si>
  <si>
    <t>ICTSI Jasa Prima Tbk.</t>
  </si>
  <si>
    <t>KBLV</t>
  </si>
  <si>
    <t>First Media Tbk.</t>
  </si>
  <si>
    <t>LAPD</t>
  </si>
  <si>
    <t>Leyand International Tbk.</t>
  </si>
  <si>
    <t>LINK</t>
  </si>
  <si>
    <t>Link Net Tbk.</t>
  </si>
  <si>
    <t>META</t>
  </si>
  <si>
    <t>Nusantara Infrastructure Tbk.</t>
  </si>
  <si>
    <t>NRCA</t>
  </si>
  <si>
    <t>Nusa Raya Cipta Tbk.</t>
  </si>
  <si>
    <t>PTPP</t>
  </si>
  <si>
    <t>PP (Persero) Tbk.</t>
  </si>
  <si>
    <t>SSIA</t>
  </si>
  <si>
    <t>Surya Semesta Internusa Tbk.</t>
  </si>
  <si>
    <t>SUPR</t>
  </si>
  <si>
    <t>Solusi Tunas Pratama Tbk.</t>
  </si>
  <si>
    <t>TBIG</t>
  </si>
  <si>
    <t>Tower Bersama Infrastructure T</t>
  </si>
  <si>
    <t>TLKM</t>
  </si>
  <si>
    <t>Telkom Indonesia (Persero) Tbk</t>
  </si>
  <si>
    <t>TOTL</t>
  </si>
  <si>
    <t>Total Bangun Persada Tbk.</t>
  </si>
  <si>
    <t>TOWR</t>
  </si>
  <si>
    <t>Sarana Menara Nusantara Tbk.</t>
  </si>
  <si>
    <t>WIKA</t>
  </si>
  <si>
    <t>Wijaya Karya (Persero) Tbk.</t>
  </si>
  <si>
    <t>WSKT</t>
  </si>
  <si>
    <t>Waskita Karya (Persero) Tbk.</t>
  </si>
  <si>
    <t>IDPR</t>
  </si>
  <si>
    <t>Indonesia Pondasi Raya Tbk.</t>
  </si>
  <si>
    <t>OASA</t>
  </si>
  <si>
    <t>Maharaksa Biru Energi Tbk.</t>
  </si>
  <si>
    <t>POWR</t>
  </si>
  <si>
    <t>Cikarang Listrindo Tbk.</t>
  </si>
  <si>
    <t>PBSA</t>
  </si>
  <si>
    <t>Paramita Bangun Sarana Tbk.</t>
  </si>
  <si>
    <t>PORT</t>
  </si>
  <si>
    <t>Nusantara Pelabuhan Handal Tbk</t>
  </si>
  <si>
    <t>TGRA</t>
  </si>
  <si>
    <t>Terregra Asia Energy Tbk.</t>
  </si>
  <si>
    <t>TOPS</t>
  </si>
  <si>
    <t>Totalindo Eka Persada Tbk.</t>
  </si>
  <si>
    <t>MPOW</t>
  </si>
  <si>
    <t>Megapower Makmur Tbk.</t>
  </si>
  <si>
    <t>GMFI</t>
  </si>
  <si>
    <t>Garuda Maintenance Facility Ae</t>
  </si>
  <si>
    <t>PPRE</t>
  </si>
  <si>
    <t>PP Presisi Tbk.</t>
  </si>
  <si>
    <t>WEGE</t>
  </si>
  <si>
    <t>Wijaya Karya Bangunan Gedung T</t>
  </si>
  <si>
    <t>MORA</t>
  </si>
  <si>
    <t>Mora Telematika Indonesia Tbk.</t>
  </si>
  <si>
    <t>IPCM</t>
  </si>
  <si>
    <t>Jasa Armada Indonesia Tbk.</t>
  </si>
  <si>
    <t>LCKM</t>
  </si>
  <si>
    <t>LCK Global Kedaton Tbk.</t>
  </si>
  <si>
    <t>GHON</t>
  </si>
  <si>
    <t>Gihon Telekomunikasi Indonesia</t>
  </si>
  <si>
    <t>IPCC</t>
  </si>
  <si>
    <t>Indonesia Kendaraan Terminal T</t>
  </si>
  <si>
    <t>MTPS</t>
  </si>
  <si>
    <t>Meta Epsi Tbk.</t>
  </si>
  <si>
    <t>JAST</t>
  </si>
  <si>
    <t>Jasnita Telekomindo Tbk.</t>
  </si>
  <si>
    <t>KEEN</t>
  </si>
  <si>
    <t>Kencana Energi Lestari Tbk.</t>
  </si>
  <si>
    <t>PTPW</t>
  </si>
  <si>
    <t>Pratama Widya Tbk.</t>
  </si>
  <si>
    <t>TAMA</t>
  </si>
  <si>
    <t>Lancartama Sejati Tbk.</t>
  </si>
  <si>
    <t>RONY</t>
  </si>
  <si>
    <t>Aesler Grup Internasional Tbk.</t>
  </si>
  <si>
    <t>PTDU</t>
  </si>
  <si>
    <t>Djasa Ubersakti Tbk.</t>
  </si>
  <si>
    <t>KETR</t>
  </si>
  <si>
    <t>Ketrosden Triasmitra Tbk.</t>
  </si>
  <si>
    <t>FIMP</t>
  </si>
  <si>
    <t>Fimperkasa Utama Tbk.</t>
  </si>
  <si>
    <t>MTEL</t>
  </si>
  <si>
    <t>Dayamitra Telekomunikasi Tbk.</t>
  </si>
  <si>
    <t>SMKM</t>
  </si>
  <si>
    <t>Sumber Mas Konstruksi Tbk.</t>
  </si>
  <si>
    <t>ARKO</t>
  </si>
  <si>
    <t>Arkora Hydro Tbk.</t>
  </si>
  <si>
    <t>KRYA</t>
  </si>
  <si>
    <t>Bangun Karya Perkasa Jaya Tbk.</t>
  </si>
  <si>
    <t>No</t>
  </si>
  <si>
    <t xml:space="preserve">Kode Perusahaan </t>
  </si>
  <si>
    <t xml:space="preserve">Nama Perusahaan </t>
  </si>
  <si>
    <t>Laporan Keuangan Tahunan</t>
  </si>
  <si>
    <t xml:space="preserve">Perusahaan Yang Tidak Mengalami Kerugian </t>
  </si>
  <si>
    <t xml:space="preserve">Perusahaan Yang Menggunakan Nominal Rp </t>
  </si>
  <si>
    <t>x</t>
  </si>
  <si>
    <t>y</t>
  </si>
  <si>
    <t>Y</t>
  </si>
  <si>
    <t>TRR</t>
  </si>
  <si>
    <t>ROA</t>
  </si>
  <si>
    <t>Beban Pajak</t>
  </si>
  <si>
    <t>Total Pajak Tahun 2020 &amp; 2021</t>
  </si>
  <si>
    <t>𝑪𝒊𝑻𝑹𝒊𝒕</t>
  </si>
  <si>
    <t>Laba Bersih Setelah Pajak                                                                                       (NI)</t>
  </si>
  <si>
    <t>CFO</t>
  </si>
  <si>
    <t>TAC</t>
  </si>
  <si>
    <t>∆ REVit</t>
  </si>
  <si>
    <t xml:space="preserve">Pendapatan                                                               REV </t>
  </si>
  <si>
    <t>Pendapatan Tahun Sebelumnya                                  REVt -1</t>
  </si>
  <si>
    <t xml:space="preserve">Aset Tetap                                                           PPEit </t>
  </si>
  <si>
    <t xml:space="preserve">Piutang                                                               REC </t>
  </si>
  <si>
    <t>Piutang Tahun Sebelumnya                                  REC t -1</t>
  </si>
  <si>
    <t>∆ RECit</t>
  </si>
  <si>
    <t>NDAit</t>
  </si>
  <si>
    <t>Total Aset  Tahun Sebelumnya             (Ait - 1)</t>
  </si>
  <si>
    <t>1/Ait-1 (X1)</t>
  </si>
  <si>
    <t>∆ REVit / Ait -1 (X2)</t>
  </si>
  <si>
    <t>PPEit / Ait -1 (X3)</t>
  </si>
  <si>
    <t>TAC/Ait-1 (Y)</t>
  </si>
  <si>
    <t>∆ Revt/Ait-1</t>
  </si>
  <si>
    <t>∆ Rect/Ait-1</t>
  </si>
  <si>
    <t>β1</t>
  </si>
  <si>
    <t>β2</t>
  </si>
  <si>
    <t>β3</t>
  </si>
  <si>
    <t>β1*(1/Ait-1)</t>
  </si>
  <si>
    <t>β2*(∆ Revt/Ait-1)</t>
  </si>
  <si>
    <t>β3*PPEit / Ait -1</t>
  </si>
  <si>
    <t>TACit/Ait-1</t>
  </si>
  <si>
    <t>β2*(∆ Revt/Ait-1 - ∆ Rect/Ait-1)</t>
  </si>
  <si>
    <t>DA=(TACit/Ait-1) - (NDAit)</t>
  </si>
  <si>
    <t>Tahun</t>
  </si>
  <si>
    <t>Net Income</t>
  </si>
  <si>
    <t>Aset</t>
  </si>
  <si>
    <t>Pretax Income (EBIT)</t>
  </si>
  <si>
    <t>(∆ REVit / Ait -1) - (∆ RECit/ Ait -1)</t>
  </si>
  <si>
    <t>Keterangan :</t>
  </si>
  <si>
    <t>Sampel Penelitian</t>
  </si>
  <si>
    <t>Bukan Sampel Penelitian</t>
  </si>
  <si>
    <t>Dait</t>
  </si>
  <si>
    <t>CiTRit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</si>
</sst>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164" formatCode="_(* #,##0.00_);_(* \(#,##0.00\);_(* &quot;-&quot;??_);_(@_)"/>
    <numFmt numFmtId="166" formatCode="_-* #,##0.00000000_-;\-* #,##0.00000000_-;_-* &quot;-&quot;_-;_-@_-"/>
    <numFmt numFmtId="167" formatCode="_-* #,##0.0000000000000000_-;\-* #,##0.0000000000000000_-;_-* &quot;-&quot;_-;_-@_-"/>
    <numFmt numFmtId="168" formatCode="_-* #,##0.000000000000000000_-;\-* #,##0.000000000000000000_-;_-* &quot;-&quot;_-;_-@_-"/>
    <numFmt numFmtId="169" formatCode="_-* #,##0.0000000000000000000_-;\-* #,##0.0000000000000000000_-;_-* &quot;-&quot;_-;_-@_-"/>
    <numFmt numFmtId="170" formatCode="_-* #,##0.00000000000_-;\-* #,##0.00000000000_-;_-* &quot;-&quot;_-;_-@_-"/>
    <numFmt numFmtId="171" formatCode="_(* #,##0_);_(* \(#,##0\);_(* &quot;-&quot;??_);_(@_)"/>
    <numFmt numFmtId="172" formatCode="_-* #,##0.0000000_-;\-* #,##0.0000000_-;_-* &quot;-&quot;_-;_-@_-"/>
    <numFmt numFmtId="173" formatCode="_-* #,##0.000000000000_-;\-* #,##0.000000000000_-;_-* &quot;-&quot;_-;_-@_-"/>
    <numFmt numFmtId="174" formatCode="0.000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.6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1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9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/>
    <xf numFmtId="0" fontId="2" fillId="5" borderId="1" xfId="0" applyFont="1" applyFill="1" applyBorder="1" applyAlignment="1">
      <alignment horizontal="center" vertical="center" wrapText="1"/>
    </xf>
    <xf numFmtId="41" fontId="1" fillId="0" borderId="1" xfId="1" applyFont="1" applyBorder="1"/>
    <xf numFmtId="0" fontId="0" fillId="5" borderId="0" xfId="0" applyFill="1"/>
    <xf numFmtId="41" fontId="0" fillId="0" borderId="0" xfId="1" applyFont="1"/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/>
    <xf numFmtId="0" fontId="1" fillId="7" borderId="1" xfId="0" applyFont="1" applyFill="1" applyBorder="1" applyAlignment="1">
      <alignment horizontal="center" vertical="center"/>
    </xf>
    <xf numFmtId="41" fontId="1" fillId="7" borderId="1" xfId="0" applyNumberFormat="1" applyFont="1" applyFill="1" applyBorder="1"/>
    <xf numFmtId="3" fontId="0" fillId="0" borderId="0" xfId="0" applyNumberFormat="1"/>
    <xf numFmtId="3" fontId="0" fillId="0" borderId="1" xfId="0" applyNumberFormat="1" applyBorder="1"/>
    <xf numFmtId="171" fontId="0" fillId="0" borderId="3" xfId="2" applyNumberFormat="1" applyFont="1" applyBorder="1"/>
    <xf numFmtId="0" fontId="1" fillId="4" borderId="1" xfId="0" applyFont="1" applyFill="1" applyBorder="1" applyAlignment="1">
      <alignment horizontal="center" vertical="center"/>
    </xf>
    <xf numFmtId="172" fontId="1" fillId="4" borderId="1" xfId="1" applyNumberFormat="1" applyFont="1" applyFill="1" applyBorder="1"/>
    <xf numFmtId="166" fontId="1" fillId="4" borderId="1" xfId="1" applyNumberFormat="1" applyFont="1" applyFill="1" applyBorder="1"/>
    <xf numFmtId="168" fontId="1" fillId="4" borderId="1" xfId="1" applyNumberFormat="1" applyFont="1" applyFill="1" applyBorder="1"/>
    <xf numFmtId="169" fontId="1" fillId="4" borderId="1" xfId="1" applyNumberFormat="1" applyFont="1" applyFill="1" applyBorder="1"/>
    <xf numFmtId="167" fontId="1" fillId="4" borderId="1" xfId="1" applyNumberFormat="1" applyFont="1" applyFill="1" applyBorder="1"/>
    <xf numFmtId="170" fontId="1" fillId="4" borderId="1" xfId="1" applyNumberFormat="1" applyFont="1" applyFill="1" applyBorder="1"/>
    <xf numFmtId="0" fontId="1" fillId="0" borderId="1" xfId="1" applyNumberFormat="1" applyFont="1" applyBorder="1"/>
    <xf numFmtId="0" fontId="1" fillId="0" borderId="1" xfId="1" applyNumberFormat="1" applyFont="1" applyFill="1" applyBorder="1"/>
    <xf numFmtId="0" fontId="0" fillId="0" borderId="1" xfId="0" applyBorder="1"/>
    <xf numFmtId="0" fontId="1" fillId="4" borderId="2" xfId="0" applyFont="1" applyFill="1" applyBorder="1" applyAlignment="1">
      <alignment horizontal="center" vertical="center"/>
    </xf>
    <xf numFmtId="170" fontId="1" fillId="4" borderId="2" xfId="1" applyNumberFormat="1" applyFont="1" applyFill="1" applyBorder="1"/>
    <xf numFmtId="0" fontId="1" fillId="0" borderId="3" xfId="0" applyFont="1" applyBorder="1" applyAlignment="1">
      <alignment horizontal="center" vertical="center"/>
    </xf>
    <xf numFmtId="0" fontId="1" fillId="0" borderId="3" xfId="1" applyNumberFormat="1" applyFont="1" applyBorder="1"/>
    <xf numFmtId="0" fontId="0" fillId="0" borderId="1" xfId="0" applyBorder="1" applyAlignment="1">
      <alignment horizontal="center" vertical="center" wrapText="1"/>
    </xf>
    <xf numFmtId="174" fontId="0" fillId="0" borderId="1" xfId="0" applyNumberFormat="1" applyBorder="1"/>
    <xf numFmtId="0" fontId="1" fillId="5" borderId="1" xfId="0" applyFont="1" applyFill="1" applyBorder="1" applyAlignment="1">
      <alignment horizontal="center" vertical="center"/>
    </xf>
    <xf numFmtId="173" fontId="1" fillId="5" borderId="1" xfId="1" applyNumberFormat="1" applyFont="1" applyFill="1" applyBorder="1"/>
    <xf numFmtId="0" fontId="0" fillId="6" borderId="1" xfId="0" applyFill="1" applyBorder="1"/>
    <xf numFmtId="0" fontId="0" fillId="6" borderId="0" xfId="0" applyFill="1"/>
    <xf numFmtId="0" fontId="1" fillId="8" borderId="1" xfId="0" applyFont="1" applyFill="1" applyBorder="1" applyAlignment="1">
      <alignment horizontal="center" vertical="center"/>
    </xf>
    <xf numFmtId="0" fontId="1" fillId="8" borderId="1" xfId="1" applyNumberFormat="1" applyFont="1" applyFill="1" applyBorder="1"/>
    <xf numFmtId="0" fontId="0" fillId="8" borderId="0" xfId="0" applyFill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0" fillId="7" borderId="0" xfId="0" applyFill="1"/>
    <xf numFmtId="0" fontId="0" fillId="0" borderId="1" xfId="0" applyBorder="1" applyAlignment="1">
      <alignment horizontal="center" wrapText="1"/>
    </xf>
    <xf numFmtId="41" fontId="0" fillId="0" borderId="1" xfId="1" applyFont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41" fontId="0" fillId="0" borderId="1" xfId="1" applyFont="1" applyBorder="1"/>
    <xf numFmtId="0" fontId="1" fillId="7" borderId="1" xfId="1" applyNumberFormat="1" applyFont="1" applyFill="1" applyBorder="1"/>
    <xf numFmtId="41" fontId="0" fillId="0" borderId="1" xfId="1" applyFont="1" applyBorder="1" applyAlignment="1">
      <alignment horizontal="center" vertical="center" wrapText="1"/>
    </xf>
    <xf numFmtId="0" fontId="0" fillId="0" borderId="1" xfId="1" applyNumberFormat="1" applyFont="1" applyBorder="1"/>
    <xf numFmtId="0" fontId="0" fillId="9" borderId="1" xfId="1" applyNumberFormat="1" applyFont="1" applyFill="1" applyBorder="1" applyAlignment="1">
      <alignment horizontal="center" vertical="center" wrapText="1"/>
    </xf>
    <xf numFmtId="0" fontId="0" fillId="9" borderId="1" xfId="1" applyNumberFormat="1" applyFont="1" applyFill="1" applyBorder="1"/>
    <xf numFmtId="0" fontId="0" fillId="9" borderId="0" xfId="1" applyNumberFormat="1" applyFont="1" applyFill="1"/>
    <xf numFmtId="0" fontId="2" fillId="1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1" fillId="11" borderId="2" xfId="0" applyFont="1" applyFill="1" applyBorder="1" applyAlignment="1">
      <alignment horizontal="center" vertical="center"/>
    </xf>
    <xf numFmtId="0" fontId="1" fillId="11" borderId="3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" fillId="11" borderId="1" xfId="1" applyNumberFormat="1" applyFont="1" applyFill="1" applyBorder="1"/>
    <xf numFmtId="0" fontId="0" fillId="11" borderId="0" xfId="0" applyFill="1"/>
    <xf numFmtId="0" fontId="0" fillId="0" borderId="1" xfId="0" applyBorder="1" applyAlignment="1">
      <alignment horizontal="center" vertical="center"/>
    </xf>
  </cellXfs>
  <cellStyles count="3">
    <cellStyle name="Comma" xfId="2" builtinId="3"/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topLeftCell="A46" zoomScale="92" zoomScaleNormal="92" workbookViewId="0">
      <selection activeCell="A6" sqref="A6"/>
    </sheetView>
  </sheetViews>
  <sheetFormatPr defaultRowHeight="15" x14ac:dyDescent="0.25"/>
  <cols>
    <col min="2" max="2" width="13.140625" customWidth="1"/>
    <col min="3" max="3" width="35.7109375" customWidth="1"/>
  </cols>
  <sheetData>
    <row r="1" spans="1:9" ht="43.15" customHeight="1" x14ac:dyDescent="0.25">
      <c r="A1" s="45" t="s">
        <v>122</v>
      </c>
      <c r="B1" s="44" t="s">
        <v>123</v>
      </c>
      <c r="C1" s="45" t="s">
        <v>124</v>
      </c>
      <c r="D1" s="44" t="s">
        <v>125</v>
      </c>
      <c r="E1" s="44"/>
      <c r="F1" s="44" t="s">
        <v>126</v>
      </c>
      <c r="G1" s="44"/>
      <c r="H1" s="42" t="s">
        <v>127</v>
      </c>
      <c r="I1" s="43"/>
    </row>
    <row r="2" spans="1:9" x14ac:dyDescent="0.25">
      <c r="A2" s="45"/>
      <c r="B2" s="44"/>
      <c r="C2" s="45"/>
      <c r="D2" s="1">
        <v>2020</v>
      </c>
      <c r="E2" s="1">
        <v>2021</v>
      </c>
      <c r="F2" s="1">
        <v>2020</v>
      </c>
      <c r="G2" s="1">
        <v>2021</v>
      </c>
      <c r="H2" s="1">
        <v>2020</v>
      </c>
      <c r="I2" s="1">
        <v>2021</v>
      </c>
    </row>
    <row r="3" spans="1:9" x14ac:dyDescent="0.25">
      <c r="A3" s="5">
        <v>1</v>
      </c>
      <c r="B3" s="5" t="s">
        <v>0</v>
      </c>
      <c r="C3" s="6" t="s">
        <v>1</v>
      </c>
      <c r="D3" s="7" t="s">
        <v>129</v>
      </c>
      <c r="E3" s="7" t="s">
        <v>129</v>
      </c>
      <c r="F3" s="7" t="s">
        <v>128</v>
      </c>
      <c r="G3" s="7" t="s">
        <v>128</v>
      </c>
      <c r="H3" s="7" t="s">
        <v>129</v>
      </c>
      <c r="I3" s="7" t="s">
        <v>129</v>
      </c>
    </row>
    <row r="4" spans="1:9" s="38" customFormat="1" x14ac:dyDescent="0.25">
      <c r="A4" s="82">
        <v>2</v>
      </c>
      <c r="B4" s="82" t="s">
        <v>2</v>
      </c>
      <c r="C4" s="83" t="s">
        <v>3</v>
      </c>
      <c r="D4" s="13" t="s">
        <v>130</v>
      </c>
      <c r="E4" s="13" t="s">
        <v>130</v>
      </c>
      <c r="F4" s="13" t="s">
        <v>129</v>
      </c>
      <c r="G4" s="13" t="s">
        <v>129</v>
      </c>
      <c r="H4" s="13" t="s">
        <v>129</v>
      </c>
      <c r="I4" s="13" t="s">
        <v>129</v>
      </c>
    </row>
    <row r="5" spans="1:9" s="38" customFormat="1" x14ac:dyDescent="0.25">
      <c r="A5" s="82">
        <v>3</v>
      </c>
      <c r="B5" s="82" t="s">
        <v>4</v>
      </c>
      <c r="C5" s="83" t="s">
        <v>5</v>
      </c>
      <c r="D5" s="13" t="s">
        <v>130</v>
      </c>
      <c r="E5" s="13" t="s">
        <v>130</v>
      </c>
      <c r="F5" s="13" t="s">
        <v>129</v>
      </c>
      <c r="G5" s="13" t="s">
        <v>129</v>
      </c>
      <c r="H5" s="13" t="s">
        <v>129</v>
      </c>
      <c r="I5" s="13" t="s">
        <v>129</v>
      </c>
    </row>
    <row r="6" spans="1:9" x14ac:dyDescent="0.25">
      <c r="A6" s="5">
        <v>4</v>
      </c>
      <c r="B6" s="5" t="s">
        <v>6</v>
      </c>
      <c r="C6" s="6" t="s">
        <v>7</v>
      </c>
      <c r="D6" s="7" t="s">
        <v>130</v>
      </c>
      <c r="E6" s="7" t="s">
        <v>130</v>
      </c>
      <c r="F6" s="7" t="s">
        <v>128</v>
      </c>
      <c r="G6" s="7" t="s">
        <v>128</v>
      </c>
      <c r="H6" s="7" t="s">
        <v>129</v>
      </c>
      <c r="I6" s="7" t="s">
        <v>129</v>
      </c>
    </row>
    <row r="7" spans="1:9" s="38" customFormat="1" x14ac:dyDescent="0.25">
      <c r="A7" s="82">
        <v>5</v>
      </c>
      <c r="B7" s="82" t="s">
        <v>8</v>
      </c>
      <c r="C7" s="83" t="s">
        <v>9</v>
      </c>
      <c r="D7" s="13" t="s">
        <v>130</v>
      </c>
      <c r="E7" s="13" t="s">
        <v>130</v>
      </c>
      <c r="F7" s="13" t="s">
        <v>129</v>
      </c>
      <c r="G7" s="13" t="s">
        <v>129</v>
      </c>
      <c r="H7" s="13" t="s">
        <v>129</v>
      </c>
      <c r="I7" s="13" t="s">
        <v>129</v>
      </c>
    </row>
    <row r="8" spans="1:9" x14ac:dyDescent="0.25">
      <c r="A8" s="5">
        <v>6</v>
      </c>
      <c r="B8" s="5" t="s">
        <v>10</v>
      </c>
      <c r="C8" s="6" t="s">
        <v>11</v>
      </c>
      <c r="D8" s="7" t="s">
        <v>130</v>
      </c>
      <c r="E8" s="7" t="s">
        <v>130</v>
      </c>
      <c r="F8" s="7" t="s">
        <v>128</v>
      </c>
      <c r="G8" s="7" t="s">
        <v>129</v>
      </c>
      <c r="H8" s="7" t="s">
        <v>129</v>
      </c>
      <c r="I8" s="7" t="s">
        <v>129</v>
      </c>
    </row>
    <row r="9" spans="1:9" ht="14.45" customHeight="1" x14ac:dyDescent="0.25">
      <c r="A9" s="5">
        <v>7</v>
      </c>
      <c r="B9" s="5" t="s">
        <v>12</v>
      </c>
      <c r="C9" s="6" t="s">
        <v>13</v>
      </c>
      <c r="D9" s="7" t="s">
        <v>130</v>
      </c>
      <c r="E9" s="7" t="s">
        <v>130</v>
      </c>
      <c r="F9" s="7" t="s">
        <v>128</v>
      </c>
      <c r="G9" s="7" t="s">
        <v>128</v>
      </c>
      <c r="H9" s="7" t="s">
        <v>129</v>
      </c>
      <c r="I9" s="7" t="s">
        <v>129</v>
      </c>
    </row>
    <row r="10" spans="1:9" s="38" customFormat="1" ht="14.45" customHeight="1" x14ac:dyDescent="0.25">
      <c r="A10" s="82">
        <v>8</v>
      </c>
      <c r="B10" s="82" t="s">
        <v>14</v>
      </c>
      <c r="C10" s="83" t="s">
        <v>15</v>
      </c>
      <c r="D10" s="13" t="s">
        <v>130</v>
      </c>
      <c r="E10" s="13" t="s">
        <v>130</v>
      </c>
      <c r="F10" s="13" t="s">
        <v>129</v>
      </c>
      <c r="G10" s="13" t="s">
        <v>129</v>
      </c>
      <c r="H10" s="13" t="s">
        <v>129</v>
      </c>
      <c r="I10" s="13" t="s">
        <v>129</v>
      </c>
    </row>
    <row r="11" spans="1:9" ht="14.45" customHeight="1" x14ac:dyDescent="0.25">
      <c r="A11" s="5">
        <v>9</v>
      </c>
      <c r="B11" s="5" t="s">
        <v>16</v>
      </c>
      <c r="C11" s="6" t="s">
        <v>17</v>
      </c>
      <c r="D11" s="7" t="s">
        <v>130</v>
      </c>
      <c r="E11" s="7" t="s">
        <v>130</v>
      </c>
      <c r="F11" s="7" t="s">
        <v>128</v>
      </c>
      <c r="G11" s="7" t="s">
        <v>129</v>
      </c>
      <c r="H11" s="7" t="s">
        <v>129</v>
      </c>
      <c r="I11" s="7" t="s">
        <v>129</v>
      </c>
    </row>
    <row r="12" spans="1:9" s="38" customFormat="1" x14ac:dyDescent="0.25">
      <c r="A12" s="82">
        <v>10</v>
      </c>
      <c r="B12" s="82" t="s">
        <v>18</v>
      </c>
      <c r="C12" s="83" t="s">
        <v>19</v>
      </c>
      <c r="D12" s="13" t="s">
        <v>130</v>
      </c>
      <c r="E12" s="13" t="s">
        <v>130</v>
      </c>
      <c r="F12" s="13" t="s">
        <v>129</v>
      </c>
      <c r="G12" s="13" t="s">
        <v>129</v>
      </c>
      <c r="H12" s="13" t="s">
        <v>129</v>
      </c>
      <c r="I12" s="13" t="s">
        <v>129</v>
      </c>
    </row>
    <row r="13" spans="1:9" x14ac:dyDescent="0.25">
      <c r="A13" s="5">
        <v>11</v>
      </c>
      <c r="B13" s="5" t="s">
        <v>20</v>
      </c>
      <c r="C13" s="6" t="s">
        <v>21</v>
      </c>
      <c r="D13" s="7" t="s">
        <v>130</v>
      </c>
      <c r="E13" s="7" t="s">
        <v>130</v>
      </c>
      <c r="F13" s="7" t="s">
        <v>128</v>
      </c>
      <c r="G13" s="7" t="s">
        <v>128</v>
      </c>
      <c r="H13" s="7" t="s">
        <v>129</v>
      </c>
      <c r="I13" s="7" t="s">
        <v>129</v>
      </c>
    </row>
    <row r="14" spans="1:9" s="38" customFormat="1" ht="14.45" customHeight="1" x14ac:dyDescent="0.25">
      <c r="A14" s="82">
        <v>12</v>
      </c>
      <c r="B14" s="82" t="s">
        <v>22</v>
      </c>
      <c r="C14" s="83" t="s">
        <v>23</v>
      </c>
      <c r="D14" s="13" t="s">
        <v>130</v>
      </c>
      <c r="E14" s="13" t="s">
        <v>130</v>
      </c>
      <c r="F14" s="13" t="s">
        <v>129</v>
      </c>
      <c r="G14" s="13" t="s">
        <v>129</v>
      </c>
      <c r="H14" s="13" t="s">
        <v>129</v>
      </c>
      <c r="I14" s="13" t="s">
        <v>129</v>
      </c>
    </row>
    <row r="15" spans="1:9" ht="14.45" customHeight="1" x14ac:dyDescent="0.25">
      <c r="A15" s="5">
        <v>13</v>
      </c>
      <c r="B15" s="5" t="s">
        <v>24</v>
      </c>
      <c r="C15" s="6" t="s">
        <v>25</v>
      </c>
      <c r="D15" s="7" t="s">
        <v>130</v>
      </c>
      <c r="E15" s="7" t="s">
        <v>130</v>
      </c>
      <c r="F15" s="7" t="s">
        <v>128</v>
      </c>
      <c r="G15" s="7" t="s">
        <v>128</v>
      </c>
      <c r="H15" s="7" t="s">
        <v>129</v>
      </c>
      <c r="I15" s="7" t="s">
        <v>129</v>
      </c>
    </row>
    <row r="16" spans="1:9" s="38" customFormat="1" x14ac:dyDescent="0.25">
      <c r="A16" s="82">
        <v>14</v>
      </c>
      <c r="B16" s="82" t="s">
        <v>26</v>
      </c>
      <c r="C16" s="83" t="s">
        <v>27</v>
      </c>
      <c r="D16" s="13" t="s">
        <v>130</v>
      </c>
      <c r="E16" s="13" t="s">
        <v>130</v>
      </c>
      <c r="F16" s="13" t="s">
        <v>129</v>
      </c>
      <c r="G16" s="13" t="s">
        <v>129</v>
      </c>
      <c r="H16" s="13" t="s">
        <v>129</v>
      </c>
      <c r="I16" s="13" t="s">
        <v>129</v>
      </c>
    </row>
    <row r="17" spans="1:9" x14ac:dyDescent="0.25">
      <c r="A17" s="5">
        <v>15</v>
      </c>
      <c r="B17" s="5" t="s">
        <v>28</v>
      </c>
      <c r="C17" s="6" t="s">
        <v>29</v>
      </c>
      <c r="D17" s="7" t="s">
        <v>130</v>
      </c>
      <c r="E17" s="7" t="s">
        <v>130</v>
      </c>
      <c r="F17" s="7" t="s">
        <v>128</v>
      </c>
      <c r="G17" s="7" t="s">
        <v>129</v>
      </c>
      <c r="H17" s="7" t="s">
        <v>129</v>
      </c>
      <c r="I17" s="7" t="s">
        <v>129</v>
      </c>
    </row>
    <row r="18" spans="1:9" ht="14.45" customHeight="1" x14ac:dyDescent="0.25">
      <c r="A18" s="5">
        <v>16</v>
      </c>
      <c r="B18" s="5" t="s">
        <v>30</v>
      </c>
      <c r="C18" s="6" t="s">
        <v>31</v>
      </c>
      <c r="D18" s="7" t="s">
        <v>130</v>
      </c>
      <c r="E18" s="7" t="s">
        <v>130</v>
      </c>
      <c r="F18" s="7" t="s">
        <v>129</v>
      </c>
      <c r="G18" s="7" t="s">
        <v>128</v>
      </c>
      <c r="H18" s="7" t="s">
        <v>129</v>
      </c>
      <c r="I18" s="7" t="s">
        <v>129</v>
      </c>
    </row>
    <row r="19" spans="1:9" x14ac:dyDescent="0.25">
      <c r="A19" s="5">
        <v>17</v>
      </c>
      <c r="B19" s="5" t="s">
        <v>32</v>
      </c>
      <c r="C19" s="6" t="s">
        <v>33</v>
      </c>
      <c r="D19" s="7" t="s">
        <v>130</v>
      </c>
      <c r="E19" s="7" t="s">
        <v>130</v>
      </c>
      <c r="F19" s="7" t="s">
        <v>128</v>
      </c>
      <c r="G19" s="7" t="s">
        <v>129</v>
      </c>
      <c r="H19" s="7" t="s">
        <v>129</v>
      </c>
      <c r="I19" s="7" t="s">
        <v>129</v>
      </c>
    </row>
    <row r="20" spans="1:9" x14ac:dyDescent="0.25">
      <c r="A20" s="5">
        <v>18</v>
      </c>
      <c r="B20" s="5" t="s">
        <v>34</v>
      </c>
      <c r="C20" s="6" t="s">
        <v>35</v>
      </c>
      <c r="D20" s="7" t="s">
        <v>130</v>
      </c>
      <c r="E20" s="7" t="s">
        <v>130</v>
      </c>
      <c r="F20" s="7" t="s">
        <v>129</v>
      </c>
      <c r="G20" s="7" t="s">
        <v>128</v>
      </c>
      <c r="H20" s="7" t="s">
        <v>128</v>
      </c>
      <c r="I20" s="7" t="s">
        <v>128</v>
      </c>
    </row>
    <row r="21" spans="1:9" x14ac:dyDescent="0.25">
      <c r="A21" s="5">
        <v>19</v>
      </c>
      <c r="B21" s="5" t="s">
        <v>36</v>
      </c>
      <c r="C21" s="6" t="s">
        <v>37</v>
      </c>
      <c r="D21" s="7" t="s">
        <v>130</v>
      </c>
      <c r="E21" s="7" t="s">
        <v>130</v>
      </c>
      <c r="F21" s="7" t="s">
        <v>129</v>
      </c>
      <c r="G21" s="7" t="s">
        <v>128</v>
      </c>
      <c r="H21" s="7" t="s">
        <v>129</v>
      </c>
      <c r="I21" s="7" t="s">
        <v>129</v>
      </c>
    </row>
    <row r="22" spans="1:9" x14ac:dyDescent="0.25">
      <c r="A22" s="5">
        <v>20</v>
      </c>
      <c r="B22" s="5" t="s">
        <v>38</v>
      </c>
      <c r="C22" s="6" t="s">
        <v>39</v>
      </c>
      <c r="D22" s="7" t="s">
        <v>130</v>
      </c>
      <c r="E22" s="7" t="s">
        <v>130</v>
      </c>
      <c r="F22" s="7" t="s">
        <v>128</v>
      </c>
      <c r="G22" s="7" t="s">
        <v>128</v>
      </c>
      <c r="H22" s="7" t="s">
        <v>129</v>
      </c>
      <c r="I22" s="7" t="s">
        <v>129</v>
      </c>
    </row>
    <row r="23" spans="1:9" s="38" customFormat="1" x14ac:dyDescent="0.25">
      <c r="A23" s="82">
        <v>21</v>
      </c>
      <c r="B23" s="82" t="s">
        <v>40</v>
      </c>
      <c r="C23" s="83" t="s">
        <v>41</v>
      </c>
      <c r="D23" s="13" t="s">
        <v>130</v>
      </c>
      <c r="E23" s="13" t="s">
        <v>130</v>
      </c>
      <c r="F23" s="13" t="s">
        <v>129</v>
      </c>
      <c r="G23" s="13" t="s">
        <v>129</v>
      </c>
      <c r="H23" s="13" t="s">
        <v>129</v>
      </c>
      <c r="I23" s="13" t="s">
        <v>129</v>
      </c>
    </row>
    <row r="24" spans="1:9" s="38" customFormat="1" ht="14.45" customHeight="1" x14ac:dyDescent="0.25">
      <c r="A24" s="82">
        <v>22</v>
      </c>
      <c r="B24" s="82" t="s">
        <v>42</v>
      </c>
      <c r="C24" s="83" t="s">
        <v>43</v>
      </c>
      <c r="D24" s="13" t="s">
        <v>130</v>
      </c>
      <c r="E24" s="13" t="s">
        <v>130</v>
      </c>
      <c r="F24" s="13" t="s">
        <v>129</v>
      </c>
      <c r="G24" s="13" t="s">
        <v>129</v>
      </c>
      <c r="H24" s="13" t="s">
        <v>129</v>
      </c>
      <c r="I24" s="13" t="s">
        <v>129</v>
      </c>
    </row>
    <row r="25" spans="1:9" s="38" customFormat="1" x14ac:dyDescent="0.25">
      <c r="A25" s="82">
        <v>23</v>
      </c>
      <c r="B25" s="82" t="s">
        <v>44</v>
      </c>
      <c r="C25" s="83" t="s">
        <v>45</v>
      </c>
      <c r="D25" s="13" t="s">
        <v>130</v>
      </c>
      <c r="E25" s="13" t="s">
        <v>130</v>
      </c>
      <c r="F25" s="13" t="s">
        <v>129</v>
      </c>
      <c r="G25" s="13" t="s">
        <v>129</v>
      </c>
      <c r="H25" s="13" t="s">
        <v>129</v>
      </c>
      <c r="I25" s="13" t="s">
        <v>129</v>
      </c>
    </row>
    <row r="26" spans="1:9" s="38" customFormat="1" x14ac:dyDescent="0.25">
      <c r="A26" s="82">
        <v>24</v>
      </c>
      <c r="B26" s="82" t="s">
        <v>46</v>
      </c>
      <c r="C26" s="83" t="s">
        <v>47</v>
      </c>
      <c r="D26" s="13" t="s">
        <v>130</v>
      </c>
      <c r="E26" s="13" t="s">
        <v>130</v>
      </c>
      <c r="F26" s="13" t="s">
        <v>129</v>
      </c>
      <c r="G26" s="13" t="s">
        <v>129</v>
      </c>
      <c r="H26" s="13" t="s">
        <v>129</v>
      </c>
      <c r="I26" s="13" t="s">
        <v>129</v>
      </c>
    </row>
    <row r="27" spans="1:9" ht="14.45" customHeight="1" x14ac:dyDescent="0.25">
      <c r="A27" s="5">
        <v>25</v>
      </c>
      <c r="B27" s="5" t="s">
        <v>48</v>
      </c>
      <c r="C27" s="6" t="s">
        <v>49</v>
      </c>
      <c r="D27" s="7" t="s">
        <v>130</v>
      </c>
      <c r="E27" s="7" t="s">
        <v>130</v>
      </c>
      <c r="F27" s="7" t="s">
        <v>128</v>
      </c>
      <c r="G27" s="7" t="s">
        <v>128</v>
      </c>
      <c r="H27" s="7" t="s">
        <v>129</v>
      </c>
      <c r="I27" s="7" t="s">
        <v>129</v>
      </c>
    </row>
    <row r="28" spans="1:9" x14ac:dyDescent="0.25">
      <c r="A28" s="5">
        <v>26</v>
      </c>
      <c r="B28" s="5" t="s">
        <v>50</v>
      </c>
      <c r="C28" s="6" t="s">
        <v>51</v>
      </c>
      <c r="D28" s="7" t="s">
        <v>130</v>
      </c>
      <c r="E28" s="7" t="s">
        <v>130</v>
      </c>
      <c r="F28" s="7" t="s">
        <v>128</v>
      </c>
      <c r="G28" s="7" t="s">
        <v>129</v>
      </c>
      <c r="H28" s="7" t="s">
        <v>129</v>
      </c>
      <c r="I28" s="7" t="s">
        <v>129</v>
      </c>
    </row>
    <row r="29" spans="1:9" s="38" customFormat="1" ht="14.45" customHeight="1" x14ac:dyDescent="0.25">
      <c r="A29" s="82">
        <v>27</v>
      </c>
      <c r="B29" s="82" t="s">
        <v>52</v>
      </c>
      <c r="C29" s="83" t="s">
        <v>53</v>
      </c>
      <c r="D29" s="13" t="s">
        <v>130</v>
      </c>
      <c r="E29" s="13" t="s">
        <v>130</v>
      </c>
      <c r="F29" s="13" t="s">
        <v>129</v>
      </c>
      <c r="G29" s="13" t="s">
        <v>129</v>
      </c>
      <c r="H29" s="13" t="s">
        <v>129</v>
      </c>
      <c r="I29" s="13" t="s">
        <v>129</v>
      </c>
    </row>
    <row r="30" spans="1:9" s="38" customFormat="1" ht="14.45" customHeight="1" x14ac:dyDescent="0.25">
      <c r="A30" s="82">
        <v>28</v>
      </c>
      <c r="B30" s="82" t="s">
        <v>54</v>
      </c>
      <c r="C30" s="83" t="s">
        <v>55</v>
      </c>
      <c r="D30" s="13" t="s">
        <v>130</v>
      </c>
      <c r="E30" s="13" t="s">
        <v>130</v>
      </c>
      <c r="F30" s="13" t="s">
        <v>129</v>
      </c>
      <c r="G30" s="13" t="s">
        <v>129</v>
      </c>
      <c r="H30" s="13" t="s">
        <v>129</v>
      </c>
      <c r="I30" s="13" t="s">
        <v>129</v>
      </c>
    </row>
    <row r="31" spans="1:9" s="38" customFormat="1" x14ac:dyDescent="0.25">
      <c r="A31" s="82">
        <v>29</v>
      </c>
      <c r="B31" s="82" t="s">
        <v>56</v>
      </c>
      <c r="C31" s="83" t="s">
        <v>57</v>
      </c>
      <c r="D31" s="13" t="s">
        <v>130</v>
      </c>
      <c r="E31" s="13" t="s">
        <v>130</v>
      </c>
      <c r="F31" s="13" t="s">
        <v>129</v>
      </c>
      <c r="G31" s="13" t="s">
        <v>129</v>
      </c>
      <c r="H31" s="13" t="s">
        <v>129</v>
      </c>
      <c r="I31" s="13" t="s">
        <v>129</v>
      </c>
    </row>
    <row r="32" spans="1:9" s="38" customFormat="1" ht="14.45" customHeight="1" x14ac:dyDescent="0.25">
      <c r="A32" s="82">
        <v>30</v>
      </c>
      <c r="B32" s="82" t="s">
        <v>58</v>
      </c>
      <c r="C32" s="83" t="s">
        <v>59</v>
      </c>
      <c r="D32" s="13" t="s">
        <v>130</v>
      </c>
      <c r="E32" s="13" t="s">
        <v>130</v>
      </c>
      <c r="F32" s="13" t="s">
        <v>129</v>
      </c>
      <c r="G32" s="13" t="s">
        <v>129</v>
      </c>
      <c r="H32" s="13" t="s">
        <v>129</v>
      </c>
      <c r="I32" s="13" t="s">
        <v>129</v>
      </c>
    </row>
    <row r="33" spans="1:9" s="38" customFormat="1" ht="14.45" customHeight="1" x14ac:dyDescent="0.25">
      <c r="A33" s="82">
        <v>31</v>
      </c>
      <c r="B33" s="82" t="s">
        <v>60</v>
      </c>
      <c r="C33" s="83" t="s">
        <v>61</v>
      </c>
      <c r="D33" s="13" t="s">
        <v>130</v>
      </c>
      <c r="E33" s="13" t="s">
        <v>130</v>
      </c>
      <c r="F33" s="13" t="s">
        <v>129</v>
      </c>
      <c r="G33" s="13" t="s">
        <v>129</v>
      </c>
      <c r="H33" s="13" t="s">
        <v>129</v>
      </c>
      <c r="I33" s="13" t="s">
        <v>129</v>
      </c>
    </row>
    <row r="34" spans="1:9" ht="14.45" customHeight="1" x14ac:dyDescent="0.25">
      <c r="A34" s="5">
        <v>32</v>
      </c>
      <c r="B34" s="5" t="s">
        <v>62</v>
      </c>
      <c r="C34" s="6" t="s">
        <v>63</v>
      </c>
      <c r="D34" s="7" t="s">
        <v>130</v>
      </c>
      <c r="E34" s="7" t="s">
        <v>130</v>
      </c>
      <c r="F34" s="7" t="s">
        <v>128</v>
      </c>
      <c r="G34" s="7" t="s">
        <v>128</v>
      </c>
      <c r="H34" s="7" t="s">
        <v>129</v>
      </c>
      <c r="I34" s="7" t="s">
        <v>129</v>
      </c>
    </row>
    <row r="35" spans="1:9" ht="14.45" customHeight="1" x14ac:dyDescent="0.25">
      <c r="A35" s="5">
        <v>33</v>
      </c>
      <c r="B35" s="5" t="s">
        <v>64</v>
      </c>
      <c r="C35" s="6" t="s">
        <v>65</v>
      </c>
      <c r="D35" s="7" t="s">
        <v>130</v>
      </c>
      <c r="E35" s="7" t="s">
        <v>130</v>
      </c>
      <c r="F35" s="7" t="s">
        <v>128</v>
      </c>
      <c r="G35" s="7" t="s">
        <v>128</v>
      </c>
      <c r="H35" s="7" t="s">
        <v>129</v>
      </c>
      <c r="I35" s="7" t="s">
        <v>129</v>
      </c>
    </row>
    <row r="36" spans="1:9" ht="14.45" customHeight="1" x14ac:dyDescent="0.25">
      <c r="A36" s="5">
        <v>35</v>
      </c>
      <c r="B36" s="5" t="s">
        <v>66</v>
      </c>
      <c r="C36" s="6" t="s">
        <v>67</v>
      </c>
      <c r="D36" s="7" t="s">
        <v>130</v>
      </c>
      <c r="E36" s="7" t="s">
        <v>130</v>
      </c>
      <c r="F36" s="7" t="s">
        <v>128</v>
      </c>
      <c r="G36" s="7" t="s">
        <v>129</v>
      </c>
      <c r="H36" s="7" t="s">
        <v>129</v>
      </c>
      <c r="I36" s="7" t="s">
        <v>129</v>
      </c>
    </row>
    <row r="37" spans="1:9" ht="14.45" customHeight="1" x14ac:dyDescent="0.25">
      <c r="A37" s="5">
        <v>36</v>
      </c>
      <c r="B37" s="5" t="s">
        <v>68</v>
      </c>
      <c r="C37" s="6" t="s">
        <v>69</v>
      </c>
      <c r="D37" s="7" t="s">
        <v>130</v>
      </c>
      <c r="E37" s="7" t="s">
        <v>130</v>
      </c>
      <c r="F37" s="7" t="s">
        <v>129</v>
      </c>
      <c r="G37" s="7" t="s">
        <v>129</v>
      </c>
      <c r="H37" s="7" t="s">
        <v>128</v>
      </c>
      <c r="I37" s="7" t="s">
        <v>128</v>
      </c>
    </row>
    <row r="38" spans="1:9" s="38" customFormat="1" ht="14.45" customHeight="1" x14ac:dyDescent="0.25">
      <c r="A38" s="82">
        <v>37</v>
      </c>
      <c r="B38" s="82" t="s">
        <v>70</v>
      </c>
      <c r="C38" s="83" t="s">
        <v>71</v>
      </c>
      <c r="D38" s="13" t="s">
        <v>130</v>
      </c>
      <c r="E38" s="13" t="s">
        <v>130</v>
      </c>
      <c r="F38" s="13" t="s">
        <v>129</v>
      </c>
      <c r="G38" s="13" t="s">
        <v>129</v>
      </c>
      <c r="H38" s="13" t="s">
        <v>129</v>
      </c>
      <c r="I38" s="13" t="s">
        <v>129</v>
      </c>
    </row>
    <row r="39" spans="1:9" ht="14.45" customHeight="1" x14ac:dyDescent="0.25">
      <c r="A39" s="5">
        <v>38</v>
      </c>
      <c r="B39" s="5" t="s">
        <v>72</v>
      </c>
      <c r="C39" s="6" t="s">
        <v>73</v>
      </c>
      <c r="D39" s="7" t="s">
        <v>130</v>
      </c>
      <c r="E39" s="7" t="s">
        <v>130</v>
      </c>
      <c r="F39" s="7" t="s">
        <v>128</v>
      </c>
      <c r="G39" s="7" t="s">
        <v>128</v>
      </c>
      <c r="H39" s="7" t="s">
        <v>129</v>
      </c>
      <c r="I39" s="7" t="s">
        <v>129</v>
      </c>
    </row>
    <row r="40" spans="1:9" s="38" customFormat="1" ht="14.45" customHeight="1" x14ac:dyDescent="0.25">
      <c r="A40" s="82">
        <v>39</v>
      </c>
      <c r="B40" s="82" t="s">
        <v>74</v>
      </c>
      <c r="C40" s="83" t="s">
        <v>75</v>
      </c>
      <c r="D40" s="13" t="s">
        <v>130</v>
      </c>
      <c r="E40" s="13" t="s">
        <v>130</v>
      </c>
      <c r="F40" s="13" t="s">
        <v>129</v>
      </c>
      <c r="G40" s="13" t="s">
        <v>129</v>
      </c>
      <c r="H40" s="13" t="s">
        <v>129</v>
      </c>
      <c r="I40" s="13" t="s">
        <v>129</v>
      </c>
    </row>
    <row r="41" spans="1:9" ht="14.45" customHeight="1" x14ac:dyDescent="0.25">
      <c r="A41" s="5">
        <v>40</v>
      </c>
      <c r="B41" s="5" t="s">
        <v>76</v>
      </c>
      <c r="C41" s="6" t="s">
        <v>77</v>
      </c>
      <c r="D41" s="7" t="s">
        <v>130</v>
      </c>
      <c r="E41" s="7" t="s">
        <v>130</v>
      </c>
      <c r="F41" s="7" t="s">
        <v>128</v>
      </c>
      <c r="G41" s="7" t="s">
        <v>129</v>
      </c>
      <c r="H41" s="7" t="s">
        <v>129</v>
      </c>
      <c r="I41" s="7" t="s">
        <v>129</v>
      </c>
    </row>
    <row r="42" spans="1:9" ht="14.45" customHeight="1" x14ac:dyDescent="0.25">
      <c r="A42" s="5">
        <v>41</v>
      </c>
      <c r="B42" s="5" t="s">
        <v>78</v>
      </c>
      <c r="C42" s="6" t="s">
        <v>79</v>
      </c>
      <c r="D42" s="7" t="s">
        <v>130</v>
      </c>
      <c r="E42" s="7" t="s">
        <v>130</v>
      </c>
      <c r="F42" s="7" t="s">
        <v>128</v>
      </c>
      <c r="G42" s="7" t="s">
        <v>128</v>
      </c>
      <c r="H42" s="7" t="s">
        <v>129</v>
      </c>
      <c r="I42" s="7" t="s">
        <v>129</v>
      </c>
    </row>
    <row r="43" spans="1:9" ht="14.45" customHeight="1" x14ac:dyDescent="0.25">
      <c r="A43" s="5">
        <v>42</v>
      </c>
      <c r="B43" s="5" t="s">
        <v>80</v>
      </c>
      <c r="C43" s="6" t="s">
        <v>81</v>
      </c>
      <c r="D43" s="7" t="s">
        <v>130</v>
      </c>
      <c r="E43" s="7" t="s">
        <v>130</v>
      </c>
      <c r="F43" s="7" t="s">
        <v>128</v>
      </c>
      <c r="G43" s="7" t="s">
        <v>128</v>
      </c>
      <c r="H43" s="7" t="s">
        <v>128</v>
      </c>
      <c r="I43" s="7" t="s">
        <v>128</v>
      </c>
    </row>
    <row r="44" spans="1:9" s="38" customFormat="1" ht="14.45" customHeight="1" x14ac:dyDescent="0.25">
      <c r="A44" s="82">
        <v>43</v>
      </c>
      <c r="B44" s="82" t="s">
        <v>82</v>
      </c>
      <c r="C44" s="83" t="s">
        <v>83</v>
      </c>
      <c r="D44" s="13" t="s">
        <v>130</v>
      </c>
      <c r="E44" s="13" t="s">
        <v>130</v>
      </c>
      <c r="F44" s="13" t="s">
        <v>129</v>
      </c>
      <c r="G44" s="13" t="s">
        <v>129</v>
      </c>
      <c r="H44" s="13" t="s">
        <v>129</v>
      </c>
      <c r="I44" s="13" t="s">
        <v>129</v>
      </c>
    </row>
    <row r="45" spans="1:9" s="38" customFormat="1" ht="14.45" customHeight="1" x14ac:dyDescent="0.25">
      <c r="A45" s="82">
        <v>44</v>
      </c>
      <c r="B45" s="82" t="s">
        <v>84</v>
      </c>
      <c r="C45" s="83" t="s">
        <v>85</v>
      </c>
      <c r="D45" s="13" t="s">
        <v>130</v>
      </c>
      <c r="E45" s="13" t="s">
        <v>130</v>
      </c>
      <c r="F45" s="13" t="s">
        <v>129</v>
      </c>
      <c r="G45" s="13" t="s">
        <v>129</v>
      </c>
      <c r="H45" s="13" t="s">
        <v>129</v>
      </c>
      <c r="I45" s="13" t="s">
        <v>129</v>
      </c>
    </row>
    <row r="46" spans="1:9" s="38" customFormat="1" ht="14.45" customHeight="1" x14ac:dyDescent="0.25">
      <c r="A46" s="82">
        <v>45</v>
      </c>
      <c r="B46" s="82" t="s">
        <v>86</v>
      </c>
      <c r="C46" s="83" t="s">
        <v>87</v>
      </c>
      <c r="D46" s="13" t="s">
        <v>130</v>
      </c>
      <c r="E46" s="13" t="s">
        <v>130</v>
      </c>
      <c r="F46" s="13" t="s">
        <v>129</v>
      </c>
      <c r="G46" s="13" t="s">
        <v>129</v>
      </c>
      <c r="H46" s="13" t="s">
        <v>129</v>
      </c>
      <c r="I46" s="13" t="s">
        <v>129</v>
      </c>
    </row>
    <row r="47" spans="1:9" s="38" customFormat="1" ht="14.45" customHeight="1" x14ac:dyDescent="0.25">
      <c r="A47" s="82">
        <v>46</v>
      </c>
      <c r="B47" s="82" t="s">
        <v>88</v>
      </c>
      <c r="C47" s="83" t="s">
        <v>89</v>
      </c>
      <c r="D47" s="13" t="s">
        <v>130</v>
      </c>
      <c r="E47" s="13" t="s">
        <v>130</v>
      </c>
      <c r="F47" s="13" t="s">
        <v>129</v>
      </c>
      <c r="G47" s="13" t="s">
        <v>129</v>
      </c>
      <c r="H47" s="13" t="s">
        <v>129</v>
      </c>
      <c r="I47" s="13" t="s">
        <v>129</v>
      </c>
    </row>
    <row r="48" spans="1:9" s="38" customFormat="1" ht="14.45" customHeight="1" x14ac:dyDescent="0.25">
      <c r="A48" s="82">
        <v>47</v>
      </c>
      <c r="B48" s="82" t="s">
        <v>90</v>
      </c>
      <c r="C48" s="83" t="s">
        <v>91</v>
      </c>
      <c r="D48" s="13" t="s">
        <v>130</v>
      </c>
      <c r="E48" s="13" t="s">
        <v>130</v>
      </c>
      <c r="F48" s="13" t="s">
        <v>129</v>
      </c>
      <c r="G48" s="13" t="s">
        <v>129</v>
      </c>
      <c r="H48" s="13" t="s">
        <v>129</v>
      </c>
      <c r="I48" s="13" t="s">
        <v>129</v>
      </c>
    </row>
    <row r="49" spans="1:9" s="38" customFormat="1" ht="14.45" customHeight="1" x14ac:dyDescent="0.25">
      <c r="A49" s="82">
        <v>48</v>
      </c>
      <c r="B49" s="82" t="s">
        <v>92</v>
      </c>
      <c r="C49" s="83" t="s">
        <v>93</v>
      </c>
      <c r="D49" s="13" t="s">
        <v>130</v>
      </c>
      <c r="E49" s="13" t="s">
        <v>130</v>
      </c>
      <c r="F49" s="13" t="s">
        <v>129</v>
      </c>
      <c r="G49" s="13" t="s">
        <v>129</v>
      </c>
      <c r="H49" s="13" t="s">
        <v>129</v>
      </c>
      <c r="I49" s="13" t="s">
        <v>129</v>
      </c>
    </row>
    <row r="50" spans="1:9" ht="14.45" customHeight="1" x14ac:dyDescent="0.25">
      <c r="A50" s="5">
        <v>49</v>
      </c>
      <c r="B50" s="5" t="s">
        <v>94</v>
      </c>
      <c r="C50" s="6" t="s">
        <v>95</v>
      </c>
      <c r="D50" s="7" t="s">
        <v>130</v>
      </c>
      <c r="E50" s="7" t="s">
        <v>130</v>
      </c>
      <c r="F50" s="7" t="s">
        <v>128</v>
      </c>
      <c r="G50" s="7" t="s">
        <v>129</v>
      </c>
      <c r="H50" s="7" t="s">
        <v>129</v>
      </c>
      <c r="I50" s="7" t="s">
        <v>129</v>
      </c>
    </row>
    <row r="51" spans="1:9" ht="14.45" customHeight="1" x14ac:dyDescent="0.25">
      <c r="A51" s="5">
        <v>50</v>
      </c>
      <c r="B51" s="5" t="s">
        <v>96</v>
      </c>
      <c r="C51" s="6" t="s">
        <v>97</v>
      </c>
      <c r="D51" s="7" t="s">
        <v>130</v>
      </c>
      <c r="E51" s="7" t="s">
        <v>130</v>
      </c>
      <c r="F51" s="7" t="s">
        <v>128</v>
      </c>
      <c r="G51" s="7" t="s">
        <v>128</v>
      </c>
      <c r="H51" s="7" t="s">
        <v>129</v>
      </c>
      <c r="I51" s="7" t="s">
        <v>129</v>
      </c>
    </row>
    <row r="52" spans="1:9" ht="14.45" customHeight="1" x14ac:dyDescent="0.25">
      <c r="A52" s="5">
        <v>51</v>
      </c>
      <c r="B52" s="5" t="s">
        <v>98</v>
      </c>
      <c r="C52" s="6" t="s">
        <v>99</v>
      </c>
      <c r="D52" s="7" t="s">
        <v>130</v>
      </c>
      <c r="E52" s="7" t="s">
        <v>130</v>
      </c>
      <c r="F52" s="7" t="s">
        <v>128</v>
      </c>
      <c r="G52" s="7" t="s">
        <v>128</v>
      </c>
      <c r="H52" s="7" t="s">
        <v>129</v>
      </c>
      <c r="I52" s="7" t="s">
        <v>129</v>
      </c>
    </row>
    <row r="53" spans="1:9" ht="14.25" customHeight="1" x14ac:dyDescent="0.25">
      <c r="A53" s="5">
        <v>52</v>
      </c>
      <c r="B53" s="5" t="s">
        <v>100</v>
      </c>
      <c r="C53" s="6" t="s">
        <v>101</v>
      </c>
      <c r="D53" s="7" t="s">
        <v>130</v>
      </c>
      <c r="E53" s="7" t="s">
        <v>130</v>
      </c>
      <c r="F53" s="7" t="s">
        <v>129</v>
      </c>
      <c r="G53" s="7" t="s">
        <v>129</v>
      </c>
      <c r="H53" s="7" t="s">
        <v>128</v>
      </c>
      <c r="I53" s="7" t="s">
        <v>128</v>
      </c>
    </row>
    <row r="54" spans="1:9" s="38" customFormat="1" ht="14.45" customHeight="1" x14ac:dyDescent="0.25">
      <c r="A54" s="82">
        <v>53</v>
      </c>
      <c r="B54" s="82" t="s">
        <v>102</v>
      </c>
      <c r="C54" s="83" t="s">
        <v>103</v>
      </c>
      <c r="D54" s="13" t="s">
        <v>130</v>
      </c>
      <c r="E54" s="13" t="s">
        <v>130</v>
      </c>
      <c r="F54" s="13" t="s">
        <v>129</v>
      </c>
      <c r="G54" s="13" t="s">
        <v>129</v>
      </c>
      <c r="H54" s="13" t="s">
        <v>129</v>
      </c>
      <c r="I54" s="13" t="s">
        <v>129</v>
      </c>
    </row>
    <row r="55" spans="1:9" ht="14.45" customHeight="1" x14ac:dyDescent="0.25">
      <c r="A55" s="5">
        <v>54</v>
      </c>
      <c r="B55" s="5" t="s">
        <v>104</v>
      </c>
      <c r="C55" s="6" t="s">
        <v>105</v>
      </c>
      <c r="D55" s="7" t="s">
        <v>130</v>
      </c>
      <c r="E55" s="7" t="s">
        <v>130</v>
      </c>
      <c r="F55" s="7" t="s">
        <v>128</v>
      </c>
      <c r="G55" s="7" t="s">
        <v>129</v>
      </c>
      <c r="H55" s="7" t="s">
        <v>129</v>
      </c>
      <c r="I55" s="7" t="s">
        <v>129</v>
      </c>
    </row>
    <row r="56" spans="1:9" ht="14.45" customHeight="1" x14ac:dyDescent="0.25">
      <c r="A56" s="5">
        <v>55</v>
      </c>
      <c r="B56" s="5" t="s">
        <v>106</v>
      </c>
      <c r="C56" s="6" t="s">
        <v>107</v>
      </c>
      <c r="D56" s="7" t="s">
        <v>130</v>
      </c>
      <c r="E56" s="7" t="s">
        <v>130</v>
      </c>
      <c r="F56" s="7" t="s">
        <v>128</v>
      </c>
      <c r="G56" s="7" t="s">
        <v>128</v>
      </c>
      <c r="H56" s="7" t="s">
        <v>129</v>
      </c>
      <c r="I56" s="7" t="s">
        <v>129</v>
      </c>
    </row>
    <row r="57" spans="1:9" s="38" customFormat="1" ht="14.45" customHeight="1" x14ac:dyDescent="0.25">
      <c r="A57" s="82">
        <v>56</v>
      </c>
      <c r="B57" s="82" t="s">
        <v>108</v>
      </c>
      <c r="C57" s="83" t="s">
        <v>109</v>
      </c>
      <c r="D57" s="13" t="s">
        <v>130</v>
      </c>
      <c r="E57" s="13" t="s">
        <v>130</v>
      </c>
      <c r="F57" s="13" t="s">
        <v>129</v>
      </c>
      <c r="G57" s="13" t="s">
        <v>129</v>
      </c>
      <c r="H57" s="13" t="s">
        <v>129</v>
      </c>
      <c r="I57" s="13" t="s">
        <v>129</v>
      </c>
    </row>
    <row r="58" spans="1:9" s="38" customFormat="1" ht="14.45" customHeight="1" x14ac:dyDescent="0.25">
      <c r="A58" s="82">
        <v>57</v>
      </c>
      <c r="B58" s="82" t="s">
        <v>110</v>
      </c>
      <c r="C58" s="83" t="s">
        <v>111</v>
      </c>
      <c r="D58" s="13" t="s">
        <v>130</v>
      </c>
      <c r="E58" s="13" t="s">
        <v>130</v>
      </c>
      <c r="F58" s="13" t="s">
        <v>129</v>
      </c>
      <c r="G58" s="13" t="s">
        <v>129</v>
      </c>
      <c r="H58" s="13" t="s">
        <v>129</v>
      </c>
      <c r="I58" s="13" t="s">
        <v>129</v>
      </c>
    </row>
    <row r="59" spans="1:9" ht="14.45" customHeight="1" x14ac:dyDescent="0.25">
      <c r="A59" s="5">
        <v>58</v>
      </c>
      <c r="B59" s="5" t="s">
        <v>112</v>
      </c>
      <c r="C59" s="6" t="s">
        <v>113</v>
      </c>
      <c r="D59" s="7" t="s">
        <v>128</v>
      </c>
      <c r="E59" s="7" t="s">
        <v>128</v>
      </c>
      <c r="F59" s="7"/>
      <c r="G59" s="7"/>
      <c r="H59" s="7"/>
      <c r="I59" s="7"/>
    </row>
    <row r="60" spans="1:9" ht="14.45" customHeight="1" x14ac:dyDescent="0.25">
      <c r="A60" s="5">
        <v>59</v>
      </c>
      <c r="B60" s="5" t="s">
        <v>114</v>
      </c>
      <c r="C60" s="6" t="s">
        <v>115</v>
      </c>
      <c r="D60" s="7" t="s">
        <v>128</v>
      </c>
      <c r="E60" s="7" t="s">
        <v>129</v>
      </c>
      <c r="F60" s="7" t="s">
        <v>129</v>
      </c>
      <c r="G60" s="7" t="s">
        <v>129</v>
      </c>
      <c r="H60" s="7" t="s">
        <v>129</v>
      </c>
      <c r="I60" s="7" t="s">
        <v>129</v>
      </c>
    </row>
    <row r="61" spans="1:9" ht="14.45" customHeight="1" x14ac:dyDescent="0.25">
      <c r="A61" s="5">
        <v>60</v>
      </c>
      <c r="B61" s="5" t="s">
        <v>116</v>
      </c>
      <c r="C61" s="6" t="s">
        <v>117</v>
      </c>
      <c r="D61" s="7" t="s">
        <v>128</v>
      </c>
      <c r="E61" s="7" t="s">
        <v>128</v>
      </c>
      <c r="F61" s="7"/>
      <c r="G61" s="7"/>
      <c r="H61" s="7"/>
      <c r="I61" s="7"/>
    </row>
    <row r="62" spans="1:9" ht="14.45" customHeight="1" x14ac:dyDescent="0.25">
      <c r="A62" s="5">
        <v>61</v>
      </c>
      <c r="B62" s="5" t="s">
        <v>118</v>
      </c>
      <c r="C62" s="6" t="s">
        <v>119</v>
      </c>
      <c r="D62" s="7" t="s">
        <v>128</v>
      </c>
      <c r="E62" s="7" t="s">
        <v>129</v>
      </c>
      <c r="F62" s="7" t="s">
        <v>128</v>
      </c>
      <c r="G62" s="7"/>
      <c r="H62" s="7" t="s">
        <v>128</v>
      </c>
      <c r="I62" s="7"/>
    </row>
    <row r="63" spans="1:9" ht="14.45" customHeight="1" x14ac:dyDescent="0.25">
      <c r="A63" s="5">
        <v>62</v>
      </c>
      <c r="B63" s="5" t="s">
        <v>120</v>
      </c>
      <c r="C63" s="6" t="s">
        <v>121</v>
      </c>
      <c r="D63" s="7" t="s">
        <v>128</v>
      </c>
      <c r="E63" s="7" t="s">
        <v>128</v>
      </c>
      <c r="F63" s="7" t="s">
        <v>128</v>
      </c>
      <c r="G63" s="7" t="s">
        <v>128</v>
      </c>
      <c r="H63" s="7" t="s">
        <v>128</v>
      </c>
      <c r="I63" s="7" t="s">
        <v>128</v>
      </c>
    </row>
    <row r="65" spans="1:3" ht="31.5" x14ac:dyDescent="0.25">
      <c r="A65" s="81"/>
      <c r="B65" s="84" t="s">
        <v>168</v>
      </c>
      <c r="C65" s="85" t="s">
        <v>169</v>
      </c>
    </row>
    <row r="66" spans="1:3" ht="15.75" x14ac:dyDescent="0.25">
      <c r="C66" s="86" t="s">
        <v>170</v>
      </c>
    </row>
  </sheetData>
  <mergeCells count="6">
    <mergeCell ref="H1:I1"/>
    <mergeCell ref="D1:E1"/>
    <mergeCell ref="A1:A2"/>
    <mergeCell ref="B1:B2"/>
    <mergeCell ref="C1:C2"/>
    <mergeCell ref="F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9985B-827E-44AE-9626-24F2D3DA006C}">
  <dimension ref="A1:G55"/>
  <sheetViews>
    <sheetView tabSelected="1" topLeftCell="C50" workbookViewId="0">
      <selection activeCell="I68" sqref="I68"/>
    </sheetView>
  </sheetViews>
  <sheetFormatPr defaultRowHeight="15" x14ac:dyDescent="0.25"/>
  <cols>
    <col min="2" max="2" width="29.42578125" customWidth="1"/>
    <col min="6" max="6" width="20.28515625" customWidth="1"/>
  </cols>
  <sheetData>
    <row r="1" spans="1:7" ht="45" x14ac:dyDescent="0.25">
      <c r="A1" s="33" t="s">
        <v>123</v>
      </c>
      <c r="B1" s="33" t="s">
        <v>124</v>
      </c>
      <c r="C1" s="33" t="s">
        <v>163</v>
      </c>
      <c r="D1" s="92" t="s">
        <v>131</v>
      </c>
      <c r="E1" s="92" t="s">
        <v>132</v>
      </c>
      <c r="F1" s="92" t="s">
        <v>171</v>
      </c>
      <c r="G1" s="92" t="s">
        <v>172</v>
      </c>
    </row>
    <row r="2" spans="1:7" x14ac:dyDescent="0.25">
      <c r="A2" s="28" t="s">
        <v>2</v>
      </c>
      <c r="B2" s="28" t="s">
        <v>3</v>
      </c>
      <c r="C2" s="28">
        <v>2020</v>
      </c>
      <c r="D2" s="28">
        <v>0.59651378442047753</v>
      </c>
      <c r="E2" s="28">
        <v>6.2221666785888395E-4</v>
      </c>
      <c r="F2" s="76">
        <v>-1.5982072377818568E-2</v>
      </c>
      <c r="G2" s="76">
        <v>-0.14437259739479752</v>
      </c>
    </row>
    <row r="3" spans="1:7" x14ac:dyDescent="0.25">
      <c r="A3" s="28"/>
      <c r="B3" s="28"/>
      <c r="C3" s="28">
        <v>2021</v>
      </c>
      <c r="D3" s="28">
        <v>0.87168385794367864</v>
      </c>
      <c r="E3" s="28">
        <v>2.16789644096571E-3</v>
      </c>
      <c r="F3" s="76">
        <v>0.13110814688569755</v>
      </c>
      <c r="G3" s="76">
        <v>-0.11470026676071175</v>
      </c>
    </row>
    <row r="4" spans="1:7" x14ac:dyDescent="0.25">
      <c r="A4" s="28" t="s">
        <v>4</v>
      </c>
      <c r="B4" s="28" t="s">
        <v>5</v>
      </c>
      <c r="C4" s="28">
        <v>2020</v>
      </c>
      <c r="D4" s="28">
        <v>0.64874407441537374</v>
      </c>
      <c r="E4" s="28">
        <v>1.8143659687379601E-2</v>
      </c>
      <c r="F4" s="76">
        <v>8.0516624027440642E-2</v>
      </c>
      <c r="G4" s="76">
        <v>0.27015279792096175</v>
      </c>
    </row>
    <row r="5" spans="1:7" x14ac:dyDescent="0.25">
      <c r="A5" s="28"/>
      <c r="B5" s="28"/>
      <c r="C5" s="28">
        <v>2021</v>
      </c>
      <c r="D5" s="28">
        <v>0.77723146179603342</v>
      </c>
      <c r="E5" s="28">
        <v>3.7696754565625733E-2</v>
      </c>
      <c r="F5" s="76">
        <v>0.24598888606740488</v>
      </c>
      <c r="G5" s="76">
        <v>7.4650163024148009E-2</v>
      </c>
    </row>
    <row r="6" spans="1:7" x14ac:dyDescent="0.25">
      <c r="A6" s="28" t="s">
        <v>8</v>
      </c>
      <c r="B6" s="28" t="s">
        <v>9</v>
      </c>
      <c r="C6" s="28">
        <v>2020</v>
      </c>
      <c r="D6" s="28">
        <v>0.79543482275082922</v>
      </c>
      <c r="E6" s="28">
        <v>8.5147902697105635E-2</v>
      </c>
      <c r="F6" s="76">
        <v>-0.33844060758950434</v>
      </c>
      <c r="G6" s="76">
        <v>-0.13480891837869174</v>
      </c>
    </row>
    <row r="7" spans="1:7" x14ac:dyDescent="0.25">
      <c r="A7" s="28"/>
      <c r="B7" s="28"/>
      <c r="C7" s="28">
        <v>2021</v>
      </c>
      <c r="D7" s="28">
        <v>0.85003299255720566</v>
      </c>
      <c r="E7" s="28">
        <v>9.1540282142160409E-2</v>
      </c>
      <c r="F7" s="76">
        <v>-0.89576912745915527</v>
      </c>
      <c r="G7" s="76">
        <v>-0.12325939734219667</v>
      </c>
    </row>
    <row r="8" spans="1:7" x14ac:dyDescent="0.25">
      <c r="A8" s="28" t="s">
        <v>14</v>
      </c>
      <c r="B8" s="28" t="s">
        <v>15</v>
      </c>
      <c r="C8" s="28">
        <v>2020</v>
      </c>
      <c r="D8" s="28">
        <v>0.7365342098832941</v>
      </c>
      <c r="E8" s="28">
        <v>2.273620105901563E-2</v>
      </c>
      <c r="F8" s="76">
        <v>-0.15157293121670801</v>
      </c>
      <c r="G8" s="76">
        <v>-0.12916036020483213</v>
      </c>
    </row>
    <row r="9" spans="1:7" x14ac:dyDescent="0.25">
      <c r="A9" s="28"/>
      <c r="B9" s="28"/>
      <c r="C9" s="28">
        <v>2021</v>
      </c>
      <c r="D9" s="28">
        <v>0.77542930334865057</v>
      </c>
      <c r="E9" s="28">
        <v>4.5923967352904951E-2</v>
      </c>
      <c r="F9" s="76">
        <v>-7.8569867193400533E-2</v>
      </c>
      <c r="G9" s="76">
        <v>0.22888077912633914</v>
      </c>
    </row>
    <row r="10" spans="1:7" x14ac:dyDescent="0.25">
      <c r="A10" s="28" t="s">
        <v>18</v>
      </c>
      <c r="B10" s="28" t="s">
        <v>19</v>
      </c>
      <c r="C10" s="28">
        <v>2020</v>
      </c>
      <c r="D10" s="28">
        <v>2.5415187639780865</v>
      </c>
      <c r="E10" s="28">
        <v>5.4852625803868005E-3</v>
      </c>
      <c r="F10" s="76">
        <v>-9.4093509809689557E-2</v>
      </c>
      <c r="G10" s="76">
        <v>-3.1866204869246331</v>
      </c>
    </row>
    <row r="11" spans="1:7" x14ac:dyDescent="0.25">
      <c r="A11" s="28"/>
      <c r="B11" s="28"/>
      <c r="C11" s="28">
        <v>2021</v>
      </c>
      <c r="D11" s="28">
        <v>0.75418848167539265</v>
      </c>
      <c r="E11" s="28">
        <v>1.7701015879943396E-2</v>
      </c>
      <c r="F11" s="76">
        <v>3.0385734190118363E-2</v>
      </c>
      <c r="G11" s="76">
        <v>3.319440585347782</v>
      </c>
    </row>
    <row r="12" spans="1:7" x14ac:dyDescent="0.25">
      <c r="A12" s="28" t="s">
        <v>22</v>
      </c>
      <c r="B12" s="28" t="s">
        <v>23</v>
      </c>
      <c r="C12" s="28">
        <v>2020</v>
      </c>
      <c r="D12" s="28">
        <v>0.91956346001207601</v>
      </c>
      <c r="E12" s="28">
        <v>3.8894226357294802E-2</v>
      </c>
      <c r="F12" s="76">
        <v>-0.61450539736024723</v>
      </c>
      <c r="G12" s="76">
        <v>-0.13522499938022908</v>
      </c>
    </row>
    <row r="13" spans="1:7" x14ac:dyDescent="0.25">
      <c r="A13" s="28"/>
      <c r="B13" s="28"/>
      <c r="C13" s="28">
        <v>2021</v>
      </c>
      <c r="D13" s="28">
        <v>0.81842101001207146</v>
      </c>
      <c r="E13" s="28">
        <v>4.0469717182851112E-2</v>
      </c>
      <c r="F13" s="76">
        <v>0.13738324426753223</v>
      </c>
      <c r="G13" s="76">
        <v>0.47572433050480595</v>
      </c>
    </row>
    <row r="14" spans="1:7" x14ac:dyDescent="0.25">
      <c r="A14" s="28" t="s">
        <v>26</v>
      </c>
      <c r="B14" s="28" t="s">
        <v>27</v>
      </c>
      <c r="C14" s="28">
        <v>2020</v>
      </c>
      <c r="D14" s="28">
        <v>0.72893968955089383</v>
      </c>
      <c r="E14" s="28">
        <v>6.4539795546129991E-3</v>
      </c>
      <c r="F14" s="76">
        <v>-0.16557833733316052</v>
      </c>
      <c r="G14" s="76">
        <v>0.77483529648961758</v>
      </c>
    </row>
    <row r="15" spans="1:7" x14ac:dyDescent="0.25">
      <c r="A15" s="28"/>
      <c r="B15" s="28"/>
      <c r="C15" s="28">
        <v>2021</v>
      </c>
      <c r="D15" s="28">
        <v>0.83714002186317793</v>
      </c>
      <c r="E15" s="28">
        <v>6.6356261994302036E-3</v>
      </c>
      <c r="F15" s="76">
        <v>0.24884016197153347</v>
      </c>
      <c r="G15" s="76">
        <v>-0.33942814840848762</v>
      </c>
    </row>
    <row r="16" spans="1:7" x14ac:dyDescent="0.25">
      <c r="A16" s="28" t="s">
        <v>40</v>
      </c>
      <c r="B16" s="28" t="s">
        <v>41</v>
      </c>
      <c r="C16" s="28">
        <v>2020</v>
      </c>
      <c r="D16" s="28">
        <v>0.75540277019065016</v>
      </c>
      <c r="E16" s="28">
        <v>0.12073471599218595</v>
      </c>
      <c r="F16" s="76">
        <v>-0.94017635584199599</v>
      </c>
      <c r="G16" s="76">
        <v>-6.2784886383545055E-2</v>
      </c>
    </row>
    <row r="17" spans="1:7" x14ac:dyDescent="0.25">
      <c r="A17" s="28"/>
      <c r="B17" s="28"/>
      <c r="C17" s="28">
        <v>2021</v>
      </c>
      <c r="D17" s="28">
        <v>0.77059511157417204</v>
      </c>
      <c r="E17" s="28">
        <v>9.0830884177051679E-2</v>
      </c>
      <c r="F17" s="76">
        <v>0.55366967694822655</v>
      </c>
      <c r="G17" s="76">
        <v>-7.2762454264002255E-2</v>
      </c>
    </row>
    <row r="18" spans="1:7" x14ac:dyDescent="0.25">
      <c r="A18" s="28" t="s">
        <v>42</v>
      </c>
      <c r="B18" s="28" t="s">
        <v>43</v>
      </c>
      <c r="C18" s="28">
        <v>2020</v>
      </c>
      <c r="D18" s="28">
        <v>0.83027372279473499</v>
      </c>
      <c r="E18" s="28">
        <v>1.9262525099900667E-2</v>
      </c>
      <c r="F18" s="76">
        <v>4.8984941886808242E-3</v>
      </c>
      <c r="G18" s="76">
        <v>-0.60810471335421623</v>
      </c>
    </row>
    <row r="19" spans="1:7" x14ac:dyDescent="0.25">
      <c r="A19" s="28"/>
      <c r="B19" s="28"/>
      <c r="C19" s="28">
        <v>2021</v>
      </c>
      <c r="D19" s="28">
        <v>0.40923534871543188</v>
      </c>
      <c r="E19" s="28">
        <v>3.9106820388314211E-3</v>
      </c>
      <c r="F19" s="76">
        <v>-1.5252382636687933E-2</v>
      </c>
      <c r="G19" s="76">
        <v>0.23526877084121536</v>
      </c>
    </row>
    <row r="20" spans="1:7" x14ac:dyDescent="0.25">
      <c r="A20" s="28" t="s">
        <v>44</v>
      </c>
      <c r="B20" s="28" t="s">
        <v>45</v>
      </c>
      <c r="C20" s="28">
        <v>2020</v>
      </c>
      <c r="D20" s="28">
        <v>1</v>
      </c>
      <c r="E20" s="28">
        <v>2.4813803524684708E-2</v>
      </c>
      <c r="F20" s="76">
        <v>-1.8941055736536843</v>
      </c>
      <c r="G20" s="76">
        <v>0</v>
      </c>
    </row>
    <row r="21" spans="1:7" x14ac:dyDescent="0.25">
      <c r="A21" s="28"/>
      <c r="B21" s="28"/>
      <c r="C21" s="28">
        <v>2021</v>
      </c>
      <c r="D21" s="28">
        <v>1</v>
      </c>
      <c r="E21" s="28">
        <v>2.41014544950214E-2</v>
      </c>
      <c r="F21" s="76">
        <v>1.8761349045466496</v>
      </c>
      <c r="G21" s="76">
        <v>0</v>
      </c>
    </row>
    <row r="22" spans="1:7" x14ac:dyDescent="0.25">
      <c r="A22" s="28" t="s">
        <v>46</v>
      </c>
      <c r="B22" s="28" t="s">
        <v>47</v>
      </c>
      <c r="C22" s="28">
        <v>2020</v>
      </c>
      <c r="D22" s="28">
        <v>0.93051047875573756</v>
      </c>
      <c r="E22" s="28">
        <v>5.8409699933453848E-3</v>
      </c>
      <c r="F22" s="76">
        <v>-2.8701965505318965</v>
      </c>
      <c r="G22" s="76">
        <v>-0.14958661469073389</v>
      </c>
    </row>
    <row r="23" spans="1:7" x14ac:dyDescent="0.25">
      <c r="A23" s="28"/>
      <c r="B23" s="28"/>
      <c r="C23" s="28">
        <v>2021</v>
      </c>
      <c r="D23" s="28">
        <v>0.95860179944664692</v>
      </c>
      <c r="E23" s="28">
        <v>6.5034548605611888E-3</v>
      </c>
      <c r="F23" s="76">
        <v>0.5709763137310393</v>
      </c>
      <c r="G23" s="76">
        <v>-0.1976192272756884</v>
      </c>
    </row>
    <row r="24" spans="1:7" x14ac:dyDescent="0.25">
      <c r="A24" s="28" t="s">
        <v>52</v>
      </c>
      <c r="B24" s="28" t="s">
        <v>53</v>
      </c>
      <c r="C24" s="28">
        <v>2020</v>
      </c>
      <c r="D24" s="28">
        <v>0.70659721992190549</v>
      </c>
      <c r="E24" s="28">
        <v>2.9204215413672397E-2</v>
      </c>
      <c r="F24" s="76">
        <v>0.21959175817417531</v>
      </c>
      <c r="G24" s="76">
        <v>0.10809255496952531</v>
      </c>
    </row>
    <row r="25" spans="1:7" x14ac:dyDescent="0.25">
      <c r="A25" s="28"/>
      <c r="B25" s="28"/>
      <c r="C25" s="28">
        <v>2021</v>
      </c>
      <c r="D25" s="28">
        <v>0.82716052571225496</v>
      </c>
      <c r="E25" s="28">
        <v>3.8245434994883622E-2</v>
      </c>
      <c r="F25" s="76">
        <v>-0.13076014183727125</v>
      </c>
      <c r="G25" s="76">
        <v>-0.13925213089831495</v>
      </c>
    </row>
    <row r="26" spans="1:7" x14ac:dyDescent="0.25">
      <c r="A26" s="28" t="s">
        <v>54</v>
      </c>
      <c r="B26" s="28" t="s">
        <v>55</v>
      </c>
      <c r="C26" s="28">
        <v>2020</v>
      </c>
      <c r="D26" s="28">
        <v>0.76242424242424245</v>
      </c>
      <c r="E26" s="28">
        <v>0.11971588585220071</v>
      </c>
      <c r="F26" s="76">
        <v>-5.7483099096148821E-2</v>
      </c>
      <c r="G26" s="76">
        <v>0.99776281792989963</v>
      </c>
    </row>
    <row r="27" spans="1:7" x14ac:dyDescent="0.25">
      <c r="A27" s="28"/>
      <c r="B27" s="28"/>
      <c r="C27" s="28">
        <v>2021</v>
      </c>
      <c r="D27" s="28">
        <v>0.77723338980722556</v>
      </c>
      <c r="E27" s="28">
        <v>0.12247460170861232</v>
      </c>
      <c r="F27" s="76">
        <v>-0.31806197623643673</v>
      </c>
      <c r="G27" s="76">
        <v>2.7346637102734665E-2</v>
      </c>
    </row>
    <row r="28" spans="1:7" x14ac:dyDescent="0.25">
      <c r="A28" s="28" t="s">
        <v>56</v>
      </c>
      <c r="B28" s="28" t="s">
        <v>57</v>
      </c>
      <c r="C28" s="28">
        <v>2020</v>
      </c>
      <c r="D28" s="28">
        <v>0.96748307453282356</v>
      </c>
      <c r="E28" s="28">
        <v>3.7583424313395071E-2</v>
      </c>
      <c r="F28" s="76">
        <v>2.1210929318787444</v>
      </c>
      <c r="G28" s="76">
        <v>0.12975143251318513</v>
      </c>
    </row>
    <row r="29" spans="1:7" x14ac:dyDescent="0.25">
      <c r="A29" s="28"/>
      <c r="B29" s="28"/>
      <c r="C29" s="28">
        <v>2021</v>
      </c>
      <c r="D29" s="28">
        <v>0.98570150642946552</v>
      </c>
      <c r="E29" s="28">
        <v>3.7265124874154197E-2</v>
      </c>
      <c r="F29" s="76">
        <v>-1.8972399793065413</v>
      </c>
      <c r="G29" s="76">
        <v>-0.42451925028651372</v>
      </c>
    </row>
    <row r="30" spans="1:7" x14ac:dyDescent="0.25">
      <c r="A30" s="28" t="s">
        <v>58</v>
      </c>
      <c r="B30" s="28" t="s">
        <v>59</v>
      </c>
      <c r="C30" s="28">
        <v>2020</v>
      </c>
      <c r="D30" s="28">
        <v>0.83956555624564388</v>
      </c>
      <c r="E30" s="28">
        <v>8.331837936556831E-2</v>
      </c>
      <c r="F30" s="76">
        <v>-0.10786330430601065</v>
      </c>
      <c r="G30" s="76">
        <v>-0.23710037875388179</v>
      </c>
    </row>
    <row r="31" spans="1:7" x14ac:dyDescent="0.25">
      <c r="A31" s="28"/>
      <c r="B31" s="28"/>
      <c r="C31" s="28">
        <v>2021</v>
      </c>
      <c r="D31" s="28">
        <v>0.85112373141431874</v>
      </c>
      <c r="E31" s="28">
        <v>5.2376494922349186E-2</v>
      </c>
      <c r="F31" s="76">
        <v>0.75487703810393647</v>
      </c>
      <c r="G31" s="76">
        <v>-0.1180447542789497</v>
      </c>
    </row>
    <row r="32" spans="1:7" x14ac:dyDescent="0.25">
      <c r="A32" s="28" t="s">
        <v>60</v>
      </c>
      <c r="B32" s="28" t="s">
        <v>61</v>
      </c>
      <c r="C32" s="28">
        <v>2020</v>
      </c>
      <c r="D32" s="28">
        <v>1.0388906558479696</v>
      </c>
      <c r="E32" s="28">
        <v>4.7327318920631356E-3</v>
      </c>
      <c r="F32" s="76">
        <v>-1.0219963008820745</v>
      </c>
      <c r="G32" s="76">
        <v>-1.1545307977322152</v>
      </c>
    </row>
    <row r="33" spans="1:7" x14ac:dyDescent="0.25">
      <c r="A33" s="28"/>
      <c r="B33" s="28"/>
      <c r="C33" s="28">
        <v>2021</v>
      </c>
      <c r="D33" s="28">
        <v>1.090307979286971</v>
      </c>
      <c r="E33" s="28">
        <v>3.0903270045558153E-3</v>
      </c>
      <c r="F33" s="76">
        <v>3.7209304910213903E-2</v>
      </c>
      <c r="G33" s="76">
        <v>0.19088427767521662</v>
      </c>
    </row>
    <row r="34" spans="1:7" x14ac:dyDescent="0.25">
      <c r="A34" s="28" t="s">
        <v>70</v>
      </c>
      <c r="B34" s="28" t="s">
        <v>71</v>
      </c>
      <c r="C34" s="28">
        <v>2020</v>
      </c>
      <c r="D34" s="28">
        <v>0.81270564374776522</v>
      </c>
      <c r="E34" s="28">
        <v>6.1449240716467193E-2</v>
      </c>
      <c r="F34" s="76">
        <v>-3.5448207026749223E-2</v>
      </c>
      <c r="G34" s="76">
        <v>-2.3500258974046081E-4</v>
      </c>
    </row>
    <row r="35" spans="1:7" x14ac:dyDescent="0.25">
      <c r="A35" s="28"/>
      <c r="B35" s="28"/>
      <c r="C35" s="28">
        <v>2021</v>
      </c>
      <c r="D35" s="28">
        <v>0.90071236584280578</v>
      </c>
      <c r="E35" s="28">
        <v>0.10722927588213105</v>
      </c>
      <c r="F35" s="76">
        <v>3.8795431309891057</v>
      </c>
      <c r="G35" s="76">
        <v>-1.1212526760628271E-2</v>
      </c>
    </row>
    <row r="36" spans="1:7" x14ac:dyDescent="0.25">
      <c r="A36" s="28" t="s">
        <v>74</v>
      </c>
      <c r="B36" s="28" t="s">
        <v>75</v>
      </c>
      <c r="C36" s="28">
        <v>2020</v>
      </c>
      <c r="D36" s="28">
        <v>0.59394406802904653</v>
      </c>
      <c r="E36" s="28">
        <v>9.7153415014063511E-3</v>
      </c>
      <c r="F36" s="76">
        <v>-6.035593976350917E-2</v>
      </c>
      <c r="G36" s="76">
        <v>2.5598795733777653</v>
      </c>
    </row>
    <row r="37" spans="1:7" x14ac:dyDescent="0.25">
      <c r="A37" s="28"/>
      <c r="B37" s="28"/>
      <c r="C37" s="28">
        <v>2021</v>
      </c>
      <c r="D37" s="28">
        <v>0.86766149500366274</v>
      </c>
      <c r="E37" s="28">
        <v>1.607607995836205E-2</v>
      </c>
      <c r="F37" s="76">
        <v>1.5480450700903168</v>
      </c>
      <c r="G37" s="76">
        <v>-0.4404085207566909</v>
      </c>
    </row>
    <row r="38" spans="1:7" x14ac:dyDescent="0.25">
      <c r="A38" s="28" t="s">
        <v>82</v>
      </c>
      <c r="B38" s="28" t="s">
        <v>83</v>
      </c>
      <c r="C38" s="28">
        <v>2020</v>
      </c>
      <c r="D38" s="28">
        <v>0.91000047595373879</v>
      </c>
      <c r="E38" s="28">
        <v>1.7123974740168135E-2</v>
      </c>
      <c r="F38" s="76">
        <v>-1.1333125647744691</v>
      </c>
      <c r="G38" s="76">
        <v>-0.11900954848357043</v>
      </c>
    </row>
    <row r="39" spans="1:7" x14ac:dyDescent="0.25">
      <c r="A39" s="28"/>
      <c r="B39" s="28"/>
      <c r="C39" s="28">
        <v>2021</v>
      </c>
      <c r="D39" s="28">
        <v>0.93630646747360335</v>
      </c>
      <c r="E39" s="28">
        <v>2.0884855043798396E-2</v>
      </c>
      <c r="F39" s="76">
        <v>0.65513854308912922</v>
      </c>
      <c r="G39" s="76">
        <v>-6.8706562946102834E-2</v>
      </c>
    </row>
    <row r="40" spans="1:7" x14ac:dyDescent="0.25">
      <c r="A40" s="28" t="s">
        <v>84</v>
      </c>
      <c r="B40" s="28" t="s">
        <v>85</v>
      </c>
      <c r="C40" s="28">
        <v>2020</v>
      </c>
      <c r="D40" s="28">
        <v>1.0006093588492695</v>
      </c>
      <c r="E40" s="28">
        <v>2.5707417029896103E-2</v>
      </c>
      <c r="F40" s="76">
        <v>-1.019637434440912</v>
      </c>
      <c r="G40" s="76">
        <v>-1.5601349548834837</v>
      </c>
    </row>
    <row r="41" spans="1:7" x14ac:dyDescent="0.25">
      <c r="A41" s="28"/>
      <c r="B41" s="28"/>
      <c r="C41" s="28">
        <v>2021</v>
      </c>
      <c r="D41" s="28">
        <v>0.99959004954753461</v>
      </c>
      <c r="E41" s="28">
        <v>3.6221628292810601E-2</v>
      </c>
      <c r="F41" s="76">
        <v>-0.36716237309655186</v>
      </c>
      <c r="G41" s="76">
        <v>-28.431835491947698</v>
      </c>
    </row>
    <row r="42" spans="1:7" x14ac:dyDescent="0.25">
      <c r="A42" s="28" t="s">
        <v>86</v>
      </c>
      <c r="B42" s="28" t="s">
        <v>87</v>
      </c>
      <c r="C42" s="28">
        <v>2020</v>
      </c>
      <c r="D42" s="28">
        <v>0.86143821589771008</v>
      </c>
      <c r="E42" s="28">
        <v>5.0739161118618932E-2</v>
      </c>
      <c r="F42" s="76">
        <v>6.0482601967671634E-2</v>
      </c>
      <c r="G42" s="76">
        <v>-0.26046667315743577</v>
      </c>
    </row>
    <row r="43" spans="1:7" x14ac:dyDescent="0.25">
      <c r="A43" s="28"/>
      <c r="B43" s="28"/>
      <c r="C43" s="28">
        <v>2021</v>
      </c>
      <c r="D43" s="28">
        <v>0.83757208283403517</v>
      </c>
      <c r="E43" s="28">
        <v>4.6094068997769848E-2</v>
      </c>
      <c r="F43" s="76">
        <v>5.4298684397926955E-2</v>
      </c>
      <c r="G43" s="76">
        <v>7.5579760260906861E-2</v>
      </c>
    </row>
    <row r="44" spans="1:7" x14ac:dyDescent="0.25">
      <c r="A44" s="28" t="s">
        <v>88</v>
      </c>
      <c r="B44" s="28" t="s">
        <v>89</v>
      </c>
      <c r="C44" s="28">
        <v>2020</v>
      </c>
      <c r="D44" s="28">
        <v>0.71837300446198071</v>
      </c>
      <c r="E44" s="28">
        <v>5.6972765489752997E-2</v>
      </c>
      <c r="F44" s="76">
        <v>0.27288525268787467</v>
      </c>
      <c r="G44" s="76">
        <v>-0.14565092265954474</v>
      </c>
    </row>
    <row r="45" spans="1:7" x14ac:dyDescent="0.25">
      <c r="A45" s="28"/>
      <c r="B45" s="28"/>
      <c r="C45" s="28">
        <v>2021</v>
      </c>
      <c r="D45" s="28">
        <v>0.79889037751901504</v>
      </c>
      <c r="E45" s="28">
        <v>9.565453511716239E-2</v>
      </c>
      <c r="F45" s="76">
        <v>-0.94469243627387556</v>
      </c>
      <c r="G45" s="76">
        <v>4.4477014257767067E-2</v>
      </c>
    </row>
    <row r="46" spans="1:7" x14ac:dyDescent="0.25">
      <c r="A46" s="28" t="s">
        <v>90</v>
      </c>
      <c r="B46" s="28" t="s">
        <v>91</v>
      </c>
      <c r="C46" s="28">
        <v>2020</v>
      </c>
      <c r="D46" s="28">
        <v>0.79138475538905506</v>
      </c>
      <c r="E46" s="28">
        <v>3.2862032467396107E-2</v>
      </c>
      <c r="F46" s="76">
        <v>-0.64070243948931049</v>
      </c>
      <c r="G46" s="76">
        <v>6.6151213285315924E-2</v>
      </c>
    </row>
    <row r="47" spans="1:7" x14ac:dyDescent="0.25">
      <c r="A47" s="28"/>
      <c r="B47" s="28"/>
      <c r="C47" s="28">
        <v>2021</v>
      </c>
      <c r="D47" s="28">
        <v>0.79261573038211564</v>
      </c>
      <c r="E47" s="28">
        <v>1.1194556586530877E-2</v>
      </c>
      <c r="F47" s="76">
        <v>-7.7280431939577454</v>
      </c>
      <c r="G47" s="76">
        <v>-0.49326586503385061</v>
      </c>
    </row>
    <row r="48" spans="1:7" x14ac:dyDescent="0.25">
      <c r="A48" s="28" t="s">
        <v>92</v>
      </c>
      <c r="B48" s="28" t="s">
        <v>93</v>
      </c>
      <c r="C48" s="28">
        <v>2020</v>
      </c>
      <c r="D48" s="28">
        <v>0.91281813309292326</v>
      </c>
      <c r="E48" s="28">
        <v>9.3946536302940115E-2</v>
      </c>
      <c r="F48" s="76">
        <v>0.21090287403400865</v>
      </c>
      <c r="G48" s="76">
        <v>-0.13126956595795158</v>
      </c>
    </row>
    <row r="49" spans="1:7" x14ac:dyDescent="0.25">
      <c r="A49" s="28"/>
      <c r="B49" s="28"/>
      <c r="C49" s="28">
        <v>2021</v>
      </c>
      <c r="D49" s="28">
        <v>0.94126996911881589</v>
      </c>
      <c r="E49" s="28">
        <v>8.7966434954258585E-2</v>
      </c>
      <c r="F49" s="76">
        <v>9.0002498228532346E-2</v>
      </c>
      <c r="G49" s="76">
        <v>-0.1396156135390427</v>
      </c>
    </row>
    <row r="50" spans="1:7" x14ac:dyDescent="0.25">
      <c r="A50" s="28" t="s">
        <v>102</v>
      </c>
      <c r="B50" s="28" t="s">
        <v>103</v>
      </c>
      <c r="C50" s="28">
        <v>2020</v>
      </c>
      <c r="D50" s="28">
        <v>0.99876553296354464</v>
      </c>
      <c r="E50" s="28">
        <v>7.1223844970369043E-2</v>
      </c>
      <c r="F50" s="76">
        <v>-3.602991867037808E-2</v>
      </c>
      <c r="G50" s="76">
        <v>1</v>
      </c>
    </row>
    <row r="51" spans="1:7" x14ac:dyDescent="0.25">
      <c r="A51" s="28"/>
      <c r="B51" s="28"/>
      <c r="C51" s="28">
        <v>2021</v>
      </c>
      <c r="D51" s="28">
        <v>0.99814342857858074</v>
      </c>
      <c r="E51" s="28">
        <v>9.6232564685852201E-2</v>
      </c>
      <c r="F51" s="76">
        <v>3.7164906318430657</v>
      </c>
      <c r="G51" s="76">
        <v>2.3129806624530866</v>
      </c>
    </row>
    <row r="52" spans="1:7" x14ac:dyDescent="0.25">
      <c r="A52" s="28" t="s">
        <v>108</v>
      </c>
      <c r="B52" s="28" t="s">
        <v>109</v>
      </c>
      <c r="C52" s="28">
        <v>2020</v>
      </c>
      <c r="D52" s="28">
        <v>1</v>
      </c>
      <c r="E52" s="28">
        <v>1.2838663301088109E-2</v>
      </c>
      <c r="F52" s="76">
        <v>5.9887162505179798</v>
      </c>
      <c r="G52" s="76">
        <v>-1</v>
      </c>
    </row>
    <row r="53" spans="1:7" x14ac:dyDescent="0.25">
      <c r="A53" s="28"/>
      <c r="B53" s="28"/>
      <c r="C53" s="28">
        <v>2021</v>
      </c>
      <c r="D53" s="28">
        <v>1</v>
      </c>
      <c r="E53" s="28">
        <v>8.7006627557062854E-3</v>
      </c>
      <c r="F53" s="76">
        <v>-2.4974558700675118</v>
      </c>
      <c r="G53" s="76">
        <v>0</v>
      </c>
    </row>
    <row r="54" spans="1:7" x14ac:dyDescent="0.25">
      <c r="A54" s="28" t="s">
        <v>110</v>
      </c>
      <c r="B54" s="28" t="s">
        <v>111</v>
      </c>
      <c r="C54" s="28">
        <v>2020</v>
      </c>
      <c r="D54" s="28">
        <v>0.87522203651347497</v>
      </c>
      <c r="E54" s="28">
        <v>6.8365687857266114E-2</v>
      </c>
      <c r="F54" s="76">
        <v>1.1623859067195319</v>
      </c>
      <c r="G54" s="76">
        <v>0</v>
      </c>
    </row>
    <row r="55" spans="1:7" x14ac:dyDescent="0.25">
      <c r="A55" s="28"/>
      <c r="B55" s="28"/>
      <c r="C55" s="28">
        <v>2021</v>
      </c>
      <c r="D55" s="28">
        <v>0.88536921530531865</v>
      </c>
      <c r="E55" s="28">
        <v>8.2774753751918992E-2</v>
      </c>
      <c r="F55" s="76">
        <v>-1.5462109940144613</v>
      </c>
      <c r="G55" s="76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9462C-239E-4307-BC39-BFF6DAA1C8F0}">
  <dimension ref="A1:F55"/>
  <sheetViews>
    <sheetView workbookViewId="0">
      <selection sqref="A1:C1048576"/>
    </sheetView>
  </sheetViews>
  <sheetFormatPr defaultRowHeight="15" x14ac:dyDescent="0.25"/>
  <cols>
    <col min="4" max="5" width="19" style="11" bestFit="1" customWidth="1"/>
    <col min="6" max="6" width="19" style="79" customWidth="1"/>
  </cols>
  <sheetData>
    <row r="1" spans="1:6" ht="45" x14ac:dyDescent="0.25">
      <c r="A1" s="33" t="s">
        <v>123</v>
      </c>
      <c r="B1" s="33" t="s">
        <v>124</v>
      </c>
      <c r="C1" s="33" t="s">
        <v>163</v>
      </c>
      <c r="D1" s="75" t="s">
        <v>164</v>
      </c>
      <c r="E1" s="75" t="s">
        <v>166</v>
      </c>
      <c r="F1" s="77" t="s">
        <v>131</v>
      </c>
    </row>
    <row r="2" spans="1:6" x14ac:dyDescent="0.25">
      <c r="A2" s="28" t="s">
        <v>2</v>
      </c>
      <c r="B2" s="28" t="s">
        <v>3</v>
      </c>
      <c r="C2" s="28">
        <v>2020</v>
      </c>
      <c r="D2" s="73">
        <v>23702652447</v>
      </c>
      <c r="E2" s="73">
        <v>39735297098</v>
      </c>
      <c r="F2" s="78">
        <f>D2/E2</f>
        <v>0.59651378442047753</v>
      </c>
    </row>
    <row r="3" spans="1:6" x14ac:dyDescent="0.25">
      <c r="A3" s="28"/>
      <c r="B3" s="28"/>
      <c r="C3" s="28">
        <v>2021</v>
      </c>
      <c r="D3" s="73">
        <v>86499800385</v>
      </c>
      <c r="E3" s="73">
        <v>99232995537</v>
      </c>
      <c r="F3" s="78">
        <f t="shared" ref="F3:F55" si="0">D3/E3</f>
        <v>0.87168385794367864</v>
      </c>
    </row>
    <row r="4" spans="1:6" x14ac:dyDescent="0.25">
      <c r="A4" s="28" t="s">
        <v>4</v>
      </c>
      <c r="B4" s="28" t="s">
        <v>5</v>
      </c>
      <c r="C4" s="28">
        <v>2020</v>
      </c>
      <c r="D4" s="73">
        <v>84403215805</v>
      </c>
      <c r="E4" s="73">
        <v>130102484375</v>
      </c>
      <c r="F4" s="78">
        <f t="shared" si="0"/>
        <v>0.64874407441537374</v>
      </c>
    </row>
    <row r="5" spans="1:6" x14ac:dyDescent="0.25">
      <c r="A5" s="28"/>
      <c r="B5" s="28"/>
      <c r="C5" s="28">
        <v>2021</v>
      </c>
      <c r="D5" s="73">
        <v>188536504140</v>
      </c>
      <c r="E5" s="73">
        <v>242574462573</v>
      </c>
      <c r="F5" s="78">
        <f t="shared" si="0"/>
        <v>0.77723146179603342</v>
      </c>
    </row>
    <row r="6" spans="1:6" x14ac:dyDescent="0.25">
      <c r="A6" s="28" t="s">
        <v>8</v>
      </c>
      <c r="B6" s="28" t="s">
        <v>9</v>
      </c>
      <c r="C6" s="28">
        <v>2020</v>
      </c>
      <c r="D6" s="73">
        <v>423714832</v>
      </c>
      <c r="E6" s="73">
        <v>532683282</v>
      </c>
      <c r="F6" s="78">
        <f t="shared" si="0"/>
        <v>0.79543482275082922</v>
      </c>
    </row>
    <row r="7" spans="1:6" x14ac:dyDescent="0.25">
      <c r="A7" s="28"/>
      <c r="B7" s="28"/>
      <c r="C7" s="28">
        <v>2021</v>
      </c>
      <c r="D7" s="73">
        <v>482094181</v>
      </c>
      <c r="E7" s="73">
        <v>567147611</v>
      </c>
      <c r="F7" s="78">
        <f t="shared" si="0"/>
        <v>0.85003299255720566</v>
      </c>
    </row>
    <row r="8" spans="1:6" x14ac:dyDescent="0.25">
      <c r="A8" s="28" t="s">
        <v>14</v>
      </c>
      <c r="B8" s="28" t="s">
        <v>15</v>
      </c>
      <c r="C8" s="28">
        <v>2020</v>
      </c>
      <c r="D8" s="73">
        <v>375100100</v>
      </c>
      <c r="E8" s="73">
        <v>509277227</v>
      </c>
      <c r="F8" s="78">
        <f t="shared" si="0"/>
        <v>0.7365342098832941</v>
      </c>
    </row>
    <row r="9" spans="1:6" x14ac:dyDescent="0.25">
      <c r="A9" s="28"/>
      <c r="B9" s="28"/>
      <c r="C9" s="28">
        <v>2021</v>
      </c>
      <c r="D9" s="73">
        <v>709337388</v>
      </c>
      <c r="E9" s="73">
        <v>914767323</v>
      </c>
      <c r="F9" s="78">
        <f t="shared" si="0"/>
        <v>0.77542930334865057</v>
      </c>
    </row>
    <row r="10" spans="1:6" x14ac:dyDescent="0.25">
      <c r="A10" s="28" t="s">
        <v>18</v>
      </c>
      <c r="B10" s="28" t="s">
        <v>19</v>
      </c>
      <c r="C10" s="28">
        <v>2020</v>
      </c>
      <c r="D10" s="73">
        <v>371598000000</v>
      </c>
      <c r="E10" s="73">
        <v>146211000000</v>
      </c>
      <c r="F10" s="78">
        <f t="shared" si="0"/>
        <v>2.5415187639780865</v>
      </c>
    </row>
    <row r="11" spans="1:6" x14ac:dyDescent="0.25">
      <c r="A11" s="28"/>
      <c r="B11" s="28"/>
      <c r="C11" s="28">
        <v>2021</v>
      </c>
      <c r="D11" s="73">
        <v>1287807000000</v>
      </c>
      <c r="E11" s="73">
        <v>1707540000000</v>
      </c>
      <c r="F11" s="78">
        <f t="shared" si="0"/>
        <v>0.75418848167539265</v>
      </c>
    </row>
    <row r="12" spans="1:6" x14ac:dyDescent="0.25">
      <c r="A12" s="28" t="s">
        <v>22</v>
      </c>
      <c r="B12" s="28" t="s">
        <v>23</v>
      </c>
      <c r="C12" s="28">
        <v>2020</v>
      </c>
      <c r="D12" s="73">
        <v>13159949</v>
      </c>
      <c r="E12" s="73">
        <v>14311083</v>
      </c>
      <c r="F12" s="78">
        <f t="shared" si="0"/>
        <v>0.91956346001207601</v>
      </c>
    </row>
    <row r="13" spans="1:6" x14ac:dyDescent="0.25">
      <c r="A13" s="28"/>
      <c r="B13" s="28"/>
      <c r="C13" s="28">
        <v>2021</v>
      </c>
      <c r="D13" s="73">
        <v>14604362</v>
      </c>
      <c r="E13" s="73">
        <v>17844559</v>
      </c>
      <c r="F13" s="78">
        <f t="shared" si="0"/>
        <v>0.81842101001207146</v>
      </c>
    </row>
    <row r="14" spans="1:6" x14ac:dyDescent="0.25">
      <c r="A14" s="28" t="s">
        <v>26</v>
      </c>
      <c r="B14" s="28" t="s">
        <v>27</v>
      </c>
      <c r="C14" s="28">
        <v>2020</v>
      </c>
      <c r="D14" s="73">
        <v>67204167744</v>
      </c>
      <c r="E14" s="73">
        <v>92194414308</v>
      </c>
      <c r="F14" s="78">
        <f t="shared" si="0"/>
        <v>0.72893968955089383</v>
      </c>
    </row>
    <row r="15" spans="1:6" x14ac:dyDescent="0.25">
      <c r="A15" s="28"/>
      <c r="B15" s="28"/>
      <c r="C15" s="28">
        <v>2021</v>
      </c>
      <c r="D15" s="73">
        <v>63351210259</v>
      </c>
      <c r="E15" s="73">
        <v>75675763438</v>
      </c>
      <c r="F15" s="78">
        <f t="shared" si="0"/>
        <v>0.83714002186317793</v>
      </c>
    </row>
    <row r="16" spans="1:6" x14ac:dyDescent="0.25">
      <c r="A16" s="28" t="s">
        <v>40</v>
      </c>
      <c r="B16" s="28" t="s">
        <v>41</v>
      </c>
      <c r="C16" s="28">
        <v>2020</v>
      </c>
      <c r="D16" s="73">
        <v>941707000000</v>
      </c>
      <c r="E16" s="73">
        <v>1246629000000</v>
      </c>
      <c r="F16" s="78">
        <f t="shared" si="0"/>
        <v>0.75540277019065016</v>
      </c>
    </row>
    <row r="17" spans="1:6" x14ac:dyDescent="0.25">
      <c r="A17" s="28"/>
      <c r="B17" s="28"/>
      <c r="C17" s="28">
        <v>2021</v>
      </c>
      <c r="D17" s="73">
        <v>885319000000</v>
      </c>
      <c r="E17" s="73">
        <v>1148877000000</v>
      </c>
      <c r="F17" s="78">
        <f t="shared" si="0"/>
        <v>0.77059511157417204</v>
      </c>
    </row>
    <row r="18" spans="1:6" x14ac:dyDescent="0.25">
      <c r="A18" s="28" t="s">
        <v>42</v>
      </c>
      <c r="B18" s="28" t="s">
        <v>43</v>
      </c>
      <c r="C18" s="28">
        <v>2020</v>
      </c>
      <c r="D18" s="73">
        <v>112621885604</v>
      </c>
      <c r="E18" s="73">
        <v>135644285146</v>
      </c>
      <c r="F18" s="78">
        <f t="shared" si="0"/>
        <v>0.83027372279473499</v>
      </c>
    </row>
    <row r="19" spans="1:6" x14ac:dyDescent="0.25">
      <c r="A19" s="28"/>
      <c r="B19" s="28"/>
      <c r="C19" s="28">
        <v>2021</v>
      </c>
      <c r="D19" s="73">
        <v>25760949227</v>
      </c>
      <c r="E19" s="73">
        <v>62948983532</v>
      </c>
      <c r="F19" s="78">
        <f t="shared" si="0"/>
        <v>0.40923534871543188</v>
      </c>
    </row>
    <row r="20" spans="1:6" x14ac:dyDescent="0.25">
      <c r="A20" s="28" t="s">
        <v>44</v>
      </c>
      <c r="B20" s="28" t="s">
        <v>45</v>
      </c>
      <c r="C20" s="28">
        <v>2020</v>
      </c>
      <c r="D20" s="73">
        <v>55122851471</v>
      </c>
      <c r="E20" s="73">
        <v>55122851471</v>
      </c>
      <c r="F20" s="78">
        <f t="shared" si="0"/>
        <v>1</v>
      </c>
    </row>
    <row r="21" spans="1:6" x14ac:dyDescent="0.25">
      <c r="A21" s="28"/>
      <c r="B21" s="28"/>
      <c r="C21" s="28">
        <v>2021</v>
      </c>
      <c r="D21" s="73">
        <v>51648101245</v>
      </c>
      <c r="E21" s="73">
        <v>51648101245</v>
      </c>
      <c r="F21" s="78">
        <f t="shared" si="0"/>
        <v>1</v>
      </c>
    </row>
    <row r="22" spans="1:6" x14ac:dyDescent="0.25">
      <c r="A22" s="28" t="s">
        <v>46</v>
      </c>
      <c r="B22" s="28" t="s">
        <v>47</v>
      </c>
      <c r="C22" s="28">
        <v>2020</v>
      </c>
      <c r="D22" s="73">
        <v>311959334548</v>
      </c>
      <c r="E22" s="73">
        <v>335256121957</v>
      </c>
      <c r="F22" s="78">
        <f t="shared" si="0"/>
        <v>0.93051047875573756</v>
      </c>
    </row>
    <row r="23" spans="1:6" x14ac:dyDescent="0.25">
      <c r="A23" s="28"/>
      <c r="B23" s="28"/>
      <c r="C23" s="28">
        <v>2021</v>
      </c>
      <c r="D23" s="73">
        <v>361421984159</v>
      </c>
      <c r="E23" s="73">
        <v>377030362730</v>
      </c>
      <c r="F23" s="78">
        <f t="shared" si="0"/>
        <v>0.95860179944664692</v>
      </c>
    </row>
    <row r="24" spans="1:6" x14ac:dyDescent="0.25">
      <c r="A24" s="28" t="s">
        <v>52</v>
      </c>
      <c r="B24" s="28" t="s">
        <v>53</v>
      </c>
      <c r="C24" s="28">
        <v>2020</v>
      </c>
      <c r="D24" s="73">
        <v>1066576000000</v>
      </c>
      <c r="E24" s="73">
        <v>1509454000000</v>
      </c>
      <c r="F24" s="78">
        <f t="shared" si="0"/>
        <v>0.70659721992190549</v>
      </c>
    </row>
    <row r="25" spans="1:6" x14ac:dyDescent="0.25">
      <c r="A25" s="28"/>
      <c r="B25" s="28"/>
      <c r="C25" s="28">
        <v>2021</v>
      </c>
      <c r="D25" s="73">
        <v>1601353000000</v>
      </c>
      <c r="E25" s="73">
        <v>1935964000000</v>
      </c>
      <c r="F25" s="78">
        <f t="shared" si="0"/>
        <v>0.82716052571225496</v>
      </c>
    </row>
    <row r="26" spans="1:6" x14ac:dyDescent="0.25">
      <c r="A26" s="28" t="s">
        <v>54</v>
      </c>
      <c r="B26" s="28" t="s">
        <v>55</v>
      </c>
      <c r="C26" s="28">
        <v>2020</v>
      </c>
      <c r="D26" s="73">
        <v>29563000000000</v>
      </c>
      <c r="E26" s="73">
        <v>38775000000000</v>
      </c>
      <c r="F26" s="78">
        <f t="shared" si="0"/>
        <v>0.76242424242424245</v>
      </c>
    </row>
    <row r="27" spans="1:6" x14ac:dyDescent="0.25">
      <c r="A27" s="28"/>
      <c r="B27" s="28"/>
      <c r="C27" s="28">
        <v>2021</v>
      </c>
      <c r="D27" s="73">
        <v>33948000000000</v>
      </c>
      <c r="E27" s="73">
        <v>43678000000000</v>
      </c>
      <c r="F27" s="78">
        <f t="shared" si="0"/>
        <v>0.77723338980722556</v>
      </c>
    </row>
    <row r="28" spans="1:6" x14ac:dyDescent="0.25">
      <c r="A28" s="28" t="s">
        <v>56</v>
      </c>
      <c r="B28" s="28" t="s">
        <v>57</v>
      </c>
      <c r="C28" s="28">
        <v>2020</v>
      </c>
      <c r="D28" s="73">
        <v>108580758</v>
      </c>
      <c r="E28" s="73">
        <v>112230137</v>
      </c>
      <c r="F28" s="78">
        <f t="shared" si="0"/>
        <v>0.96748307453282356</v>
      </c>
    </row>
    <row r="29" spans="1:6" x14ac:dyDescent="0.25">
      <c r="A29" s="28"/>
      <c r="B29" s="28"/>
      <c r="C29" s="28">
        <v>2021</v>
      </c>
      <c r="D29" s="73">
        <v>101633430</v>
      </c>
      <c r="E29" s="73">
        <v>103107715</v>
      </c>
      <c r="F29" s="78">
        <f t="shared" si="0"/>
        <v>0.98570150642946552</v>
      </c>
    </row>
    <row r="30" spans="1:6" x14ac:dyDescent="0.25">
      <c r="A30" s="28" t="s">
        <v>58</v>
      </c>
      <c r="B30" s="28" t="s">
        <v>59</v>
      </c>
      <c r="C30" s="28">
        <v>2020</v>
      </c>
      <c r="D30" s="73">
        <v>2853617000000</v>
      </c>
      <c r="E30" s="73">
        <v>3398921000000</v>
      </c>
      <c r="F30" s="78">
        <f t="shared" si="0"/>
        <v>0.83956555624564388</v>
      </c>
    </row>
    <row r="31" spans="1:6" x14ac:dyDescent="0.25">
      <c r="A31" s="28"/>
      <c r="B31" s="28"/>
      <c r="C31" s="28">
        <v>2021</v>
      </c>
      <c r="D31" s="73">
        <v>3447875000000</v>
      </c>
      <c r="E31" s="73">
        <v>4050968000000</v>
      </c>
      <c r="F31" s="78">
        <f t="shared" si="0"/>
        <v>0.85112373141431874</v>
      </c>
    </row>
    <row r="32" spans="1:6" x14ac:dyDescent="0.25">
      <c r="A32" s="28" t="s">
        <v>60</v>
      </c>
      <c r="B32" s="28" t="s">
        <v>61</v>
      </c>
      <c r="C32" s="28">
        <v>2020</v>
      </c>
      <c r="D32" s="73">
        <v>322342513</v>
      </c>
      <c r="E32" s="73">
        <v>310275688</v>
      </c>
      <c r="F32" s="78">
        <f t="shared" si="0"/>
        <v>1.0388906558479696</v>
      </c>
    </row>
    <row r="33" spans="1:6" x14ac:dyDescent="0.25">
      <c r="A33" s="28"/>
      <c r="B33" s="28"/>
      <c r="C33" s="28">
        <v>2021</v>
      </c>
      <c r="D33" s="73">
        <v>214424794</v>
      </c>
      <c r="E33" s="73">
        <v>196664427</v>
      </c>
      <c r="F33" s="78">
        <f t="shared" si="0"/>
        <v>1.090307979286971</v>
      </c>
    </row>
    <row r="34" spans="1:6" x14ac:dyDescent="0.25">
      <c r="A34" s="28" t="s">
        <v>70</v>
      </c>
      <c r="B34" s="28" t="s">
        <v>71</v>
      </c>
      <c r="C34" s="28">
        <v>2020</v>
      </c>
      <c r="D34" s="73">
        <v>43151541644</v>
      </c>
      <c r="E34" s="73">
        <v>53096151080</v>
      </c>
      <c r="F34" s="78">
        <f t="shared" si="0"/>
        <v>0.81270564374776522</v>
      </c>
    </row>
    <row r="35" spans="1:6" x14ac:dyDescent="0.25">
      <c r="A35" s="28"/>
      <c r="B35" s="28"/>
      <c r="C35" s="28">
        <v>2021</v>
      </c>
      <c r="D35" s="73">
        <v>83315829281</v>
      </c>
      <c r="E35" s="73">
        <v>92499928324</v>
      </c>
      <c r="F35" s="78">
        <f t="shared" si="0"/>
        <v>0.90071236584280578</v>
      </c>
    </row>
    <row r="36" spans="1:6" x14ac:dyDescent="0.25">
      <c r="A36" s="28" t="s">
        <v>74</v>
      </c>
      <c r="B36" s="28" t="s">
        <v>75</v>
      </c>
      <c r="C36" s="28">
        <v>2020</v>
      </c>
      <c r="D36" s="73">
        <v>4311511019</v>
      </c>
      <c r="E36" s="73">
        <v>7259119589</v>
      </c>
      <c r="F36" s="78">
        <f t="shared" si="0"/>
        <v>0.59394406802904653</v>
      </c>
    </row>
    <row r="37" spans="1:6" x14ac:dyDescent="0.25">
      <c r="A37" s="28"/>
      <c r="B37" s="28"/>
      <c r="C37" s="28">
        <v>2021</v>
      </c>
      <c r="D37" s="73">
        <v>7507914571</v>
      </c>
      <c r="E37" s="73">
        <v>8653045703</v>
      </c>
      <c r="F37" s="78">
        <f t="shared" si="0"/>
        <v>0.86766149500366274</v>
      </c>
    </row>
    <row r="38" spans="1:6" x14ac:dyDescent="0.25">
      <c r="A38" s="28" t="s">
        <v>82</v>
      </c>
      <c r="B38" s="28" t="s">
        <v>83</v>
      </c>
      <c r="C38" s="28">
        <v>2020</v>
      </c>
      <c r="D38" s="73">
        <v>115881928744</v>
      </c>
      <c r="E38" s="73">
        <v>127342712236</v>
      </c>
      <c r="F38" s="78">
        <f t="shared" si="0"/>
        <v>0.91000047595373879</v>
      </c>
    </row>
    <row r="39" spans="1:6" x14ac:dyDescent="0.25">
      <c r="A39" s="28"/>
      <c r="B39" s="28"/>
      <c r="C39" s="28">
        <v>2021</v>
      </c>
      <c r="D39" s="73">
        <v>146813185337</v>
      </c>
      <c r="E39" s="73">
        <v>156800353770</v>
      </c>
      <c r="F39" s="78">
        <f t="shared" si="0"/>
        <v>0.93630646747360335</v>
      </c>
    </row>
    <row r="40" spans="1:6" x14ac:dyDescent="0.25">
      <c r="A40" s="28" t="s">
        <v>84</v>
      </c>
      <c r="B40" s="28" t="s">
        <v>85</v>
      </c>
      <c r="C40" s="28">
        <v>2020</v>
      </c>
      <c r="D40" s="73">
        <v>156349499437</v>
      </c>
      <c r="E40" s="73">
        <v>156254284506</v>
      </c>
      <c r="F40" s="78">
        <f t="shared" si="0"/>
        <v>1.0006093588492695</v>
      </c>
    </row>
    <row r="41" spans="1:6" x14ac:dyDescent="0.25">
      <c r="A41" s="28"/>
      <c r="B41" s="28"/>
      <c r="C41" s="28">
        <v>2021</v>
      </c>
      <c r="D41" s="73">
        <v>216387979386</v>
      </c>
      <c r="E41" s="73">
        <v>216476724117</v>
      </c>
      <c r="F41" s="78">
        <f t="shared" si="0"/>
        <v>0.99959004954753461</v>
      </c>
    </row>
    <row r="42" spans="1:6" x14ac:dyDescent="0.25">
      <c r="A42" s="28" t="s">
        <v>86</v>
      </c>
      <c r="B42" s="28" t="s">
        <v>87</v>
      </c>
      <c r="C42" s="28">
        <v>2020</v>
      </c>
      <c r="D42" s="73">
        <v>679677575440</v>
      </c>
      <c r="E42" s="73">
        <v>789003277190</v>
      </c>
      <c r="F42" s="78">
        <f t="shared" si="0"/>
        <v>0.86143821589771008</v>
      </c>
    </row>
    <row r="43" spans="1:6" x14ac:dyDescent="0.25">
      <c r="A43" s="28"/>
      <c r="B43" s="28"/>
      <c r="C43" s="28">
        <v>2021</v>
      </c>
      <c r="D43" s="73">
        <v>671378603195</v>
      </c>
      <c r="E43" s="73">
        <v>801577102383</v>
      </c>
      <c r="F43" s="78">
        <f t="shared" si="0"/>
        <v>0.83757208283403517</v>
      </c>
    </row>
    <row r="44" spans="1:6" x14ac:dyDescent="0.25">
      <c r="A44" s="28" t="s">
        <v>88</v>
      </c>
      <c r="B44" s="28" t="s">
        <v>89</v>
      </c>
      <c r="C44" s="28">
        <v>2020</v>
      </c>
      <c r="D44" s="73">
        <v>80234175</v>
      </c>
      <c r="E44" s="73">
        <v>111688739</v>
      </c>
      <c r="F44" s="78">
        <f t="shared" si="0"/>
        <v>0.71837300446198071</v>
      </c>
    </row>
    <row r="45" spans="1:6" x14ac:dyDescent="0.25">
      <c r="A45" s="28"/>
      <c r="B45" s="28"/>
      <c r="C45" s="28">
        <v>2021</v>
      </c>
      <c r="D45" s="73">
        <v>136582720</v>
      </c>
      <c r="E45" s="73">
        <v>170965534</v>
      </c>
      <c r="F45" s="78">
        <f t="shared" si="0"/>
        <v>0.79889037751901504</v>
      </c>
    </row>
    <row r="46" spans="1:6" x14ac:dyDescent="0.25">
      <c r="A46" s="28" t="s">
        <v>90</v>
      </c>
      <c r="B46" s="28" t="s">
        <v>91</v>
      </c>
      <c r="C46" s="28">
        <v>2020</v>
      </c>
      <c r="D46" s="73">
        <v>4817922834</v>
      </c>
      <c r="E46" s="73">
        <v>6087965179</v>
      </c>
      <c r="F46" s="78">
        <f t="shared" si="0"/>
        <v>0.79138475538905506</v>
      </c>
    </row>
    <row r="47" spans="1:6" x14ac:dyDescent="0.25">
      <c r="A47" s="28"/>
      <c r="B47" s="28"/>
      <c r="C47" s="28">
        <v>2021</v>
      </c>
      <c r="D47" s="73">
        <v>1647206699</v>
      </c>
      <c r="E47" s="73">
        <v>2078190775</v>
      </c>
      <c r="F47" s="78">
        <f t="shared" si="0"/>
        <v>0.79261573038211564</v>
      </c>
    </row>
    <row r="48" spans="1:6" x14ac:dyDescent="0.25">
      <c r="A48" s="28" t="s">
        <v>92</v>
      </c>
      <c r="B48" s="28" t="s">
        <v>93</v>
      </c>
      <c r="C48" s="28">
        <v>2020</v>
      </c>
      <c r="D48" s="73">
        <v>77752839</v>
      </c>
      <c r="E48" s="73">
        <v>85178894</v>
      </c>
      <c r="F48" s="78">
        <f t="shared" si="0"/>
        <v>0.91281813309292326</v>
      </c>
    </row>
    <row r="49" spans="1:6" x14ac:dyDescent="0.25">
      <c r="A49" s="28"/>
      <c r="B49" s="28"/>
      <c r="C49" s="28">
        <v>2021</v>
      </c>
      <c r="D49" s="73">
        <v>89855831</v>
      </c>
      <c r="E49" s="73">
        <v>95462337</v>
      </c>
      <c r="F49" s="78">
        <f t="shared" si="0"/>
        <v>0.94126996911881589</v>
      </c>
    </row>
    <row r="50" spans="1:6" x14ac:dyDescent="0.25">
      <c r="A50" s="28" t="s">
        <v>102</v>
      </c>
      <c r="B50" s="28" t="s">
        <v>103</v>
      </c>
      <c r="C50" s="28">
        <v>2020</v>
      </c>
      <c r="D50" s="73">
        <v>31041539323</v>
      </c>
      <c r="E50" s="73">
        <v>31079906443</v>
      </c>
      <c r="F50" s="78">
        <f t="shared" si="0"/>
        <v>0.99876553296354464</v>
      </c>
    </row>
    <row r="51" spans="1:6" x14ac:dyDescent="0.25">
      <c r="A51" s="28"/>
      <c r="B51" s="28"/>
      <c r="C51" s="28">
        <v>2021</v>
      </c>
      <c r="D51" s="73">
        <v>52047642440</v>
      </c>
      <c r="E51" s="73">
        <v>52144452340</v>
      </c>
      <c r="F51" s="78">
        <f t="shared" si="0"/>
        <v>0.99814342857858074</v>
      </c>
    </row>
    <row r="52" spans="1:6" x14ac:dyDescent="0.25">
      <c r="A52" s="28" t="s">
        <v>108</v>
      </c>
      <c r="B52" s="28" t="s">
        <v>109</v>
      </c>
      <c r="C52" s="28">
        <v>2020</v>
      </c>
      <c r="D52" s="73">
        <v>2969670249</v>
      </c>
      <c r="E52" s="73">
        <v>2969670249</v>
      </c>
      <c r="F52" s="78">
        <f t="shared" si="0"/>
        <v>1</v>
      </c>
    </row>
    <row r="53" spans="1:6" x14ac:dyDescent="0.25">
      <c r="A53" s="28"/>
      <c r="B53" s="28"/>
      <c r="C53" s="28">
        <v>2021</v>
      </c>
      <c r="D53" s="73">
        <v>3013975529</v>
      </c>
      <c r="E53" s="73">
        <v>3013975529</v>
      </c>
      <c r="F53" s="78">
        <f t="shared" si="0"/>
        <v>1</v>
      </c>
    </row>
    <row r="54" spans="1:6" x14ac:dyDescent="0.25">
      <c r="A54" s="28" t="s">
        <v>110</v>
      </c>
      <c r="B54" s="28" t="s">
        <v>111</v>
      </c>
      <c r="C54" s="28">
        <v>2020</v>
      </c>
      <c r="D54" s="73">
        <v>68679397658</v>
      </c>
      <c r="E54" s="73">
        <v>78470827736</v>
      </c>
      <c r="F54" s="78">
        <f t="shared" si="0"/>
        <v>0.87522203651347497</v>
      </c>
    </row>
    <row r="55" spans="1:6" x14ac:dyDescent="0.25">
      <c r="A55" s="28"/>
      <c r="B55" s="28"/>
      <c r="C55" s="28">
        <v>2021</v>
      </c>
      <c r="D55" s="73">
        <v>114730739171</v>
      </c>
      <c r="E55" s="73">
        <v>129585191339</v>
      </c>
      <c r="F55" s="78">
        <f t="shared" si="0"/>
        <v>0.88536921530531865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E4D37-D868-469A-A8E4-58A197FD5A78}">
  <dimension ref="A1:F56"/>
  <sheetViews>
    <sheetView topLeftCell="D1" workbookViewId="0">
      <selection activeCell="E7" sqref="E7"/>
    </sheetView>
  </sheetViews>
  <sheetFormatPr defaultRowHeight="15" x14ac:dyDescent="0.25"/>
  <cols>
    <col min="2" max="2" width="35.42578125" customWidth="1"/>
    <col min="4" max="4" width="19" style="11" bestFit="1" customWidth="1"/>
    <col min="5" max="5" width="20.5703125" customWidth="1"/>
    <col min="6" max="6" width="20.5703125" style="69" customWidth="1"/>
  </cols>
  <sheetData>
    <row r="1" spans="1:6" x14ac:dyDescent="0.25">
      <c r="A1" s="70" t="s">
        <v>123</v>
      </c>
      <c r="B1" s="70" t="s">
        <v>124</v>
      </c>
      <c r="C1" s="51" t="s">
        <v>163</v>
      </c>
      <c r="D1" s="71" t="s">
        <v>164</v>
      </c>
      <c r="E1" s="51" t="s">
        <v>165</v>
      </c>
      <c r="F1" s="72" t="s">
        <v>132</v>
      </c>
    </row>
    <row r="2" spans="1:6" x14ac:dyDescent="0.25">
      <c r="A2" s="70"/>
      <c r="B2" s="70"/>
      <c r="C2" s="51"/>
      <c r="D2" s="71"/>
      <c r="E2" s="51"/>
      <c r="F2" s="72"/>
    </row>
    <row r="3" spans="1:6" x14ac:dyDescent="0.25">
      <c r="A3" s="28" t="s">
        <v>2</v>
      </c>
      <c r="B3" s="28" t="s">
        <v>3</v>
      </c>
      <c r="C3" s="28">
        <v>2020</v>
      </c>
      <c r="D3" s="73">
        <v>23702652447</v>
      </c>
      <c r="E3" s="9">
        <v>38093888626551</v>
      </c>
      <c r="F3" s="74">
        <f>D3/E3</f>
        <v>6.2221666785888395E-4</v>
      </c>
    </row>
    <row r="4" spans="1:6" x14ac:dyDescent="0.25">
      <c r="A4" s="28"/>
      <c r="B4" s="28"/>
      <c r="C4" s="28">
        <v>2021</v>
      </c>
      <c r="D4" s="73">
        <v>86499800385</v>
      </c>
      <c r="E4" s="9">
        <v>39900337834619</v>
      </c>
      <c r="F4" s="74">
        <f t="shared" ref="F4:F56" si="0">D4/E4</f>
        <v>2.16789644096571E-3</v>
      </c>
    </row>
    <row r="5" spans="1:6" x14ac:dyDescent="0.25">
      <c r="A5" s="28" t="s">
        <v>4</v>
      </c>
      <c r="B5" s="28" t="s">
        <v>5</v>
      </c>
      <c r="C5" s="28">
        <v>2020</v>
      </c>
      <c r="D5" s="73">
        <v>84403215805</v>
      </c>
      <c r="E5" s="9">
        <v>4651939975688</v>
      </c>
      <c r="F5" s="74">
        <f t="shared" si="0"/>
        <v>1.8143659687379601E-2</v>
      </c>
    </row>
    <row r="6" spans="1:6" x14ac:dyDescent="0.25">
      <c r="A6" s="28"/>
      <c r="B6" s="28"/>
      <c r="C6" s="28">
        <v>2021</v>
      </c>
      <c r="D6" s="73">
        <v>188536504140</v>
      </c>
      <c r="E6" s="9">
        <v>5001398828957</v>
      </c>
      <c r="F6" s="74">
        <f t="shared" si="0"/>
        <v>3.7696754565625733E-2</v>
      </c>
    </row>
    <row r="7" spans="1:6" x14ac:dyDescent="0.25">
      <c r="A7" s="28" t="s">
        <v>8</v>
      </c>
      <c r="B7" s="28" t="s">
        <v>9</v>
      </c>
      <c r="C7" s="28">
        <v>2020</v>
      </c>
      <c r="D7" s="73">
        <v>423714832</v>
      </c>
      <c r="E7" s="9">
        <v>4976221593</v>
      </c>
      <c r="F7" s="74">
        <f t="shared" si="0"/>
        <v>8.5147902697105635E-2</v>
      </c>
    </row>
    <row r="8" spans="1:6" x14ac:dyDescent="0.25">
      <c r="A8" s="28"/>
      <c r="B8" s="28"/>
      <c r="C8" s="28">
        <v>2021</v>
      </c>
      <c r="D8" s="73">
        <v>482094181</v>
      </c>
      <c r="E8" s="9">
        <v>5266470342</v>
      </c>
      <c r="F8" s="74">
        <f t="shared" si="0"/>
        <v>9.1540282142160409E-2</v>
      </c>
    </row>
    <row r="9" spans="1:6" x14ac:dyDescent="0.25">
      <c r="A9" s="28" t="s">
        <v>14</v>
      </c>
      <c r="B9" s="28" t="s">
        <v>15</v>
      </c>
      <c r="C9" s="28">
        <v>2020</v>
      </c>
      <c r="D9" s="73">
        <v>375100100</v>
      </c>
      <c r="E9" s="9">
        <v>16497923247</v>
      </c>
      <c r="F9" s="74">
        <f t="shared" si="0"/>
        <v>2.273620105901563E-2</v>
      </c>
    </row>
    <row r="10" spans="1:6" x14ac:dyDescent="0.25">
      <c r="A10" s="28"/>
      <c r="B10" s="28"/>
      <c r="C10" s="28">
        <v>2021</v>
      </c>
      <c r="D10" s="73">
        <v>709337388</v>
      </c>
      <c r="E10" s="9">
        <v>15445908289</v>
      </c>
      <c r="F10" s="74">
        <f t="shared" si="0"/>
        <v>4.5923967352904951E-2</v>
      </c>
    </row>
    <row r="11" spans="1:6" x14ac:dyDescent="0.25">
      <c r="A11" s="28" t="s">
        <v>18</v>
      </c>
      <c r="B11" s="28" t="s">
        <v>19</v>
      </c>
      <c r="C11" s="28">
        <v>2020</v>
      </c>
      <c r="D11" s="73">
        <v>371598000000</v>
      </c>
      <c r="E11" s="9">
        <v>67744797000000</v>
      </c>
      <c r="F11" s="74">
        <f t="shared" si="0"/>
        <v>5.4852625803868005E-3</v>
      </c>
    </row>
    <row r="12" spans="1:6" x14ac:dyDescent="0.25">
      <c r="A12" s="28"/>
      <c r="B12" s="28"/>
      <c r="C12" s="28">
        <v>2021</v>
      </c>
      <c r="D12" s="73">
        <v>1287807000000</v>
      </c>
      <c r="E12" s="9">
        <v>72753282000000</v>
      </c>
      <c r="F12" s="74">
        <f t="shared" si="0"/>
        <v>1.7701015879943396E-2</v>
      </c>
    </row>
    <row r="13" spans="1:6" x14ac:dyDescent="0.25">
      <c r="A13" s="28" t="s">
        <v>22</v>
      </c>
      <c r="B13" s="28" t="s">
        <v>23</v>
      </c>
      <c r="C13" s="28">
        <v>2020</v>
      </c>
      <c r="D13" s="73">
        <v>13159949</v>
      </c>
      <c r="E13" s="9">
        <v>338352250</v>
      </c>
      <c r="F13" s="74">
        <f t="shared" si="0"/>
        <v>3.8894226357294802E-2</v>
      </c>
    </row>
    <row r="14" spans="1:6" x14ac:dyDescent="0.25">
      <c r="A14" s="28"/>
      <c r="B14" s="28"/>
      <c r="C14" s="28">
        <v>2021</v>
      </c>
      <c r="D14" s="73">
        <v>14604362</v>
      </c>
      <c r="E14" s="9">
        <v>360871363</v>
      </c>
      <c r="F14" s="74">
        <f t="shared" si="0"/>
        <v>4.0469717182851112E-2</v>
      </c>
    </row>
    <row r="15" spans="1:6" x14ac:dyDescent="0.25">
      <c r="A15" s="28" t="s">
        <v>26</v>
      </c>
      <c r="B15" s="28" t="s">
        <v>27</v>
      </c>
      <c r="C15" s="28">
        <v>2020</v>
      </c>
      <c r="D15" s="73">
        <v>67204167744</v>
      </c>
      <c r="E15" s="9">
        <v>10412826253217</v>
      </c>
      <c r="F15" s="74">
        <f t="shared" si="0"/>
        <v>6.4539795546129991E-3</v>
      </c>
    </row>
    <row r="16" spans="1:6" x14ac:dyDescent="0.25">
      <c r="A16" s="28"/>
      <c r="B16" s="28"/>
      <c r="C16" s="28">
        <v>2021</v>
      </c>
      <c r="D16" s="73">
        <v>63351210259</v>
      </c>
      <c r="E16" s="9">
        <v>9547133662297</v>
      </c>
      <c r="F16" s="74">
        <f t="shared" si="0"/>
        <v>6.6356261994302036E-3</v>
      </c>
    </row>
    <row r="17" spans="1:6" x14ac:dyDescent="0.25">
      <c r="A17" s="28" t="s">
        <v>40</v>
      </c>
      <c r="B17" s="28" t="s">
        <v>41</v>
      </c>
      <c r="C17" s="28">
        <v>2020</v>
      </c>
      <c r="D17" s="73">
        <v>941707000000</v>
      </c>
      <c r="E17" s="9">
        <v>7799803000000</v>
      </c>
      <c r="F17" s="74">
        <f t="shared" si="0"/>
        <v>0.12073471599218595</v>
      </c>
    </row>
    <row r="18" spans="1:6" x14ac:dyDescent="0.25">
      <c r="A18" s="28"/>
      <c r="B18" s="28"/>
      <c r="C18" s="28">
        <v>2021</v>
      </c>
      <c r="D18" s="73">
        <v>885319000000</v>
      </c>
      <c r="E18" s="9">
        <v>9746894000000</v>
      </c>
      <c r="F18" s="74">
        <f t="shared" si="0"/>
        <v>9.0830884177051679E-2</v>
      </c>
    </row>
    <row r="19" spans="1:6" x14ac:dyDescent="0.25">
      <c r="A19" s="28" t="s">
        <v>42</v>
      </c>
      <c r="B19" s="28" t="s">
        <v>43</v>
      </c>
      <c r="C19" s="28">
        <v>2020</v>
      </c>
      <c r="D19" s="73">
        <v>112621885604</v>
      </c>
      <c r="E19" s="9">
        <v>5846683392749</v>
      </c>
      <c r="F19" s="74">
        <f t="shared" si="0"/>
        <v>1.9262525099900667E-2</v>
      </c>
    </row>
    <row r="20" spans="1:6" x14ac:dyDescent="0.25">
      <c r="A20" s="28"/>
      <c r="B20" s="28"/>
      <c r="C20" s="28">
        <v>2021</v>
      </c>
      <c r="D20" s="73">
        <v>25760949227</v>
      </c>
      <c r="E20" s="9">
        <v>6587329005837</v>
      </c>
      <c r="F20" s="74">
        <f t="shared" si="0"/>
        <v>3.9106820388314211E-3</v>
      </c>
    </row>
    <row r="21" spans="1:6" x14ac:dyDescent="0.25">
      <c r="A21" s="28" t="s">
        <v>44</v>
      </c>
      <c r="B21" s="28" t="s">
        <v>45</v>
      </c>
      <c r="C21" s="28">
        <v>2020</v>
      </c>
      <c r="D21" s="73">
        <v>55122851471</v>
      </c>
      <c r="E21" s="9">
        <v>2221459173567</v>
      </c>
      <c r="F21" s="74">
        <f t="shared" si="0"/>
        <v>2.4813803524684708E-2</v>
      </c>
    </row>
    <row r="22" spans="1:6" x14ac:dyDescent="0.25">
      <c r="A22" s="28"/>
      <c r="B22" s="28"/>
      <c r="C22" s="28">
        <v>2021</v>
      </c>
      <c r="D22" s="73">
        <v>51648101245</v>
      </c>
      <c r="E22" s="9">
        <v>2142945408364</v>
      </c>
      <c r="F22" s="74">
        <f t="shared" si="0"/>
        <v>2.41014544950214E-2</v>
      </c>
    </row>
    <row r="23" spans="1:6" x14ac:dyDescent="0.25">
      <c r="A23" s="28" t="s">
        <v>46</v>
      </c>
      <c r="B23" s="28" t="s">
        <v>47</v>
      </c>
      <c r="C23" s="28">
        <v>2020</v>
      </c>
      <c r="D23" s="73">
        <v>311959334548</v>
      </c>
      <c r="E23" s="9">
        <v>53408823346707</v>
      </c>
      <c r="F23" s="74">
        <f t="shared" si="0"/>
        <v>5.8409699933453848E-3</v>
      </c>
    </row>
    <row r="24" spans="1:6" x14ac:dyDescent="0.25">
      <c r="A24" s="28"/>
      <c r="B24" s="28"/>
      <c r="C24" s="28">
        <v>2021</v>
      </c>
      <c r="D24" s="73">
        <v>361421984159</v>
      </c>
      <c r="E24" s="9">
        <v>55573843735084</v>
      </c>
      <c r="F24" s="74">
        <f t="shared" si="0"/>
        <v>6.5034548605611888E-3</v>
      </c>
    </row>
    <row r="25" spans="1:6" x14ac:dyDescent="0.25">
      <c r="A25" s="28" t="s">
        <v>52</v>
      </c>
      <c r="B25" s="28" t="s">
        <v>53</v>
      </c>
      <c r="C25" s="28">
        <v>2020</v>
      </c>
      <c r="D25" s="73">
        <v>1066576000000</v>
      </c>
      <c r="E25" s="9">
        <v>36521303000000</v>
      </c>
      <c r="F25" s="74">
        <f t="shared" si="0"/>
        <v>2.9204215413672397E-2</v>
      </c>
    </row>
    <row r="26" spans="1:6" x14ac:dyDescent="0.25">
      <c r="A26" s="28"/>
      <c r="B26" s="28"/>
      <c r="C26" s="28">
        <v>2021</v>
      </c>
      <c r="D26" s="73">
        <v>1601353000000</v>
      </c>
      <c r="E26" s="9">
        <v>41870435000000</v>
      </c>
      <c r="F26" s="74">
        <f t="shared" si="0"/>
        <v>3.8245434994883622E-2</v>
      </c>
    </row>
    <row r="27" spans="1:6" x14ac:dyDescent="0.25">
      <c r="A27" s="28" t="s">
        <v>54</v>
      </c>
      <c r="B27" s="28" t="s">
        <v>55</v>
      </c>
      <c r="C27" s="28">
        <v>2020</v>
      </c>
      <c r="D27" s="73">
        <v>29563000000000</v>
      </c>
      <c r="E27" s="9">
        <v>246943000000000</v>
      </c>
      <c r="F27" s="74">
        <f t="shared" si="0"/>
        <v>0.11971588585220071</v>
      </c>
    </row>
    <row r="28" spans="1:6" x14ac:dyDescent="0.25">
      <c r="A28" s="28"/>
      <c r="B28" s="28"/>
      <c r="C28" s="28">
        <v>2021</v>
      </c>
      <c r="D28" s="73">
        <v>33948000000000</v>
      </c>
      <c r="E28" s="9">
        <v>277184000000000</v>
      </c>
      <c r="F28" s="74">
        <f t="shared" si="0"/>
        <v>0.12247460170861232</v>
      </c>
    </row>
    <row r="29" spans="1:6" x14ac:dyDescent="0.25">
      <c r="A29" s="28" t="s">
        <v>56</v>
      </c>
      <c r="B29" s="28" t="s">
        <v>57</v>
      </c>
      <c r="C29" s="28">
        <v>2020</v>
      </c>
      <c r="D29" s="73">
        <v>108580758</v>
      </c>
      <c r="E29" s="9">
        <v>2889059738</v>
      </c>
      <c r="F29" s="74">
        <f t="shared" si="0"/>
        <v>3.7583424313395071E-2</v>
      </c>
    </row>
    <row r="30" spans="1:6" x14ac:dyDescent="0.25">
      <c r="A30" s="28"/>
      <c r="B30" s="28"/>
      <c r="C30" s="28">
        <v>2021</v>
      </c>
      <c r="D30" s="73">
        <v>101633430</v>
      </c>
      <c r="E30" s="9">
        <v>2727306841</v>
      </c>
      <c r="F30" s="74">
        <f t="shared" si="0"/>
        <v>3.7265124874154197E-2</v>
      </c>
    </row>
    <row r="31" spans="1:6" x14ac:dyDescent="0.25">
      <c r="A31" s="28" t="s">
        <v>58</v>
      </c>
      <c r="B31" s="28" t="s">
        <v>59</v>
      </c>
      <c r="C31" s="28">
        <v>2020</v>
      </c>
      <c r="D31" s="73">
        <v>2853617000000</v>
      </c>
      <c r="E31" s="9">
        <v>34249550000000</v>
      </c>
      <c r="F31" s="74">
        <f t="shared" si="0"/>
        <v>8.331837936556831E-2</v>
      </c>
    </row>
    <row r="32" spans="1:6" x14ac:dyDescent="0.25">
      <c r="A32" s="28"/>
      <c r="B32" s="28"/>
      <c r="C32" s="28">
        <v>2021</v>
      </c>
      <c r="D32" s="73">
        <v>3447875000000</v>
      </c>
      <c r="E32" s="9">
        <v>65828670000000</v>
      </c>
      <c r="F32" s="74">
        <f t="shared" si="0"/>
        <v>5.2376494922349186E-2</v>
      </c>
    </row>
    <row r="33" spans="1:6" x14ac:dyDescent="0.25">
      <c r="A33" s="28" t="s">
        <v>60</v>
      </c>
      <c r="B33" s="28" t="s">
        <v>61</v>
      </c>
      <c r="C33" s="28">
        <v>2020</v>
      </c>
      <c r="D33" s="73">
        <v>322342513</v>
      </c>
      <c r="E33" s="9">
        <v>68109185213</v>
      </c>
      <c r="F33" s="74">
        <f t="shared" si="0"/>
        <v>4.7327318920631356E-3</v>
      </c>
    </row>
    <row r="34" spans="1:6" x14ac:dyDescent="0.25">
      <c r="A34" s="28"/>
      <c r="B34" s="28"/>
      <c r="C34" s="28">
        <v>2021</v>
      </c>
      <c r="D34" s="73">
        <v>214424794</v>
      </c>
      <c r="E34" s="9">
        <v>69385794346</v>
      </c>
      <c r="F34" s="74">
        <f t="shared" si="0"/>
        <v>3.0903270045558153E-3</v>
      </c>
    </row>
    <row r="35" spans="1:6" x14ac:dyDescent="0.25">
      <c r="A35" s="28" t="s">
        <v>70</v>
      </c>
      <c r="B35" s="28" t="s">
        <v>71</v>
      </c>
      <c r="C35" s="28">
        <v>2020</v>
      </c>
      <c r="D35" s="73">
        <v>43151541644</v>
      </c>
      <c r="E35" s="9">
        <v>702230672680</v>
      </c>
      <c r="F35" s="74">
        <f t="shared" si="0"/>
        <v>6.1449240716467193E-2</v>
      </c>
    </row>
    <row r="36" spans="1:6" x14ac:dyDescent="0.25">
      <c r="A36" s="28"/>
      <c r="B36" s="28"/>
      <c r="C36" s="28">
        <v>2021</v>
      </c>
      <c r="D36" s="73">
        <v>83315829281</v>
      </c>
      <c r="E36" s="9">
        <v>776987707840</v>
      </c>
      <c r="F36" s="74">
        <f t="shared" si="0"/>
        <v>0.10722927588213105</v>
      </c>
    </row>
    <row r="37" spans="1:6" x14ac:dyDescent="0.25">
      <c r="A37" s="28" t="s">
        <v>74</v>
      </c>
      <c r="B37" s="28" t="s">
        <v>75</v>
      </c>
      <c r="C37" s="28">
        <v>2020</v>
      </c>
      <c r="D37" s="73">
        <v>4311511019</v>
      </c>
      <c r="E37" s="9">
        <v>443783784479</v>
      </c>
      <c r="F37" s="74">
        <f t="shared" si="0"/>
        <v>9.7153415014063511E-3</v>
      </c>
    </row>
    <row r="38" spans="1:6" x14ac:dyDescent="0.25">
      <c r="A38" s="28"/>
      <c r="B38" s="28"/>
      <c r="C38" s="28">
        <v>2021</v>
      </c>
      <c r="D38" s="73">
        <v>7507914571</v>
      </c>
      <c r="E38" s="9">
        <v>467023962959</v>
      </c>
      <c r="F38" s="74">
        <f t="shared" si="0"/>
        <v>1.607607995836205E-2</v>
      </c>
    </row>
    <row r="39" spans="1:6" x14ac:dyDescent="0.25">
      <c r="A39" s="28" t="s">
        <v>82</v>
      </c>
      <c r="B39" s="28" t="s">
        <v>83</v>
      </c>
      <c r="C39" s="28">
        <v>2020</v>
      </c>
      <c r="D39" s="73">
        <v>115881928744</v>
      </c>
      <c r="E39" s="9">
        <v>6767233104600</v>
      </c>
      <c r="F39" s="74">
        <f t="shared" si="0"/>
        <v>1.7123974740168135E-2</v>
      </c>
    </row>
    <row r="40" spans="1:6" x14ac:dyDescent="0.25">
      <c r="A40" s="28"/>
      <c r="B40" s="28"/>
      <c r="C40" s="28">
        <v>2021</v>
      </c>
      <c r="D40" s="73">
        <v>146813185337</v>
      </c>
      <c r="E40" s="9">
        <v>7029648280015</v>
      </c>
      <c r="F40" s="74">
        <f t="shared" si="0"/>
        <v>2.0884855043798396E-2</v>
      </c>
    </row>
    <row r="41" spans="1:6" x14ac:dyDescent="0.25">
      <c r="A41" s="28" t="s">
        <v>84</v>
      </c>
      <c r="B41" s="28" t="s">
        <v>85</v>
      </c>
      <c r="C41" s="28">
        <v>2020</v>
      </c>
      <c r="D41" s="73">
        <v>156349499437</v>
      </c>
      <c r="E41" s="9">
        <v>6081882876649</v>
      </c>
      <c r="F41" s="74">
        <f t="shared" si="0"/>
        <v>2.5707417029896103E-2</v>
      </c>
    </row>
    <row r="42" spans="1:6" x14ac:dyDescent="0.25">
      <c r="A42" s="28"/>
      <c r="B42" s="28"/>
      <c r="C42" s="28">
        <v>2021</v>
      </c>
      <c r="D42" s="73">
        <v>216387979386</v>
      </c>
      <c r="E42" s="9">
        <v>5973999226008</v>
      </c>
      <c r="F42" s="74">
        <f t="shared" si="0"/>
        <v>3.6221628292810601E-2</v>
      </c>
    </row>
    <row r="43" spans="1:6" x14ac:dyDescent="0.25">
      <c r="A43" s="28" t="s">
        <v>86</v>
      </c>
      <c r="B43" s="28" t="s">
        <v>87</v>
      </c>
      <c r="C43" s="28">
        <v>2020</v>
      </c>
      <c r="D43" s="73">
        <v>679677575440</v>
      </c>
      <c r="E43" s="9">
        <v>13395522520584</v>
      </c>
      <c r="F43" s="74">
        <f t="shared" si="0"/>
        <v>5.0739161118618932E-2</v>
      </c>
    </row>
    <row r="44" spans="1:6" x14ac:dyDescent="0.25">
      <c r="A44" s="28"/>
      <c r="B44" s="28"/>
      <c r="C44" s="28">
        <v>2021</v>
      </c>
      <c r="D44" s="73">
        <v>671378603195</v>
      </c>
      <c r="E44" s="9">
        <v>14565401098078</v>
      </c>
      <c r="F44" s="74">
        <f t="shared" si="0"/>
        <v>4.6094068997769848E-2</v>
      </c>
    </row>
    <row r="45" spans="1:6" x14ac:dyDescent="0.25">
      <c r="A45" s="28" t="s">
        <v>88</v>
      </c>
      <c r="B45" s="28" t="s">
        <v>89</v>
      </c>
      <c r="C45" s="28">
        <v>2020</v>
      </c>
      <c r="D45" s="73">
        <v>80234175</v>
      </c>
      <c r="E45" s="9">
        <v>1408289984</v>
      </c>
      <c r="F45" s="74">
        <f t="shared" si="0"/>
        <v>5.6972765489752997E-2</v>
      </c>
    </row>
    <row r="46" spans="1:6" x14ac:dyDescent="0.25">
      <c r="A46" s="28"/>
      <c r="B46" s="28"/>
      <c r="C46" s="28">
        <v>2021</v>
      </c>
      <c r="D46" s="73">
        <v>136582720</v>
      </c>
      <c r="E46" s="9">
        <v>1427875007</v>
      </c>
      <c r="F46" s="74">
        <f t="shared" si="0"/>
        <v>9.565453511716239E-2</v>
      </c>
    </row>
    <row r="47" spans="1:6" x14ac:dyDescent="0.25">
      <c r="A47" s="28" t="s">
        <v>90</v>
      </c>
      <c r="B47" s="28" t="s">
        <v>91</v>
      </c>
      <c r="C47" s="28">
        <v>2020</v>
      </c>
      <c r="D47" s="73">
        <v>4817922834</v>
      </c>
      <c r="E47" s="17">
        <v>146610616333</v>
      </c>
      <c r="F47" s="74">
        <f t="shared" si="0"/>
        <v>3.2862032467396107E-2</v>
      </c>
    </row>
    <row r="48" spans="1:6" x14ac:dyDescent="0.25">
      <c r="A48" s="28"/>
      <c r="B48" s="28"/>
      <c r="C48" s="28">
        <v>2021</v>
      </c>
      <c r="D48" s="73">
        <v>1647206699</v>
      </c>
      <c r="E48" s="17">
        <v>147143541262</v>
      </c>
      <c r="F48" s="74">
        <f t="shared" si="0"/>
        <v>1.1194556586530877E-2</v>
      </c>
    </row>
    <row r="49" spans="1:6" x14ac:dyDescent="0.25">
      <c r="A49" s="28" t="s">
        <v>92</v>
      </c>
      <c r="B49" s="28" t="s">
        <v>93</v>
      </c>
      <c r="C49" s="28">
        <v>2020</v>
      </c>
      <c r="D49" s="73">
        <v>77752839</v>
      </c>
      <c r="E49" s="9">
        <v>827628586</v>
      </c>
      <c r="F49" s="74">
        <f t="shared" si="0"/>
        <v>9.3946536302940115E-2</v>
      </c>
    </row>
    <row r="50" spans="1:6" x14ac:dyDescent="0.25">
      <c r="A50" s="28"/>
      <c r="B50" s="28"/>
      <c r="C50" s="28">
        <v>2021</v>
      </c>
      <c r="D50" s="73">
        <v>89855831</v>
      </c>
      <c r="E50" s="9">
        <v>1021478602</v>
      </c>
      <c r="F50" s="74">
        <f t="shared" si="0"/>
        <v>8.7966434954258585E-2</v>
      </c>
    </row>
    <row r="51" spans="1:6" x14ac:dyDescent="0.25">
      <c r="A51" s="28" t="s">
        <v>102</v>
      </c>
      <c r="B51" s="28" t="s">
        <v>103</v>
      </c>
      <c r="C51" s="28">
        <v>2020</v>
      </c>
      <c r="D51" s="73">
        <v>31041539323</v>
      </c>
      <c r="E51" s="17">
        <v>435830715625</v>
      </c>
      <c r="F51" s="74">
        <f t="shared" si="0"/>
        <v>7.1223844970369043E-2</v>
      </c>
    </row>
    <row r="52" spans="1:6" x14ac:dyDescent="0.25">
      <c r="A52" s="28"/>
      <c r="B52" s="28"/>
      <c r="C52" s="28">
        <v>2021</v>
      </c>
      <c r="D52" s="73">
        <v>52047642440</v>
      </c>
      <c r="E52" s="17">
        <v>540852700018</v>
      </c>
      <c r="F52" s="74">
        <f t="shared" si="0"/>
        <v>9.6232564685852201E-2</v>
      </c>
    </row>
    <row r="53" spans="1:6" x14ac:dyDescent="0.25">
      <c r="A53" s="28" t="s">
        <v>108</v>
      </c>
      <c r="B53" s="28" t="s">
        <v>109</v>
      </c>
      <c r="C53" s="28">
        <v>2020</v>
      </c>
      <c r="D53" s="73">
        <v>2969670249</v>
      </c>
      <c r="E53" s="17">
        <v>231306809701</v>
      </c>
      <c r="F53" s="74">
        <f t="shared" si="0"/>
        <v>1.2838663301088109E-2</v>
      </c>
    </row>
    <row r="54" spans="1:6" x14ac:dyDescent="0.25">
      <c r="A54" s="28"/>
      <c r="B54" s="28"/>
      <c r="C54" s="28">
        <v>2021</v>
      </c>
      <c r="D54" s="73">
        <v>3013975529</v>
      </c>
      <c r="E54" s="17">
        <v>346407579931</v>
      </c>
      <c r="F54" s="74">
        <f t="shared" si="0"/>
        <v>8.7006627557062854E-3</v>
      </c>
    </row>
    <row r="55" spans="1:6" x14ac:dyDescent="0.25">
      <c r="A55" s="28" t="s">
        <v>110</v>
      </c>
      <c r="B55" s="28" t="s">
        <v>111</v>
      </c>
      <c r="C55" s="28">
        <v>2020</v>
      </c>
      <c r="D55" s="73">
        <v>68679397658</v>
      </c>
      <c r="E55" s="17">
        <v>1004588702470</v>
      </c>
      <c r="F55" s="74">
        <f t="shared" si="0"/>
        <v>6.8365687857266114E-2</v>
      </c>
    </row>
    <row r="56" spans="1:6" x14ac:dyDescent="0.25">
      <c r="A56" s="28"/>
      <c r="B56" s="28"/>
      <c r="C56" s="28">
        <v>2021</v>
      </c>
      <c r="D56" s="73">
        <v>114730739171</v>
      </c>
      <c r="E56" s="17">
        <v>1386059564911</v>
      </c>
      <c r="F56" s="74">
        <f t="shared" si="0"/>
        <v>8.2774753751918992E-2</v>
      </c>
    </row>
  </sheetData>
  <mergeCells count="6"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9"/>
  <sheetViews>
    <sheetView topLeftCell="E1" zoomScale="66" zoomScaleNormal="66" workbookViewId="0">
      <selection activeCell="I8" sqref="I8"/>
    </sheetView>
  </sheetViews>
  <sheetFormatPr defaultRowHeight="15" x14ac:dyDescent="0.25"/>
  <cols>
    <col min="2" max="2" width="13.140625" customWidth="1"/>
    <col min="3" max="3" width="35.7109375" customWidth="1"/>
    <col min="4" max="5" width="26.7109375" customWidth="1"/>
    <col min="6" max="6" width="24.42578125" customWidth="1"/>
    <col min="7" max="7" width="24.7109375" customWidth="1"/>
    <col min="8" max="8" width="28.42578125" customWidth="1"/>
    <col min="9" max="9" width="30.5703125" style="91" customWidth="1"/>
    <col min="10" max="10" width="25" style="91" customWidth="1"/>
  </cols>
  <sheetData>
    <row r="1" spans="1:10" ht="43.15" customHeight="1" x14ac:dyDescent="0.25">
      <c r="A1" s="45" t="s">
        <v>122</v>
      </c>
      <c r="B1" s="44" t="s">
        <v>123</v>
      </c>
      <c r="C1" s="45" t="s">
        <v>124</v>
      </c>
      <c r="D1" s="46" t="s">
        <v>133</v>
      </c>
      <c r="E1" s="48"/>
      <c r="F1" s="47"/>
      <c r="G1" s="46" t="s">
        <v>134</v>
      </c>
      <c r="H1" s="47"/>
      <c r="I1" s="87" t="s">
        <v>135</v>
      </c>
      <c r="J1" s="88"/>
    </row>
    <row r="2" spans="1:10" x14ac:dyDescent="0.25">
      <c r="A2" s="45"/>
      <c r="B2" s="44"/>
      <c r="C2" s="45"/>
      <c r="D2" s="1">
        <v>2019</v>
      </c>
      <c r="E2" s="1">
        <v>2020</v>
      </c>
      <c r="F2" s="1">
        <v>2021</v>
      </c>
      <c r="G2" s="1">
        <v>2020</v>
      </c>
      <c r="H2" s="1">
        <v>2021</v>
      </c>
      <c r="I2" s="89">
        <v>2020</v>
      </c>
      <c r="J2" s="89">
        <v>2021</v>
      </c>
    </row>
    <row r="3" spans="1:10" x14ac:dyDescent="0.25">
      <c r="A3" s="4">
        <v>1</v>
      </c>
      <c r="B3" s="4" t="s">
        <v>2</v>
      </c>
      <c r="C3" s="3" t="s">
        <v>3</v>
      </c>
      <c r="D3" s="9">
        <v>-21443117818</v>
      </c>
      <c r="E3" s="9">
        <v>-16032644651</v>
      </c>
      <c r="F3" s="9">
        <v>-12733195152</v>
      </c>
      <c r="G3" s="9">
        <f>D3+E3</f>
        <v>-37475762469</v>
      </c>
      <c r="H3" s="9">
        <f>E3+F3</f>
        <v>-28765839803</v>
      </c>
      <c r="I3" s="90">
        <f>(E3-D3)/G3</f>
        <v>-0.14437259739479752</v>
      </c>
      <c r="J3" s="90">
        <f>(F3-E3)/H3</f>
        <v>-0.11470026676071175</v>
      </c>
    </row>
    <row r="4" spans="1:10" x14ac:dyDescent="0.25">
      <c r="A4" s="2">
        <v>2</v>
      </c>
      <c r="B4" s="2" t="s">
        <v>4</v>
      </c>
      <c r="C4" s="3" t="s">
        <v>5</v>
      </c>
      <c r="D4" s="9">
        <v>-13151754701</v>
      </c>
      <c r="E4" s="9">
        <v>-22887993519</v>
      </c>
      <c r="F4" s="9">
        <v>-26580850813</v>
      </c>
      <c r="G4" s="9">
        <f t="shared" ref="G4:G29" si="0">D4+E4</f>
        <v>-36039748220</v>
      </c>
      <c r="H4" s="9">
        <f t="shared" ref="H4:H29" si="1">E4+F4</f>
        <v>-49468844332</v>
      </c>
      <c r="I4" s="90">
        <f t="shared" ref="I4:I29" si="2">(E4-D4)/G4</f>
        <v>0.27015279792096175</v>
      </c>
      <c r="J4" s="90">
        <f t="shared" ref="J4:J29" si="3">(F4-E4)/H4</f>
        <v>7.4650163024148009E-2</v>
      </c>
    </row>
    <row r="5" spans="1:10" x14ac:dyDescent="0.25">
      <c r="A5" s="4">
        <v>3</v>
      </c>
      <c r="B5" s="2" t="s">
        <v>8</v>
      </c>
      <c r="C5" s="3" t="s">
        <v>9</v>
      </c>
      <c r="D5" s="9">
        <v>-142926079</v>
      </c>
      <c r="E5" s="9">
        <v>-108968450</v>
      </c>
      <c r="F5" s="9">
        <v>-85053430</v>
      </c>
      <c r="G5" s="9">
        <f t="shared" si="0"/>
        <v>-251894529</v>
      </c>
      <c r="H5" s="9">
        <f t="shared" si="1"/>
        <v>-194021880</v>
      </c>
      <c r="I5" s="90">
        <f t="shared" si="2"/>
        <v>-0.13480891837869174</v>
      </c>
      <c r="J5" s="90">
        <f t="shared" si="3"/>
        <v>-0.12325939734219667</v>
      </c>
    </row>
    <row r="6" spans="1:10" ht="14.45" customHeight="1" x14ac:dyDescent="0.25">
      <c r="A6" s="80">
        <v>4</v>
      </c>
      <c r="B6" s="4" t="s">
        <v>14</v>
      </c>
      <c r="C6" s="3" t="s">
        <v>15</v>
      </c>
      <c r="D6" s="9">
        <v>164851502</v>
      </c>
      <c r="E6" s="9">
        <v>127138029</v>
      </c>
      <c r="F6" s="9">
        <v>202611316</v>
      </c>
      <c r="G6" s="9">
        <f t="shared" si="0"/>
        <v>291989531</v>
      </c>
      <c r="H6" s="9">
        <f t="shared" si="1"/>
        <v>329749345</v>
      </c>
      <c r="I6" s="90">
        <f t="shared" si="2"/>
        <v>-0.12916036020483213</v>
      </c>
      <c r="J6" s="90">
        <f t="shared" si="3"/>
        <v>0.22888077912633914</v>
      </c>
    </row>
    <row r="7" spans="1:10" x14ac:dyDescent="0.25">
      <c r="A7" s="4">
        <v>5</v>
      </c>
      <c r="B7" s="4" t="s">
        <v>18</v>
      </c>
      <c r="C7" s="3" t="s">
        <v>19</v>
      </c>
      <c r="D7" s="9">
        <v>-431538000000</v>
      </c>
      <c r="E7" s="9">
        <v>225387000000</v>
      </c>
      <c r="F7" s="9">
        <v>-419733000000</v>
      </c>
      <c r="G7" s="9">
        <f t="shared" si="0"/>
        <v>-206151000000</v>
      </c>
      <c r="H7" s="9">
        <f t="shared" si="1"/>
        <v>-194346000000</v>
      </c>
      <c r="I7" s="90">
        <f t="shared" si="2"/>
        <v>-3.1866204869246331</v>
      </c>
      <c r="J7" s="90">
        <f t="shared" si="3"/>
        <v>3.319440585347782</v>
      </c>
    </row>
    <row r="8" spans="1:10" ht="14.45" customHeight="1" x14ac:dyDescent="0.25">
      <c r="A8" s="2">
        <v>6</v>
      </c>
      <c r="B8" s="4" t="s">
        <v>22</v>
      </c>
      <c r="C8" s="3" t="s">
        <v>23</v>
      </c>
      <c r="D8" s="9">
        <v>-1511140</v>
      </c>
      <c r="E8" s="9">
        <v>-1151134</v>
      </c>
      <c r="F8" s="9">
        <v>-3240197</v>
      </c>
      <c r="G8" s="9">
        <f t="shared" si="0"/>
        <v>-2662274</v>
      </c>
      <c r="H8" s="9">
        <f t="shared" si="1"/>
        <v>-4391331</v>
      </c>
      <c r="I8" s="90">
        <f t="shared" si="2"/>
        <v>-0.13522499938022908</v>
      </c>
      <c r="J8" s="90">
        <f t="shared" si="3"/>
        <v>0.47572433050480595</v>
      </c>
    </row>
    <row r="9" spans="1:10" x14ac:dyDescent="0.25">
      <c r="A9" s="4">
        <v>7</v>
      </c>
      <c r="B9" s="4" t="s">
        <v>26</v>
      </c>
      <c r="C9" s="3" t="s">
        <v>27</v>
      </c>
      <c r="D9" s="9">
        <v>-3170390779</v>
      </c>
      <c r="E9" s="9">
        <v>-24990246564</v>
      </c>
      <c r="F9" s="9">
        <v>-12324553179</v>
      </c>
      <c r="G9" s="9">
        <f t="shared" si="0"/>
        <v>-28160637343</v>
      </c>
      <c r="H9" s="9">
        <f t="shared" si="1"/>
        <v>-37314799743</v>
      </c>
      <c r="I9" s="90">
        <f t="shared" si="2"/>
        <v>0.77483529648961758</v>
      </c>
      <c r="J9" s="90">
        <f t="shared" si="3"/>
        <v>-0.33942814840848762</v>
      </c>
    </row>
    <row r="10" spans="1:10" x14ac:dyDescent="0.25">
      <c r="A10" s="4">
        <v>8</v>
      </c>
      <c r="B10" s="2" t="s">
        <v>40</v>
      </c>
      <c r="C10" s="3" t="s">
        <v>41</v>
      </c>
      <c r="D10" s="9">
        <v>-345776000000</v>
      </c>
      <c r="E10" s="9">
        <v>-304922000000</v>
      </c>
      <c r="F10" s="9">
        <v>-263558000000</v>
      </c>
      <c r="G10" s="9">
        <f t="shared" si="0"/>
        <v>-650698000000</v>
      </c>
      <c r="H10" s="9">
        <f t="shared" si="1"/>
        <v>-568480000000</v>
      </c>
      <c r="I10" s="90">
        <f t="shared" si="2"/>
        <v>-6.2784886383545055E-2</v>
      </c>
      <c r="J10" s="90">
        <f t="shared" si="3"/>
        <v>-7.2762454264002255E-2</v>
      </c>
    </row>
    <row r="11" spans="1:10" ht="14.45" customHeight="1" x14ac:dyDescent="0.25">
      <c r="A11" s="2">
        <v>9</v>
      </c>
      <c r="B11" s="4" t="s">
        <v>42</v>
      </c>
      <c r="C11" s="3" t="s">
        <v>43</v>
      </c>
      <c r="D11" s="9">
        <v>-94470207930</v>
      </c>
      <c r="E11" s="9">
        <v>-23022399542</v>
      </c>
      <c r="F11" s="9">
        <v>-37188034305</v>
      </c>
      <c r="G11" s="9">
        <f t="shared" si="0"/>
        <v>-117492607472</v>
      </c>
      <c r="H11" s="9">
        <f t="shared" si="1"/>
        <v>-60210433847</v>
      </c>
      <c r="I11" s="90">
        <f t="shared" si="2"/>
        <v>-0.60810471335421623</v>
      </c>
      <c r="J11" s="90">
        <f t="shared" si="3"/>
        <v>0.23526877084121536</v>
      </c>
    </row>
    <row r="12" spans="1:10" x14ac:dyDescent="0.25">
      <c r="A12" s="4">
        <v>10</v>
      </c>
      <c r="B12" s="2" t="s">
        <v>44</v>
      </c>
      <c r="C12" s="3" t="s">
        <v>45</v>
      </c>
      <c r="D12" s="9">
        <v>0</v>
      </c>
      <c r="E12" s="9">
        <v>0</v>
      </c>
      <c r="F12" s="9">
        <v>0</v>
      </c>
      <c r="G12" s="9">
        <f t="shared" si="0"/>
        <v>0</v>
      </c>
      <c r="H12" s="9">
        <f t="shared" si="1"/>
        <v>0</v>
      </c>
      <c r="I12" s="90" t="e">
        <f t="shared" si="2"/>
        <v>#DIV/0!</v>
      </c>
      <c r="J12" s="90" t="e">
        <f t="shared" si="3"/>
        <v>#DIV/0!</v>
      </c>
    </row>
    <row r="13" spans="1:10" x14ac:dyDescent="0.25">
      <c r="A13" s="4">
        <v>11</v>
      </c>
      <c r="B13" s="4" t="s">
        <v>46</v>
      </c>
      <c r="C13" s="3" t="s">
        <v>47</v>
      </c>
      <c r="D13" s="9">
        <v>-31492536963</v>
      </c>
      <c r="E13" s="9">
        <v>-23296787409</v>
      </c>
      <c r="F13" s="9">
        <v>-15608378571</v>
      </c>
      <c r="G13" s="9">
        <f t="shared" si="0"/>
        <v>-54789324372</v>
      </c>
      <c r="H13" s="9">
        <f t="shared" si="1"/>
        <v>-38905165980</v>
      </c>
      <c r="I13" s="90">
        <f t="shared" si="2"/>
        <v>-0.14958661469073389</v>
      </c>
      <c r="J13" s="90">
        <f t="shared" si="3"/>
        <v>-0.1976192272756884</v>
      </c>
    </row>
    <row r="14" spans="1:10" ht="14.45" customHeight="1" x14ac:dyDescent="0.25">
      <c r="A14" s="2">
        <v>12</v>
      </c>
      <c r="B14" s="2" t="s">
        <v>52</v>
      </c>
      <c r="C14" s="3" t="s">
        <v>53</v>
      </c>
      <c r="D14" s="9">
        <v>-356474000000</v>
      </c>
      <c r="E14" s="9">
        <v>-442878000000</v>
      </c>
      <c r="F14" s="9">
        <v>-334611000000</v>
      </c>
      <c r="G14" s="9">
        <f t="shared" si="0"/>
        <v>-799352000000</v>
      </c>
      <c r="H14" s="9">
        <f t="shared" si="1"/>
        <v>-777489000000</v>
      </c>
      <c r="I14" s="90">
        <f t="shared" si="2"/>
        <v>0.10809255496952531</v>
      </c>
      <c r="J14" s="90">
        <f t="shared" si="3"/>
        <v>-0.13925213089831495</v>
      </c>
    </row>
    <row r="15" spans="1:10" ht="14.45" customHeight="1" x14ac:dyDescent="0.25">
      <c r="A15" s="4">
        <v>13</v>
      </c>
      <c r="B15" s="4" t="s">
        <v>54</v>
      </c>
      <c r="C15" s="3" t="s">
        <v>55</v>
      </c>
      <c r="D15" s="9">
        <v>-10316000000</v>
      </c>
      <c r="E15" s="9">
        <v>-9212000000000</v>
      </c>
      <c r="F15" s="9">
        <v>-9730000000000</v>
      </c>
      <c r="G15" s="9">
        <f t="shared" si="0"/>
        <v>-9222316000000</v>
      </c>
      <c r="H15" s="9">
        <f t="shared" si="1"/>
        <v>-18942000000000</v>
      </c>
      <c r="I15" s="90">
        <f t="shared" si="2"/>
        <v>0.99776281792989963</v>
      </c>
      <c r="J15" s="90">
        <f t="shared" si="3"/>
        <v>2.7346637102734665E-2</v>
      </c>
    </row>
    <row r="16" spans="1:10" x14ac:dyDescent="0.25">
      <c r="A16" s="4">
        <v>14</v>
      </c>
      <c r="B16" s="2" t="s">
        <v>56</v>
      </c>
      <c r="C16" s="3" t="s">
        <v>57</v>
      </c>
      <c r="D16" s="9">
        <v>-2811120</v>
      </c>
      <c r="E16" s="9">
        <v>-3649379</v>
      </c>
      <c r="F16" s="9">
        <v>-1474285</v>
      </c>
      <c r="G16" s="9">
        <f>D16+E16</f>
        <v>-6460499</v>
      </c>
      <c r="H16" s="9">
        <f t="shared" si="1"/>
        <v>-5123664</v>
      </c>
      <c r="I16" s="90">
        <f t="shared" si="2"/>
        <v>0.12975143251318513</v>
      </c>
      <c r="J16" s="90">
        <f t="shared" si="3"/>
        <v>-0.42451925028651372</v>
      </c>
    </row>
    <row r="17" spans="1:10" ht="14.45" customHeight="1" x14ac:dyDescent="0.25">
      <c r="A17" s="2">
        <v>15</v>
      </c>
      <c r="B17" s="4" t="s">
        <v>58</v>
      </c>
      <c r="C17" s="3" t="s">
        <v>59</v>
      </c>
      <c r="D17" s="9">
        <v>-551341000000</v>
      </c>
      <c r="E17" s="9">
        <v>-340003000000</v>
      </c>
      <c r="F17" s="9">
        <v>-268207000000</v>
      </c>
      <c r="G17" s="9">
        <f t="shared" si="0"/>
        <v>-891344000000</v>
      </c>
      <c r="H17" s="9">
        <f t="shared" si="1"/>
        <v>-608210000000</v>
      </c>
      <c r="I17" s="90">
        <f t="shared" si="2"/>
        <v>-0.23710037875388179</v>
      </c>
      <c r="J17" s="90">
        <f t="shared" si="3"/>
        <v>-0.1180447542789497</v>
      </c>
    </row>
    <row r="18" spans="1:10" ht="14.45" customHeight="1" x14ac:dyDescent="0.25">
      <c r="A18" s="4">
        <v>16</v>
      </c>
      <c r="B18" s="2" t="s">
        <v>60</v>
      </c>
      <c r="C18" s="3" t="s">
        <v>61</v>
      </c>
      <c r="D18" s="9">
        <v>-168240548</v>
      </c>
      <c r="E18" s="9">
        <v>12066825</v>
      </c>
      <c r="F18" s="9">
        <v>17760367</v>
      </c>
      <c r="G18" s="9">
        <f t="shared" si="0"/>
        <v>-156173723</v>
      </c>
      <c r="H18" s="9">
        <f t="shared" si="1"/>
        <v>29827192</v>
      </c>
      <c r="I18" s="90">
        <f t="shared" si="2"/>
        <v>-1.1545307977322152</v>
      </c>
      <c r="J18" s="90">
        <f t="shared" si="3"/>
        <v>0.19088427767521662</v>
      </c>
    </row>
    <row r="19" spans="1:10" ht="14.45" customHeight="1" x14ac:dyDescent="0.25">
      <c r="A19" s="4">
        <v>17</v>
      </c>
      <c r="B19" s="2" t="s">
        <v>70</v>
      </c>
      <c r="C19" s="3" t="s">
        <v>71</v>
      </c>
      <c r="D19" s="9">
        <v>-299520263</v>
      </c>
      <c r="E19" s="9">
        <v>-299379520</v>
      </c>
      <c r="F19" s="9">
        <v>-292740360</v>
      </c>
      <c r="G19" s="9">
        <f t="shared" si="0"/>
        <v>-598899783</v>
      </c>
      <c r="H19" s="9">
        <f t="shared" si="1"/>
        <v>-592119880</v>
      </c>
      <c r="I19" s="90">
        <f t="shared" si="2"/>
        <v>-2.3500258974046081E-4</v>
      </c>
      <c r="J19" s="90">
        <f t="shared" si="3"/>
        <v>-1.1212526760628271E-2</v>
      </c>
    </row>
    <row r="20" spans="1:10" ht="14.45" customHeight="1" x14ac:dyDescent="0.25">
      <c r="A20" s="2">
        <v>18</v>
      </c>
      <c r="B20" s="2" t="s">
        <v>74</v>
      </c>
      <c r="C20" s="3" t="s">
        <v>75</v>
      </c>
      <c r="D20" s="9">
        <v>1291592680</v>
      </c>
      <c r="E20" s="9">
        <v>-2947608570</v>
      </c>
      <c r="F20" s="9">
        <v>-1145131132</v>
      </c>
      <c r="G20" s="9">
        <f t="shared" si="0"/>
        <v>-1656015890</v>
      </c>
      <c r="H20" s="9">
        <f t="shared" si="1"/>
        <v>-4092739702</v>
      </c>
      <c r="I20" s="90">
        <f t="shared" si="2"/>
        <v>2.5598795733777653</v>
      </c>
      <c r="J20" s="90">
        <f t="shared" si="3"/>
        <v>-0.4404085207566909</v>
      </c>
    </row>
    <row r="21" spans="1:10" ht="14.45" customHeight="1" x14ac:dyDescent="0.25">
      <c r="A21" s="4">
        <v>19</v>
      </c>
      <c r="B21" s="2" t="s">
        <v>82</v>
      </c>
      <c r="C21" s="3" t="s">
        <v>83</v>
      </c>
      <c r="D21" s="9">
        <v>-14557168172</v>
      </c>
      <c r="E21" s="9">
        <v>-11460783492</v>
      </c>
      <c r="F21" s="9">
        <v>-9987168433</v>
      </c>
      <c r="G21" s="9">
        <f t="shared" si="0"/>
        <v>-26017951664</v>
      </c>
      <c r="H21" s="9">
        <f t="shared" si="1"/>
        <v>-21447951925</v>
      </c>
      <c r="I21" s="90">
        <f t="shared" si="2"/>
        <v>-0.11900954848357043</v>
      </c>
      <c r="J21" s="90">
        <f t="shared" si="3"/>
        <v>-6.8706562946102834E-2</v>
      </c>
    </row>
    <row r="22" spans="1:10" ht="14.45" customHeight="1" x14ac:dyDescent="0.25">
      <c r="A22" s="4">
        <v>20</v>
      </c>
      <c r="B22" s="4" t="s">
        <v>84</v>
      </c>
      <c r="C22" s="3" t="s">
        <v>85</v>
      </c>
      <c r="D22" s="9">
        <v>-435186326</v>
      </c>
      <c r="E22" s="9">
        <v>95214931</v>
      </c>
      <c r="F22" s="9">
        <v>-88744731</v>
      </c>
      <c r="G22" s="9">
        <f t="shared" si="0"/>
        <v>-339971395</v>
      </c>
      <c r="H22" s="9">
        <f t="shared" si="1"/>
        <v>6470200</v>
      </c>
      <c r="I22" s="90">
        <f t="shared" si="2"/>
        <v>-1.5601349548834837</v>
      </c>
      <c r="J22" s="90">
        <f t="shared" si="3"/>
        <v>-28.431835491947698</v>
      </c>
    </row>
    <row r="23" spans="1:10" ht="14.45" customHeight="1" x14ac:dyDescent="0.25">
      <c r="A23" s="2">
        <v>21</v>
      </c>
      <c r="B23" s="2" t="s">
        <v>86</v>
      </c>
      <c r="C23" s="3" t="s">
        <v>87</v>
      </c>
      <c r="D23" s="9">
        <v>171969650608</v>
      </c>
      <c r="E23" s="9">
        <v>100896985647</v>
      </c>
      <c r="F23" s="9">
        <v>117395477693</v>
      </c>
      <c r="G23" s="9">
        <f t="shared" si="0"/>
        <v>272866636255</v>
      </c>
      <c r="H23" s="9">
        <f t="shared" si="1"/>
        <v>218292463340</v>
      </c>
      <c r="I23" s="90">
        <f t="shared" si="2"/>
        <v>-0.26046667315743577</v>
      </c>
      <c r="J23" s="90">
        <f t="shared" si="3"/>
        <v>7.5579760260906861E-2</v>
      </c>
    </row>
    <row r="24" spans="1:10" ht="14.45" customHeight="1" x14ac:dyDescent="0.25">
      <c r="A24" s="4">
        <v>22</v>
      </c>
      <c r="B24" s="4" t="s">
        <v>88</v>
      </c>
      <c r="C24" s="3" t="s">
        <v>89</v>
      </c>
      <c r="D24" s="9">
        <v>-42179422</v>
      </c>
      <c r="E24" s="9">
        <v>-31454564</v>
      </c>
      <c r="F24" s="9">
        <v>-34382814</v>
      </c>
      <c r="G24" s="9">
        <f t="shared" si="0"/>
        <v>-73633986</v>
      </c>
      <c r="H24" s="9">
        <f t="shared" si="1"/>
        <v>-65837378</v>
      </c>
      <c r="I24" s="90">
        <f t="shared" si="2"/>
        <v>-0.14565092265954474</v>
      </c>
      <c r="J24" s="90">
        <f t="shared" si="3"/>
        <v>4.4477014257767067E-2</v>
      </c>
    </row>
    <row r="25" spans="1:10" ht="14.45" customHeight="1" x14ac:dyDescent="0.25">
      <c r="A25" s="4">
        <v>23</v>
      </c>
      <c r="B25" s="2" t="s">
        <v>90</v>
      </c>
      <c r="C25" s="3" t="s">
        <v>91</v>
      </c>
      <c r="D25" s="9">
        <v>-1112438356</v>
      </c>
      <c r="E25" s="9">
        <v>-1270042345</v>
      </c>
      <c r="F25" s="9">
        <v>-430984076</v>
      </c>
      <c r="G25" s="9">
        <f t="shared" si="0"/>
        <v>-2382480701</v>
      </c>
      <c r="H25" s="9">
        <f t="shared" si="1"/>
        <v>-1701026421</v>
      </c>
      <c r="I25" s="90">
        <f t="shared" si="2"/>
        <v>6.6151213285315924E-2</v>
      </c>
      <c r="J25" s="90">
        <f t="shared" si="3"/>
        <v>-0.49326586503385061</v>
      </c>
    </row>
    <row r="26" spans="1:10" ht="14.45" customHeight="1" x14ac:dyDescent="0.25">
      <c r="A26" s="2">
        <v>24</v>
      </c>
      <c r="B26" s="4" t="s">
        <v>92</v>
      </c>
      <c r="C26" s="3" t="s">
        <v>93</v>
      </c>
      <c r="D26" s="9">
        <v>-9670284</v>
      </c>
      <c r="E26" s="9">
        <v>-7426055</v>
      </c>
      <c r="F26" s="9">
        <v>-5606506</v>
      </c>
      <c r="G26" s="9">
        <f t="shared" si="0"/>
        <v>-17096339</v>
      </c>
      <c r="H26" s="9">
        <f t="shared" si="1"/>
        <v>-13032561</v>
      </c>
      <c r="I26" s="90">
        <f t="shared" si="2"/>
        <v>-0.13126956595795158</v>
      </c>
      <c r="J26" s="90">
        <f t="shared" si="3"/>
        <v>-0.1396156135390427</v>
      </c>
    </row>
    <row r="27" spans="1:10" ht="14.45" customHeight="1" x14ac:dyDescent="0.25">
      <c r="A27" s="8">
        <v>25</v>
      </c>
      <c r="B27" s="2" t="s">
        <v>102</v>
      </c>
      <c r="C27" s="3" t="s">
        <v>103</v>
      </c>
      <c r="D27" s="9">
        <v>0</v>
      </c>
      <c r="E27" s="9">
        <v>-38367120</v>
      </c>
      <c r="F27" s="9">
        <v>96809900</v>
      </c>
      <c r="G27" s="9">
        <f t="shared" si="0"/>
        <v>-38367120</v>
      </c>
      <c r="H27" s="9">
        <f t="shared" si="1"/>
        <v>58442780</v>
      </c>
      <c r="I27" s="90">
        <f t="shared" si="2"/>
        <v>1</v>
      </c>
      <c r="J27" s="90">
        <f t="shared" si="3"/>
        <v>2.3129806624530866</v>
      </c>
    </row>
    <row r="28" spans="1:10" ht="14.45" customHeight="1" x14ac:dyDescent="0.25">
      <c r="A28" s="4">
        <v>26</v>
      </c>
      <c r="B28" s="4" t="s">
        <v>108</v>
      </c>
      <c r="C28" s="3" t="s">
        <v>109</v>
      </c>
      <c r="D28" s="9">
        <v>-304820750</v>
      </c>
      <c r="E28" s="9">
        <v>0</v>
      </c>
      <c r="F28" s="9">
        <v>0</v>
      </c>
      <c r="G28" s="9">
        <f t="shared" si="0"/>
        <v>-304820750</v>
      </c>
      <c r="H28" s="9">
        <f t="shared" si="1"/>
        <v>0</v>
      </c>
      <c r="I28" s="90">
        <f t="shared" si="2"/>
        <v>-1</v>
      </c>
      <c r="J28" s="90" t="e">
        <f t="shared" si="3"/>
        <v>#DIV/0!</v>
      </c>
    </row>
    <row r="29" spans="1:10" ht="14.45" customHeight="1" x14ac:dyDescent="0.25">
      <c r="A29" s="2">
        <v>27</v>
      </c>
      <c r="B29" s="2" t="s">
        <v>110</v>
      </c>
      <c r="C29" s="3" t="s">
        <v>111</v>
      </c>
      <c r="D29" s="9">
        <v>0</v>
      </c>
      <c r="E29" s="9">
        <v>0</v>
      </c>
      <c r="F29" s="9">
        <v>-179857106</v>
      </c>
      <c r="G29" s="9">
        <f t="shared" si="0"/>
        <v>0</v>
      </c>
      <c r="H29" s="9">
        <f t="shared" si="1"/>
        <v>-179857106</v>
      </c>
      <c r="I29" s="90" t="e">
        <f t="shared" si="2"/>
        <v>#DIV/0!</v>
      </c>
      <c r="J29" s="90">
        <f t="shared" si="3"/>
        <v>1</v>
      </c>
    </row>
  </sheetData>
  <mergeCells count="6">
    <mergeCell ref="I1:J1"/>
    <mergeCell ref="D1:F1"/>
    <mergeCell ref="A1:A2"/>
    <mergeCell ref="B1:B2"/>
    <mergeCell ref="C1:C2"/>
    <mergeCell ref="G1:H1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H29"/>
  <sheetViews>
    <sheetView zoomScale="85" zoomScaleNormal="85" workbookViewId="0">
      <selection activeCell="B1" sqref="B1:B2"/>
    </sheetView>
  </sheetViews>
  <sheetFormatPr defaultRowHeight="15" x14ac:dyDescent="0.25"/>
  <cols>
    <col min="1" max="1" width="4.42578125" bestFit="1" customWidth="1"/>
    <col min="2" max="2" width="12.85546875" bestFit="1" customWidth="1"/>
    <col min="3" max="3" width="29.5703125" bestFit="1" customWidth="1"/>
    <col min="4" max="5" width="21" bestFit="1" customWidth="1"/>
    <col min="6" max="6" width="20.5703125" bestFit="1" customWidth="1"/>
    <col min="7" max="9" width="21" bestFit="1" customWidth="1"/>
    <col min="10" max="10" width="21.7109375" bestFit="1" customWidth="1"/>
    <col min="11" max="11" width="22.140625" bestFit="1" customWidth="1"/>
    <col min="12" max="12" width="21.7109375" bestFit="1" customWidth="1"/>
    <col min="13" max="13" width="21.28515625" bestFit="1" customWidth="1"/>
    <col min="14" max="15" width="21.7109375" bestFit="1" customWidth="1"/>
    <col min="16" max="16" width="19.140625" bestFit="1" customWidth="1"/>
    <col min="17" max="17" width="19.7109375" bestFit="1" customWidth="1"/>
    <col min="18" max="18" width="21" bestFit="1" customWidth="1"/>
    <col min="19" max="19" width="21.7109375" bestFit="1" customWidth="1"/>
    <col min="20" max="20" width="20.5703125" bestFit="1" customWidth="1"/>
    <col min="21" max="21" width="19.140625" bestFit="1" customWidth="1"/>
    <col min="22" max="23" width="20.140625" bestFit="1" customWidth="1"/>
    <col min="24" max="25" width="20.140625" customWidth="1"/>
    <col min="26" max="26" width="14.140625" bestFit="1" customWidth="1"/>
    <col min="27" max="27" width="16" bestFit="1" customWidth="1"/>
    <col min="28" max="28" width="25.5703125" bestFit="1" customWidth="1"/>
    <col min="29" max="29" width="26.7109375" bestFit="1" customWidth="1"/>
    <col min="30" max="31" width="23" bestFit="1" customWidth="1"/>
    <col min="32" max="33" width="17.140625" bestFit="1" customWidth="1"/>
    <col min="34" max="39" width="17.140625" customWidth="1"/>
    <col min="40" max="40" width="15.7109375" style="28" bestFit="1" customWidth="1"/>
    <col min="41" max="42" width="9.140625" style="28"/>
    <col min="43" max="43" width="17.5703125" bestFit="1" customWidth="1"/>
    <col min="44" max="48" width="17.5703125" customWidth="1"/>
    <col min="49" max="50" width="18.28515625" style="10" bestFit="1" customWidth="1"/>
    <col min="51" max="51" width="21" bestFit="1" customWidth="1"/>
    <col min="52" max="52" width="17.5703125" bestFit="1" customWidth="1"/>
    <col min="53" max="53" width="20.5703125" bestFit="1" customWidth="1"/>
    <col min="54" max="54" width="17.5703125" customWidth="1"/>
    <col min="55" max="55" width="20.5703125" bestFit="1" customWidth="1"/>
    <col min="56" max="56" width="19.140625" bestFit="1" customWidth="1"/>
    <col min="57" max="58" width="20.140625" style="38" bestFit="1" customWidth="1"/>
    <col min="59" max="59" width="19.140625" style="41" bestFit="1" customWidth="1"/>
    <col min="60" max="60" width="19.7109375" style="41" bestFit="1" customWidth="1"/>
  </cols>
  <sheetData>
    <row r="1" spans="1:60" ht="43.15" customHeight="1" x14ac:dyDescent="0.25">
      <c r="A1" s="45" t="s">
        <v>122</v>
      </c>
      <c r="B1" s="44" t="s">
        <v>123</v>
      </c>
      <c r="C1" s="45" t="s">
        <v>124</v>
      </c>
      <c r="D1" s="46" t="s">
        <v>136</v>
      </c>
      <c r="E1" s="47"/>
      <c r="F1" s="46" t="s">
        <v>137</v>
      </c>
      <c r="G1" s="47"/>
      <c r="H1" s="67" t="s">
        <v>138</v>
      </c>
      <c r="I1" s="68"/>
      <c r="J1" s="46" t="s">
        <v>147</v>
      </c>
      <c r="K1" s="47"/>
      <c r="L1" s="46" t="s">
        <v>140</v>
      </c>
      <c r="M1" s="47"/>
      <c r="N1" s="46" t="s">
        <v>141</v>
      </c>
      <c r="O1" s="47"/>
      <c r="P1" s="61" t="s">
        <v>139</v>
      </c>
      <c r="Q1" s="47"/>
      <c r="R1" s="46" t="s">
        <v>142</v>
      </c>
      <c r="S1" s="47"/>
      <c r="T1" s="46" t="s">
        <v>143</v>
      </c>
      <c r="U1" s="47"/>
      <c r="V1" s="46" t="s">
        <v>144</v>
      </c>
      <c r="W1" s="47"/>
      <c r="X1" s="61" t="s">
        <v>145</v>
      </c>
      <c r="Y1" s="47"/>
      <c r="Z1" s="57" t="s">
        <v>151</v>
      </c>
      <c r="AA1" s="58"/>
      <c r="AB1" s="57" t="s">
        <v>148</v>
      </c>
      <c r="AC1" s="58"/>
      <c r="AD1" s="66" t="s">
        <v>149</v>
      </c>
      <c r="AE1" s="58"/>
      <c r="AF1" s="57" t="s">
        <v>150</v>
      </c>
      <c r="AG1" s="58"/>
      <c r="AH1" s="62" t="s">
        <v>152</v>
      </c>
      <c r="AI1" s="63"/>
      <c r="AJ1" s="63" t="s">
        <v>153</v>
      </c>
      <c r="AK1" s="64"/>
      <c r="AL1" s="65" t="s">
        <v>167</v>
      </c>
      <c r="AM1" s="65"/>
      <c r="AN1" s="51" t="s">
        <v>154</v>
      </c>
      <c r="AO1" s="51" t="s">
        <v>155</v>
      </c>
      <c r="AP1" s="51" t="s">
        <v>156</v>
      </c>
      <c r="AQ1" s="52" t="s">
        <v>157</v>
      </c>
      <c r="AR1" s="53"/>
      <c r="AS1" s="54" t="s">
        <v>158</v>
      </c>
      <c r="AT1" s="52"/>
      <c r="AU1" s="52" t="s">
        <v>159</v>
      </c>
      <c r="AV1" s="53"/>
      <c r="AW1" s="59" t="s">
        <v>160</v>
      </c>
      <c r="AX1" s="60"/>
      <c r="AY1" s="46" t="s">
        <v>157</v>
      </c>
      <c r="AZ1" s="47"/>
      <c r="BA1" s="46" t="s">
        <v>161</v>
      </c>
      <c r="BB1" s="47"/>
      <c r="BC1" s="46" t="s">
        <v>159</v>
      </c>
      <c r="BD1" s="47"/>
      <c r="BE1" s="49" t="s">
        <v>146</v>
      </c>
      <c r="BF1" s="50"/>
      <c r="BG1" s="55" t="s">
        <v>162</v>
      </c>
      <c r="BH1" s="56"/>
    </row>
    <row r="2" spans="1:60" x14ac:dyDescent="0.25">
      <c r="A2" s="45"/>
      <c r="B2" s="44"/>
      <c r="C2" s="45"/>
      <c r="D2" s="1">
        <v>2020</v>
      </c>
      <c r="E2" s="1">
        <v>2021</v>
      </c>
      <c r="F2" s="1">
        <v>2020</v>
      </c>
      <c r="G2" s="1">
        <v>2021</v>
      </c>
      <c r="H2" s="14">
        <v>2020</v>
      </c>
      <c r="I2" s="14">
        <v>2021</v>
      </c>
      <c r="J2" s="1">
        <v>2019</v>
      </c>
      <c r="K2" s="1">
        <v>2020</v>
      </c>
      <c r="L2" s="1">
        <v>2020</v>
      </c>
      <c r="M2" s="1">
        <v>2021</v>
      </c>
      <c r="N2" s="1">
        <v>2019</v>
      </c>
      <c r="O2" s="1">
        <v>2020</v>
      </c>
      <c r="P2" s="1">
        <v>2020</v>
      </c>
      <c r="Q2" s="1">
        <v>2021</v>
      </c>
      <c r="R2" s="1">
        <v>2020</v>
      </c>
      <c r="S2" s="1">
        <v>2021</v>
      </c>
      <c r="T2" s="1">
        <v>2020</v>
      </c>
      <c r="U2" s="1">
        <v>2021</v>
      </c>
      <c r="V2" s="1">
        <v>2019</v>
      </c>
      <c r="W2" s="1">
        <v>2020</v>
      </c>
      <c r="X2" s="1">
        <v>2020</v>
      </c>
      <c r="Y2" s="1">
        <v>2021</v>
      </c>
      <c r="Z2" s="19">
        <v>2020</v>
      </c>
      <c r="AA2" s="19">
        <v>2021</v>
      </c>
      <c r="AB2" s="19">
        <v>2020</v>
      </c>
      <c r="AC2" s="19">
        <v>2021</v>
      </c>
      <c r="AD2" s="19">
        <v>2020</v>
      </c>
      <c r="AE2" s="19">
        <v>2021</v>
      </c>
      <c r="AF2" s="19">
        <v>2020</v>
      </c>
      <c r="AG2" s="19">
        <v>2021</v>
      </c>
      <c r="AH2" s="19">
        <v>2020</v>
      </c>
      <c r="AI2" s="19">
        <v>2021</v>
      </c>
      <c r="AJ2" s="19">
        <v>2020</v>
      </c>
      <c r="AK2" s="19">
        <v>2021</v>
      </c>
      <c r="AL2" s="19">
        <v>2020</v>
      </c>
      <c r="AM2" s="29">
        <v>2021</v>
      </c>
      <c r="AN2" s="51"/>
      <c r="AO2" s="51"/>
      <c r="AP2" s="51"/>
      <c r="AQ2" s="31">
        <v>2020</v>
      </c>
      <c r="AR2" s="1">
        <v>2021</v>
      </c>
      <c r="AS2" s="1">
        <v>2020</v>
      </c>
      <c r="AT2" s="1">
        <v>2021</v>
      </c>
      <c r="AU2" s="1">
        <v>2020</v>
      </c>
      <c r="AV2" s="1">
        <v>2021</v>
      </c>
      <c r="AW2" s="35">
        <v>2020</v>
      </c>
      <c r="AX2" s="35">
        <v>2021</v>
      </c>
      <c r="AY2" s="1">
        <v>2020</v>
      </c>
      <c r="AZ2" s="1">
        <v>2021</v>
      </c>
      <c r="BA2" s="1">
        <v>2020</v>
      </c>
      <c r="BB2" s="1">
        <v>2021</v>
      </c>
      <c r="BC2" s="1">
        <v>2020</v>
      </c>
      <c r="BD2" s="1">
        <v>2021</v>
      </c>
      <c r="BE2" s="12">
        <v>2020</v>
      </c>
      <c r="BF2" s="12">
        <v>2021</v>
      </c>
      <c r="BG2" s="39">
        <v>2020</v>
      </c>
      <c r="BH2" s="39">
        <v>2021</v>
      </c>
    </row>
    <row r="3" spans="1:60" ht="14.45" customHeight="1" x14ac:dyDescent="0.25">
      <c r="A3" s="4">
        <v>1</v>
      </c>
      <c r="B3" s="4" t="s">
        <v>2</v>
      </c>
      <c r="C3" s="3" t="s">
        <v>3</v>
      </c>
      <c r="D3" s="9">
        <v>23702652447</v>
      </c>
      <c r="E3" s="9">
        <v>86499800385</v>
      </c>
      <c r="F3" s="9">
        <v>1436114329566</v>
      </c>
      <c r="G3" s="9">
        <v>1516184833702</v>
      </c>
      <c r="H3" s="15">
        <f>D3-F3</f>
        <v>-1412411677119</v>
      </c>
      <c r="I3" s="15">
        <f>E3-G3</f>
        <v>-1429685033317</v>
      </c>
      <c r="J3" s="9">
        <v>36515833214549</v>
      </c>
      <c r="K3" s="9">
        <v>38093888626551</v>
      </c>
      <c r="L3" s="9">
        <v>10827682417205</v>
      </c>
      <c r="M3" s="9">
        <v>11530471713036</v>
      </c>
      <c r="N3" s="9">
        <v>15307860220494</v>
      </c>
      <c r="O3" s="9">
        <f t="shared" ref="O3:O29" si="0">L3</f>
        <v>10827682417205</v>
      </c>
      <c r="P3" s="9">
        <f t="shared" ref="P3:P29" si="1">L3-N3</f>
        <v>-4480177803289</v>
      </c>
      <c r="Q3" s="9">
        <f t="shared" ref="Q3:Q29" si="2">M3-O3</f>
        <v>702789295831</v>
      </c>
      <c r="R3" s="9">
        <v>2204377328017</v>
      </c>
      <c r="S3" s="9">
        <v>2150181675985</v>
      </c>
      <c r="T3" s="16">
        <f>311679872718+260645228755</f>
        <v>572325101473</v>
      </c>
      <c r="U3" s="9">
        <f>366653953083+385562158849</f>
        <v>752216111932</v>
      </c>
      <c r="V3" s="17">
        <f>313861906748+279483488552</f>
        <v>593345395300</v>
      </c>
      <c r="W3" s="16">
        <f>311679872718+260645228755</f>
        <v>572325101473</v>
      </c>
      <c r="X3" s="16">
        <f>T3-V3</f>
        <v>-21020293827</v>
      </c>
      <c r="Y3" s="16">
        <f>U3-W3</f>
        <v>179891010459</v>
      </c>
      <c r="Z3" s="20">
        <f t="shared" ref="Z3:Z29" si="3">H3/J3</f>
        <v>-3.8679431708989541E-2</v>
      </c>
      <c r="AA3" s="21">
        <f t="shared" ref="AA3:AA29" si="4">I3/K3</f>
        <v>-3.7530561590410232E-2</v>
      </c>
      <c r="AB3" s="22">
        <f t="shared" ref="AB3:AB29" si="5">1/J3</f>
        <v>2.7385380859981858E-14</v>
      </c>
      <c r="AC3" s="23">
        <f t="shared" ref="AC3:AC29" si="6">1/K3</f>
        <v>2.6250929901207606E-14</v>
      </c>
      <c r="AD3" s="24">
        <f t="shared" ref="AD3:AD29" si="7">P3/J3</f>
        <v>-0.12269137546350614</v>
      </c>
      <c r="AE3" s="24">
        <f t="shared" ref="AE3:AE29" si="8">Q3/K3</f>
        <v>1.8448872540178636E-2</v>
      </c>
      <c r="AF3" s="25">
        <f t="shared" ref="AF3:AF29" si="9">R3/J3</f>
        <v>6.0367712686854702E-2</v>
      </c>
      <c r="AG3" s="25">
        <f t="shared" ref="AG3:AG29" si="10">S3/K3</f>
        <v>5.6444268451143323E-2</v>
      </c>
      <c r="AH3" s="25">
        <f>P3/J3</f>
        <v>-0.12269137546350614</v>
      </c>
      <c r="AI3" s="25">
        <f>Q3/K3</f>
        <v>1.8448872540178636E-2</v>
      </c>
      <c r="AJ3" s="25">
        <f>X3/J3</f>
        <v>-5.7564875224112063E-4</v>
      </c>
      <c r="AK3" s="25">
        <f>Y3/K3</f>
        <v>4.7223063054166138E-3</v>
      </c>
      <c r="AL3" s="25">
        <f>AH3-AJ3</f>
        <v>-0.12211572671126503</v>
      </c>
      <c r="AM3" s="30">
        <f>AI3-AK3</f>
        <v>1.3726566234762021E-2</v>
      </c>
      <c r="AN3" s="34">
        <v>18163643267.208981</v>
      </c>
      <c r="AO3" s="28">
        <v>27.763583809739931</v>
      </c>
      <c r="AP3" s="28">
        <v>-10.743276218016188</v>
      </c>
      <c r="AQ3" s="32">
        <f>AN3*AB3</f>
        <v>4.9741828867736317E-4</v>
      </c>
      <c r="AR3" s="26">
        <f>AN3*AC3</f>
        <v>4.7681252615804445E-4</v>
      </c>
      <c r="AS3" s="26">
        <f>AO3*AH3</f>
        <v>-3.4063522854133219</v>
      </c>
      <c r="AT3" s="26">
        <f>AO3*AI3</f>
        <v>0.51220681896445919</v>
      </c>
      <c r="AU3" s="26">
        <f>AP3*AF3</f>
        <v>-0.64854701204472021</v>
      </c>
      <c r="AV3" s="26">
        <f>AP3*AG3</f>
        <v>-0.6063963668944895</v>
      </c>
      <c r="AW3" s="36">
        <f>SUM(AQ3,AS3,AU3)</f>
        <v>-4.0544018791693652</v>
      </c>
      <c r="AX3" s="36">
        <f>SUM(AR3,AT3,AV3)</f>
        <v>-9.371273540387226E-2</v>
      </c>
      <c r="AY3" s="27">
        <v>4.9741828867736317E-4</v>
      </c>
      <c r="AZ3" s="27">
        <v>4.7681252615804445E-4</v>
      </c>
      <c r="BA3" s="27">
        <f>AO3*AL3</f>
        <v>-3.3903702130355038</v>
      </c>
      <c r="BB3" s="27">
        <f>AO3*AM3</f>
        <v>0.38109867207876164</v>
      </c>
      <c r="BC3" s="26">
        <v>-0.64854701204472021</v>
      </c>
      <c r="BD3" s="26">
        <v>-0.6063963668944895</v>
      </c>
      <c r="BE3" s="37">
        <f>SUM(AY3,BA3,BC3)</f>
        <v>-4.0384198067915467</v>
      </c>
      <c r="BF3" s="37">
        <f>SUM(AZ3,BB3,BD3)</f>
        <v>-0.22482088228956981</v>
      </c>
      <c r="BG3" s="40">
        <f>AW3-BE3</f>
        <v>-1.5982072377818568E-2</v>
      </c>
      <c r="BH3" s="40">
        <f>AX3-BF3</f>
        <v>0.13110814688569755</v>
      </c>
    </row>
    <row r="4" spans="1:60" x14ac:dyDescent="0.25">
      <c r="A4" s="2">
        <v>2</v>
      </c>
      <c r="B4" s="2" t="s">
        <v>4</v>
      </c>
      <c r="C4" s="3" t="s">
        <v>5</v>
      </c>
      <c r="D4" s="9">
        <v>84403215805</v>
      </c>
      <c r="E4" s="9">
        <v>188536504140</v>
      </c>
      <c r="F4" s="9">
        <v>594547206740</v>
      </c>
      <c r="G4" s="9">
        <v>633625417511</v>
      </c>
      <c r="H4" s="15">
        <f t="shared" ref="H4:H29" si="11">D4-F4</f>
        <v>-510143990935</v>
      </c>
      <c r="I4" s="15">
        <f t="shared" ref="I4:I29" si="12">E4-G4</f>
        <v>-445088913371</v>
      </c>
      <c r="J4" s="9">
        <v>4147689322753</v>
      </c>
      <c r="K4" s="9">
        <v>4651939975688</v>
      </c>
      <c r="L4" s="9">
        <v>778896099135</v>
      </c>
      <c r="M4" s="9">
        <v>946633191563</v>
      </c>
      <c r="N4" s="9">
        <v>617522982196</v>
      </c>
      <c r="O4" s="9">
        <f t="shared" si="0"/>
        <v>778896099135</v>
      </c>
      <c r="P4" s="9">
        <f t="shared" si="1"/>
        <v>161373116939</v>
      </c>
      <c r="Q4" s="9">
        <f t="shared" si="2"/>
        <v>167737092428</v>
      </c>
      <c r="R4" s="9">
        <v>4153187169540</v>
      </c>
      <c r="S4" s="9">
        <v>4473864989481</v>
      </c>
      <c r="T4" s="9">
        <v>144403778103</v>
      </c>
      <c r="U4" s="9">
        <v>185620558347</v>
      </c>
      <c r="V4" s="9">
        <v>132375145774</v>
      </c>
      <c r="W4" s="9">
        <v>144403778103</v>
      </c>
      <c r="X4" s="16">
        <f t="shared" ref="X4:X29" si="13">T4-V4</f>
        <v>12028632329</v>
      </c>
      <c r="Y4" s="16">
        <f t="shared" ref="Y4:Y29" si="14">U4-W4</f>
        <v>41216780244</v>
      </c>
      <c r="Z4" s="20">
        <f t="shared" si="3"/>
        <v>-0.12299474508288279</v>
      </c>
      <c r="AA4" s="21">
        <f t="shared" si="4"/>
        <v>-9.5678129059516392E-2</v>
      </c>
      <c r="AB4" s="22">
        <f t="shared" si="5"/>
        <v>2.4109809635796371E-13</v>
      </c>
      <c r="AC4" s="23">
        <f t="shared" si="6"/>
        <v>2.1496408062576188E-13</v>
      </c>
      <c r="AD4" s="24">
        <f t="shared" si="7"/>
        <v>3.8906751297343965E-2</v>
      </c>
      <c r="AE4" s="24">
        <f t="shared" si="8"/>
        <v>3.6057449860623467E-2</v>
      </c>
      <c r="AF4" s="25">
        <f t="shared" si="9"/>
        <v>1.0013255203944134</v>
      </c>
      <c r="AG4" s="25">
        <f t="shared" si="10"/>
        <v>0.96172027430756701</v>
      </c>
      <c r="AH4" s="25">
        <f t="shared" ref="AH4:AH29" si="15">P4/J4</f>
        <v>3.8906751297343965E-2</v>
      </c>
      <c r="AI4" s="25">
        <f t="shared" ref="AI4:AI28" si="16">Q4/K4</f>
        <v>3.6057449860623467E-2</v>
      </c>
      <c r="AJ4" s="25">
        <f t="shared" ref="AJ4:AJ29" si="17">X4/J4</f>
        <v>2.9000803563117594E-3</v>
      </c>
      <c r="AK4" s="25">
        <f t="shared" ref="AK4:AK29" si="18">Y4/K4</f>
        <v>8.8601272715055253E-3</v>
      </c>
      <c r="AL4" s="25">
        <f t="shared" ref="AL4:AL29" si="19">AH4-AJ4</f>
        <v>3.6006670941032208E-2</v>
      </c>
      <c r="AM4" s="30">
        <f t="shared" ref="AM4:AM29" si="20">AI4-AK4</f>
        <v>2.7197322589117941E-2</v>
      </c>
      <c r="AN4" s="34">
        <v>18163643267.208981</v>
      </c>
      <c r="AO4" s="28">
        <v>27.763583809739931</v>
      </c>
      <c r="AP4" s="28">
        <v>-10.743276218016188</v>
      </c>
      <c r="AQ4" s="32">
        <f t="shared" ref="AQ4:AQ29" si="21">AN4*AB4</f>
        <v>4.3792198146492293E-3</v>
      </c>
      <c r="AR4" s="26">
        <f t="shared" ref="AR4:AR29" si="22">AN4*AC4</f>
        <v>3.9045308757498882E-3</v>
      </c>
      <c r="AS4" s="26">
        <f t="shared" ref="AS4:AS29" si="23">AO4*AH4</f>
        <v>1.0801908504085169</v>
      </c>
      <c r="AT4" s="26">
        <f t="shared" ref="AT4:AT29" si="24">AO4*AI4</f>
        <v>1.001084031170915</v>
      </c>
      <c r="AU4" s="26">
        <f t="shared" ref="AU4:AU29" si="25">AP4*AF4</f>
        <v>-10.757516649745984</v>
      </c>
      <c r="AV4" s="26">
        <f t="shared" ref="AV4:AV29" si="26">AP4*AG4</f>
        <v>-10.33202655135249</v>
      </c>
      <c r="AW4" s="36">
        <f t="shared" ref="AW4:AW29" si="27">SUM(AQ4,AS4,AU4)</f>
        <v>-9.6729465795228187</v>
      </c>
      <c r="AX4" s="36">
        <f t="shared" ref="AX4:AX29" si="28">SUM(AR4,AT4,AV4)</f>
        <v>-9.3270379893058255</v>
      </c>
      <c r="AY4" s="27">
        <v>4.3792198146492293E-3</v>
      </c>
      <c r="AZ4" s="27">
        <v>3.9045308757498882E-3</v>
      </c>
      <c r="BA4" s="27">
        <f t="shared" ref="BA4:BA29" si="29">AO4*AL4</f>
        <v>0.99967422638107506</v>
      </c>
      <c r="BB4" s="27">
        <f t="shared" ref="BB4:BB29" si="30">AO4*AM4</f>
        <v>0.75509514510350895</v>
      </c>
      <c r="BC4" s="26">
        <v>-10.757516649745984</v>
      </c>
      <c r="BD4" s="26">
        <v>-10.33202655135249</v>
      </c>
      <c r="BE4" s="37">
        <f t="shared" ref="BE4:BE29" si="31">SUM(AY4,BA4,BC4)</f>
        <v>-9.7534632035502593</v>
      </c>
      <c r="BF4" s="37">
        <f t="shared" ref="BF4:BF29" si="32">SUM(AZ4,BB4,BD4)</f>
        <v>-9.5730268753732304</v>
      </c>
      <c r="BG4" s="40">
        <f t="shared" ref="BG4:BG29" si="33">AW4-BE4</f>
        <v>8.0516624027440642E-2</v>
      </c>
      <c r="BH4" s="40">
        <f t="shared" ref="BH4:BH29" si="34">AX4-BF4</f>
        <v>0.24598888606740488</v>
      </c>
    </row>
    <row r="5" spans="1:60" x14ac:dyDescent="0.25">
      <c r="A5" s="4">
        <v>3</v>
      </c>
      <c r="B5" s="2" t="s">
        <v>8</v>
      </c>
      <c r="C5" s="3" t="s">
        <v>9</v>
      </c>
      <c r="D5" s="9">
        <v>505899271</v>
      </c>
      <c r="E5" s="9">
        <v>492921167</v>
      </c>
      <c r="F5" s="9">
        <v>731553369</v>
      </c>
      <c r="G5" s="9">
        <v>589471617</v>
      </c>
      <c r="H5" s="15">
        <f t="shared" si="11"/>
        <v>-225654098</v>
      </c>
      <c r="I5" s="15">
        <f t="shared" si="12"/>
        <v>-96550450</v>
      </c>
      <c r="J5" s="9">
        <v>4739164617</v>
      </c>
      <c r="K5" s="9">
        <v>4950706654</v>
      </c>
      <c r="L5" s="9">
        <v>3981900673</v>
      </c>
      <c r="M5" s="9">
        <v>3858936725</v>
      </c>
      <c r="N5" s="9">
        <v>6039812904</v>
      </c>
      <c r="O5" s="9">
        <f t="shared" si="0"/>
        <v>3981900673</v>
      </c>
      <c r="P5" s="9">
        <f t="shared" si="1"/>
        <v>-2057912231</v>
      </c>
      <c r="Q5" s="9">
        <f t="shared" si="2"/>
        <v>-122963948</v>
      </c>
      <c r="R5" s="9">
        <v>993710458</v>
      </c>
      <c r="S5" s="9">
        <v>932264018</v>
      </c>
      <c r="T5" s="9">
        <v>577336098</v>
      </c>
      <c r="U5" s="9">
        <f>322787315+94818317</f>
        <v>417605632</v>
      </c>
      <c r="V5" s="9">
        <v>635106945</v>
      </c>
      <c r="W5" s="9">
        <v>577336098</v>
      </c>
      <c r="X5" s="16">
        <f t="shared" si="13"/>
        <v>-57770847</v>
      </c>
      <c r="Y5" s="16">
        <f t="shared" si="14"/>
        <v>-159730466</v>
      </c>
      <c r="Z5" s="20">
        <f t="shared" si="3"/>
        <v>-4.7614741465310022E-2</v>
      </c>
      <c r="AA5" s="21">
        <f t="shared" si="4"/>
        <v>-1.9502357289133777E-2</v>
      </c>
      <c r="AB5" s="22">
        <f t="shared" si="5"/>
        <v>2.1100765236406221E-10</v>
      </c>
      <c r="AC5" s="23">
        <f t="shared" si="6"/>
        <v>2.0199136605923409E-10</v>
      </c>
      <c r="AD5" s="24">
        <f t="shared" si="7"/>
        <v>-0.43423522863459968</v>
      </c>
      <c r="AE5" s="24">
        <f t="shared" si="8"/>
        <v>-2.4837655832556628E-2</v>
      </c>
      <c r="AF5" s="25">
        <f t="shared" si="9"/>
        <v>0.20968051087219702</v>
      </c>
      <c r="AG5" s="25">
        <f t="shared" si="10"/>
        <v>0.18830928252369039</v>
      </c>
      <c r="AH5" s="25">
        <f t="shared" si="15"/>
        <v>-0.43423522863459968</v>
      </c>
      <c r="AI5" s="25">
        <f t="shared" si="16"/>
        <v>-2.4837655832556628E-2</v>
      </c>
      <c r="AJ5" s="25">
        <f t="shared" si="17"/>
        <v>-1.2190090800553426E-2</v>
      </c>
      <c r="AK5" s="25">
        <f t="shared" si="18"/>
        <v>-3.2264175028618045E-2</v>
      </c>
      <c r="AL5" s="25">
        <f t="shared" si="19"/>
        <v>-0.42204513783404624</v>
      </c>
      <c r="AM5" s="30">
        <f t="shared" si="20"/>
        <v>7.4265191960614166E-3</v>
      </c>
      <c r="AN5" s="34">
        <v>18163643267.208981</v>
      </c>
      <c r="AO5" s="28">
        <v>27.763583809739931</v>
      </c>
      <c r="AP5" s="28">
        <v>-10.743276218016188</v>
      </c>
      <c r="AQ5" s="32">
        <f t="shared" si="21"/>
        <v>3.8326677241920719</v>
      </c>
      <c r="AR5" s="26">
        <f t="shared" si="22"/>
        <v>3.6688991161561519</v>
      </c>
      <c r="AS5" s="26">
        <f t="shared" si="23"/>
        <v>-12.055926163338288</v>
      </c>
      <c r="AT5" s="26">
        <f t="shared" si="24"/>
        <v>-0.68958233934466173</v>
      </c>
      <c r="AU5" s="26">
        <f t="shared" si="25"/>
        <v>-2.2526556458347589</v>
      </c>
      <c r="AV5" s="26">
        <f t="shared" si="26"/>
        <v>-2.0230586365684542</v>
      </c>
      <c r="AW5" s="36">
        <f t="shared" si="27"/>
        <v>-10.475914084980975</v>
      </c>
      <c r="AX5" s="36">
        <f t="shared" si="28"/>
        <v>0.9562581402430359</v>
      </c>
      <c r="AY5" s="27">
        <v>3.8326677241920719</v>
      </c>
      <c r="AZ5" s="27">
        <v>3.6688991161561519</v>
      </c>
      <c r="BA5" s="27">
        <f t="shared" si="29"/>
        <v>-11.717485555748784</v>
      </c>
      <c r="BB5" s="27">
        <f t="shared" si="30"/>
        <v>0.20618678811449356</v>
      </c>
      <c r="BC5" s="26">
        <v>-2.2526556458347589</v>
      </c>
      <c r="BD5" s="26">
        <v>-2.0230586365684542</v>
      </c>
      <c r="BE5" s="37">
        <f t="shared" si="31"/>
        <v>-10.13747347739147</v>
      </c>
      <c r="BF5" s="37">
        <f t="shared" si="32"/>
        <v>1.8520272677021912</v>
      </c>
      <c r="BG5" s="40">
        <f t="shared" si="33"/>
        <v>-0.33844060758950434</v>
      </c>
      <c r="BH5" s="40">
        <f t="shared" si="34"/>
        <v>-0.89576912745915527</v>
      </c>
    </row>
    <row r="6" spans="1:60" ht="14.45" customHeight="1" x14ac:dyDescent="0.25">
      <c r="A6" s="2">
        <v>4</v>
      </c>
      <c r="B6" s="4" t="s">
        <v>14</v>
      </c>
      <c r="C6" s="3" t="s">
        <v>15</v>
      </c>
      <c r="D6" s="9">
        <v>375100100</v>
      </c>
      <c r="E6" s="9">
        <v>709337388</v>
      </c>
      <c r="F6" s="9">
        <v>328527988</v>
      </c>
      <c r="G6" s="9">
        <v>1349105936</v>
      </c>
      <c r="H6" s="15">
        <f t="shared" si="11"/>
        <v>46572112</v>
      </c>
      <c r="I6" s="15">
        <f t="shared" si="12"/>
        <v>-639768548</v>
      </c>
      <c r="J6" s="9">
        <v>15453514716</v>
      </c>
      <c r="K6" s="9">
        <v>16497923247</v>
      </c>
      <c r="L6" s="9">
        <v>2588528412</v>
      </c>
      <c r="M6" s="9">
        <v>4437589419</v>
      </c>
      <c r="N6" s="9">
        <v>3527913944</v>
      </c>
      <c r="O6" s="9">
        <f t="shared" si="0"/>
        <v>2588528412</v>
      </c>
      <c r="P6" s="9">
        <f t="shared" si="1"/>
        <v>-939385532</v>
      </c>
      <c r="Q6" s="9">
        <f t="shared" si="2"/>
        <v>1849061007</v>
      </c>
      <c r="R6" s="9">
        <v>206664212</v>
      </c>
      <c r="S6" s="9">
        <v>202476422</v>
      </c>
      <c r="T6" s="9">
        <v>82554564</v>
      </c>
      <c r="U6" s="9">
        <v>35866080</v>
      </c>
      <c r="V6" s="9">
        <v>166921717</v>
      </c>
      <c r="W6" s="9">
        <v>82554564</v>
      </c>
      <c r="X6" s="16">
        <f t="shared" si="13"/>
        <v>-84367153</v>
      </c>
      <c r="Y6" s="16">
        <f t="shared" si="14"/>
        <v>-46688484</v>
      </c>
      <c r="Z6" s="20">
        <f t="shared" si="3"/>
        <v>3.0136905976334916E-3</v>
      </c>
      <c r="AA6" s="21">
        <f t="shared" si="4"/>
        <v>-3.8778732233242519E-2</v>
      </c>
      <c r="AB6" s="22">
        <f t="shared" si="5"/>
        <v>6.4710198189712581E-11</v>
      </c>
      <c r="AC6" s="23">
        <f t="shared" si="6"/>
        <v>6.061368967647738E-11</v>
      </c>
      <c r="AD6" s="24">
        <f t="shared" si="7"/>
        <v>-6.0787823952268595E-2</v>
      </c>
      <c r="AE6" s="24">
        <f t="shared" si="8"/>
        <v>0.11207841007117277</v>
      </c>
      <c r="AF6" s="25">
        <f t="shared" si="9"/>
        <v>1.3373282117240778E-2</v>
      </c>
      <c r="AG6" s="25">
        <f t="shared" si="10"/>
        <v>1.2272843009911476E-2</v>
      </c>
      <c r="AH6" s="25">
        <f t="shared" si="15"/>
        <v>-6.0787823952268595E-2</v>
      </c>
      <c r="AI6" s="25">
        <f t="shared" si="16"/>
        <v>0.11207841007117277</v>
      </c>
      <c r="AJ6" s="25">
        <f t="shared" si="17"/>
        <v>-5.459415191331805E-3</v>
      </c>
      <c r="AK6" s="25">
        <f t="shared" si="18"/>
        <v>-2.8299612806411793E-3</v>
      </c>
      <c r="AL6" s="25">
        <f t="shared" si="19"/>
        <v>-5.5328408760936788E-2</v>
      </c>
      <c r="AM6" s="30">
        <f t="shared" si="20"/>
        <v>0.11490837135181395</v>
      </c>
      <c r="AN6" s="34">
        <v>18163643267.208981</v>
      </c>
      <c r="AO6" s="28">
        <v>27.763583809739931</v>
      </c>
      <c r="AP6" s="28">
        <v>-10.743276218016188</v>
      </c>
      <c r="AQ6" s="32">
        <f t="shared" si="21"/>
        <v>1.1753729556683317</v>
      </c>
      <c r="AR6" s="26">
        <f t="shared" si="22"/>
        <v>1.1009654363928429</v>
      </c>
      <c r="AS6" s="26">
        <f t="shared" si="23"/>
        <v>-1.6876878449105255</v>
      </c>
      <c r="AT6" s="26">
        <f t="shared" si="24"/>
        <v>3.1116983312734048</v>
      </c>
      <c r="AU6" s="26">
        <f t="shared" si="25"/>
        <v>-0.14367286372697402</v>
      </c>
      <c r="AV6" s="26">
        <f t="shared" si="26"/>
        <v>-0.13185054243582817</v>
      </c>
      <c r="AW6" s="36">
        <f t="shared" si="27"/>
        <v>-0.65598775296916778</v>
      </c>
      <c r="AX6" s="36">
        <f t="shared" si="28"/>
        <v>4.0808132252304201</v>
      </c>
      <c r="AY6" s="27">
        <v>1.1753729556683317</v>
      </c>
      <c r="AZ6" s="27">
        <v>1.1009654363928429</v>
      </c>
      <c r="BA6" s="27">
        <f t="shared" si="29"/>
        <v>-1.5361149136938175</v>
      </c>
      <c r="BB6" s="27">
        <f t="shared" si="30"/>
        <v>3.1902681984668053</v>
      </c>
      <c r="BC6" s="26">
        <v>-0.14367286372697402</v>
      </c>
      <c r="BD6" s="26">
        <v>-0.13185054243582817</v>
      </c>
      <c r="BE6" s="37">
        <f t="shared" si="31"/>
        <v>-0.50441482175245977</v>
      </c>
      <c r="BF6" s="37">
        <f t="shared" si="32"/>
        <v>4.1593830924238206</v>
      </c>
      <c r="BG6" s="40">
        <f t="shared" si="33"/>
        <v>-0.15157293121670801</v>
      </c>
      <c r="BH6" s="40">
        <f t="shared" si="34"/>
        <v>-7.8569867193400533E-2</v>
      </c>
    </row>
    <row r="7" spans="1:60" x14ac:dyDescent="0.25">
      <c r="A7" s="4">
        <v>5</v>
      </c>
      <c r="B7" s="4" t="s">
        <v>18</v>
      </c>
      <c r="C7" s="3" t="s">
        <v>19</v>
      </c>
      <c r="D7" s="9">
        <v>371598000000</v>
      </c>
      <c r="E7" s="9">
        <v>1287807000000</v>
      </c>
      <c r="F7" s="9">
        <v>13949485000000</v>
      </c>
      <c r="G7" s="9">
        <v>11963257000000</v>
      </c>
      <c r="H7" s="15">
        <f t="shared" si="11"/>
        <v>-13577887000000</v>
      </c>
      <c r="I7" s="15">
        <f t="shared" si="12"/>
        <v>-10675450000000</v>
      </c>
      <c r="J7" s="9">
        <v>62725242000000</v>
      </c>
      <c r="K7" s="9">
        <v>67744797000000</v>
      </c>
      <c r="L7" s="9">
        <v>26009095000000</v>
      </c>
      <c r="M7" s="9">
        <v>26754050000000</v>
      </c>
      <c r="N7" s="9">
        <v>25132628000000</v>
      </c>
      <c r="O7" s="9">
        <f t="shared" si="0"/>
        <v>26009095000000</v>
      </c>
      <c r="P7" s="9">
        <f t="shared" si="1"/>
        <v>876467000000</v>
      </c>
      <c r="Q7" s="9">
        <f t="shared" si="2"/>
        <v>744955000000</v>
      </c>
      <c r="R7" s="9">
        <v>47162250000000</v>
      </c>
      <c r="S7" s="9">
        <v>51912214000000</v>
      </c>
      <c r="T7" s="9">
        <f>301003000000+149359000000</f>
        <v>450362000000</v>
      </c>
      <c r="U7" s="9">
        <f>335437000000+189068000000</f>
        <v>524505000000</v>
      </c>
      <c r="V7" s="9">
        <f>410947000000+251997000000</f>
        <v>662944000000</v>
      </c>
      <c r="W7" s="9">
        <f>301003000000+149359000000</f>
        <v>450362000000</v>
      </c>
      <c r="X7" s="16">
        <f t="shared" si="13"/>
        <v>-212582000000</v>
      </c>
      <c r="Y7" s="16">
        <f t="shared" si="14"/>
        <v>74143000000</v>
      </c>
      <c r="Z7" s="20">
        <f t="shared" si="3"/>
        <v>-0.21646607596986234</v>
      </c>
      <c r="AA7" s="21">
        <f t="shared" si="4"/>
        <v>-0.1575833196459353</v>
      </c>
      <c r="AB7" s="22">
        <f t="shared" si="5"/>
        <v>1.5942545108076268E-14</v>
      </c>
      <c r="AC7" s="23">
        <f t="shared" si="6"/>
        <v>1.4761281224298302E-14</v>
      </c>
      <c r="AD7" s="24">
        <f t="shared" si="7"/>
        <v>1.3973114683240282E-2</v>
      </c>
      <c r="AE7" s="24">
        <f t="shared" si="8"/>
        <v>1.0996490254447142E-2</v>
      </c>
      <c r="AF7" s="25">
        <f t="shared" si="9"/>
        <v>0.75188629802336993</v>
      </c>
      <c r="AG7" s="25">
        <f t="shared" si="10"/>
        <v>0.76629078982995547</v>
      </c>
      <c r="AH7" s="25">
        <f t="shared" si="15"/>
        <v>1.3973114683240282E-2</v>
      </c>
      <c r="AI7" s="25">
        <f t="shared" si="16"/>
        <v>1.0996490254447142E-2</v>
      </c>
      <c r="AJ7" s="25">
        <f t="shared" si="17"/>
        <v>-3.389098124165069E-3</v>
      </c>
      <c r="AK7" s="25">
        <f t="shared" si="18"/>
        <v>1.094445673813149E-3</v>
      </c>
      <c r="AL7" s="25">
        <f t="shared" si="19"/>
        <v>1.7362212807405353E-2</v>
      </c>
      <c r="AM7" s="30">
        <f t="shared" si="20"/>
        <v>9.9020445806339927E-3</v>
      </c>
      <c r="AN7" s="34">
        <v>18163643267.208981</v>
      </c>
      <c r="AO7" s="28">
        <v>27.763583809739931</v>
      </c>
      <c r="AP7" s="28">
        <v>-10.743276218016188</v>
      </c>
      <c r="AQ7" s="32">
        <f t="shared" si="21"/>
        <v>2.89574702114485E-4</v>
      </c>
      <c r="AR7" s="26">
        <f t="shared" si="22"/>
        <v>2.6811864632510419E-4</v>
      </c>
      <c r="AS7" s="26">
        <f t="shared" si="23"/>
        <v>0.3879437405912492</v>
      </c>
      <c r="AT7" s="26">
        <f t="shared" si="24"/>
        <v>0.30530197879233162</v>
      </c>
      <c r="AU7" s="26">
        <f t="shared" si="25"/>
        <v>-8.0777221842067028</v>
      </c>
      <c r="AV7" s="26">
        <f t="shared" si="26"/>
        <v>-8.2324736184650007</v>
      </c>
      <c r="AW7" s="36">
        <f t="shared" si="27"/>
        <v>-7.6894888689133394</v>
      </c>
      <c r="AX7" s="36">
        <f t="shared" si="28"/>
        <v>-7.9269035210263441</v>
      </c>
      <c r="AY7" s="27">
        <v>2.89574702114485E-4</v>
      </c>
      <c r="AZ7" s="27">
        <v>2.6811864632510419E-4</v>
      </c>
      <c r="BA7" s="27">
        <f t="shared" si="29"/>
        <v>0.48203725040093853</v>
      </c>
      <c r="BB7" s="27">
        <f t="shared" si="30"/>
        <v>0.27491624460221292</v>
      </c>
      <c r="BC7" s="26">
        <v>-8.0777221842067028</v>
      </c>
      <c r="BD7" s="26">
        <v>-8.2324736184650007</v>
      </c>
      <c r="BE7" s="37">
        <f t="shared" si="31"/>
        <v>-7.5953953591036498</v>
      </c>
      <c r="BF7" s="37">
        <f t="shared" si="32"/>
        <v>-7.9572892552164625</v>
      </c>
      <c r="BG7" s="40">
        <f t="shared" si="33"/>
        <v>-9.4093509809689557E-2</v>
      </c>
      <c r="BH7" s="40">
        <f t="shared" si="34"/>
        <v>3.0385734190118363E-2</v>
      </c>
    </row>
    <row r="8" spans="1:60" ht="14.45" customHeight="1" x14ac:dyDescent="0.25">
      <c r="A8" s="2">
        <v>6</v>
      </c>
      <c r="B8" s="4" t="s">
        <v>22</v>
      </c>
      <c r="C8" s="3" t="s">
        <v>23</v>
      </c>
      <c r="D8" s="9">
        <v>13159949</v>
      </c>
      <c r="E8" s="9">
        <v>14604362</v>
      </c>
      <c r="F8" s="9">
        <v>23950779</v>
      </c>
      <c r="G8" s="9">
        <v>36633553</v>
      </c>
      <c r="H8" s="15">
        <f t="shared" si="11"/>
        <v>-10790830</v>
      </c>
      <c r="I8" s="15">
        <f t="shared" si="12"/>
        <v>-22029191</v>
      </c>
      <c r="J8" s="9">
        <v>329963071</v>
      </c>
      <c r="K8" s="9">
        <v>338352250</v>
      </c>
      <c r="L8" s="9">
        <v>39803327</v>
      </c>
      <c r="M8" s="9">
        <v>44260335</v>
      </c>
      <c r="N8" s="9">
        <v>36026980</v>
      </c>
      <c r="O8" s="9">
        <f t="shared" si="0"/>
        <v>39803327</v>
      </c>
      <c r="P8" s="9">
        <f t="shared" si="1"/>
        <v>3776347</v>
      </c>
      <c r="Q8" s="9">
        <f t="shared" si="2"/>
        <v>4457008</v>
      </c>
      <c r="R8" s="9">
        <v>198596880</v>
      </c>
      <c r="S8" s="9">
        <v>216243706</v>
      </c>
      <c r="T8" s="9">
        <v>2969256</v>
      </c>
      <c r="U8" s="9">
        <f>4628708+14825</f>
        <v>4643533</v>
      </c>
      <c r="V8" s="9">
        <v>10272495</v>
      </c>
      <c r="W8" s="9">
        <v>2969256</v>
      </c>
      <c r="X8" s="16">
        <f t="shared" si="13"/>
        <v>-7303239</v>
      </c>
      <c r="Y8" s="16">
        <f t="shared" si="14"/>
        <v>1674277</v>
      </c>
      <c r="Z8" s="20">
        <f t="shared" si="3"/>
        <v>-3.2703144528558471E-2</v>
      </c>
      <c r="AA8" s="21">
        <f t="shared" si="4"/>
        <v>-6.5107269125593226E-2</v>
      </c>
      <c r="AB8" s="22">
        <f t="shared" si="5"/>
        <v>3.0306421775302244E-9</v>
      </c>
      <c r="AC8" s="23">
        <f t="shared" si="6"/>
        <v>2.955499778706954E-9</v>
      </c>
      <c r="AD8" s="24">
        <f t="shared" si="7"/>
        <v>1.144475649518973E-2</v>
      </c>
      <c r="AE8" s="24">
        <f t="shared" si="8"/>
        <v>1.3172686157695124E-2</v>
      </c>
      <c r="AF8" s="25">
        <f t="shared" si="9"/>
        <v>0.60187608085390865</v>
      </c>
      <c r="AG8" s="25">
        <f t="shared" si="10"/>
        <v>0.63910822522977162</v>
      </c>
      <c r="AH8" s="25">
        <f t="shared" si="15"/>
        <v>1.144475649518973E-2</v>
      </c>
      <c r="AI8" s="25">
        <f t="shared" si="16"/>
        <v>1.3172686157695124E-2</v>
      </c>
      <c r="AJ8" s="25">
        <f t="shared" si="17"/>
        <v>-2.2133504145983657E-2</v>
      </c>
      <c r="AK8" s="25">
        <f t="shared" si="18"/>
        <v>4.9483253029941427E-3</v>
      </c>
      <c r="AL8" s="25">
        <f t="shared" si="19"/>
        <v>3.3578260641173391E-2</v>
      </c>
      <c r="AM8" s="30">
        <f t="shared" si="20"/>
        <v>8.2243608547009801E-3</v>
      </c>
      <c r="AN8" s="34">
        <v>18163643267.208981</v>
      </c>
      <c r="AO8" s="28">
        <v>27.763583809739931</v>
      </c>
      <c r="AP8" s="28">
        <v>-10.743276218016188</v>
      </c>
      <c r="AQ8" s="32">
        <f t="shared" si="21"/>
        <v>55.047503383216423</v>
      </c>
      <c r="AR8" s="26">
        <f t="shared" si="22"/>
        <v>53.682643656748198</v>
      </c>
      <c r="AS8" s="26">
        <f t="shared" si="23"/>
        <v>0.31774745613626548</v>
      </c>
      <c r="AT8" s="26">
        <f t="shared" si="24"/>
        <v>0.36572097613856963</v>
      </c>
      <c r="AU8" s="26">
        <f t="shared" si="25"/>
        <v>-6.4661209856305852</v>
      </c>
      <c r="AV8" s="26">
        <f t="shared" si="26"/>
        <v>-6.8661161968495392</v>
      </c>
      <c r="AW8" s="36">
        <f t="shared" si="27"/>
        <v>48.899129853722101</v>
      </c>
      <c r="AX8" s="36">
        <f t="shared" si="28"/>
        <v>47.182248436037227</v>
      </c>
      <c r="AY8" s="27">
        <v>55.047503383216423</v>
      </c>
      <c r="AZ8" s="27">
        <v>53.682643656748198</v>
      </c>
      <c r="BA8" s="27">
        <f t="shared" si="29"/>
        <v>0.9322528534965091</v>
      </c>
      <c r="BB8" s="27">
        <f t="shared" si="30"/>
        <v>0.22833773187103498</v>
      </c>
      <c r="BC8" s="26">
        <v>-6.4661209856305852</v>
      </c>
      <c r="BD8" s="26">
        <v>-6.8661161968495392</v>
      </c>
      <c r="BE8" s="37">
        <f t="shared" si="31"/>
        <v>49.513635251082349</v>
      </c>
      <c r="BF8" s="37">
        <f t="shared" si="32"/>
        <v>47.044865191769695</v>
      </c>
      <c r="BG8" s="40">
        <f t="shared" si="33"/>
        <v>-0.61450539736024723</v>
      </c>
      <c r="BH8" s="40">
        <f t="shared" si="34"/>
        <v>0.13738324426753223</v>
      </c>
    </row>
    <row r="9" spans="1:60" x14ac:dyDescent="0.25">
      <c r="A9" s="4">
        <v>7</v>
      </c>
      <c r="B9" s="4" t="s">
        <v>26</v>
      </c>
      <c r="C9" s="3" t="s">
        <v>27</v>
      </c>
      <c r="D9" s="9">
        <v>67204167744</v>
      </c>
      <c r="E9" s="9">
        <v>63351210259</v>
      </c>
      <c r="F9" s="9">
        <v>727691630161</v>
      </c>
      <c r="G9" s="9">
        <v>414116745846</v>
      </c>
      <c r="H9" s="15">
        <f t="shared" si="11"/>
        <v>-660487462417</v>
      </c>
      <c r="I9" s="15">
        <f t="shared" si="12"/>
        <v>-350765535587</v>
      </c>
      <c r="J9" s="9">
        <v>8893030992719</v>
      </c>
      <c r="K9" s="9">
        <v>10412826253217</v>
      </c>
      <c r="L9" s="9">
        <v>1122276247134</v>
      </c>
      <c r="M9" s="9">
        <v>975211333352</v>
      </c>
      <c r="N9" s="9">
        <v>1087963086355</v>
      </c>
      <c r="O9" s="9">
        <f t="shared" si="0"/>
        <v>1122276247134</v>
      </c>
      <c r="P9" s="9">
        <f t="shared" si="1"/>
        <v>34313160779</v>
      </c>
      <c r="Q9" s="9">
        <f t="shared" si="2"/>
        <v>-147064913782</v>
      </c>
      <c r="R9" s="9">
        <v>7475267546395</v>
      </c>
      <c r="S9" s="9">
        <v>5777822288428</v>
      </c>
      <c r="T9" s="9">
        <v>345087709537</v>
      </c>
      <c r="U9" s="9">
        <v>438416056093</v>
      </c>
      <c r="V9" s="9">
        <v>398124568745</v>
      </c>
      <c r="W9" s="9">
        <v>345087709537</v>
      </c>
      <c r="X9" s="16">
        <f t="shared" si="13"/>
        <v>-53036859208</v>
      </c>
      <c r="Y9" s="16">
        <f t="shared" si="14"/>
        <v>93328346556</v>
      </c>
      <c r="Z9" s="20">
        <f t="shared" si="3"/>
        <v>-7.427023058367406E-2</v>
      </c>
      <c r="AA9" s="21">
        <f t="shared" si="4"/>
        <v>-3.3685910727515735E-2</v>
      </c>
      <c r="AB9" s="22">
        <f t="shared" si="5"/>
        <v>1.1244760091567554E-13</v>
      </c>
      <c r="AC9" s="23">
        <f t="shared" si="6"/>
        <v>9.6035406303937335E-14</v>
      </c>
      <c r="AD9" s="24">
        <f t="shared" si="7"/>
        <v>3.8584326094324023E-3</v>
      </c>
      <c r="AE9" s="24">
        <f t="shared" si="8"/>
        <v>-1.4123438748107883E-2</v>
      </c>
      <c r="AF9" s="25">
        <f t="shared" si="9"/>
        <v>0.84057590179492603</v>
      </c>
      <c r="AG9" s="25">
        <f t="shared" si="10"/>
        <v>0.55487551102112798</v>
      </c>
      <c r="AH9" s="25">
        <f t="shared" si="15"/>
        <v>3.8584326094324023E-3</v>
      </c>
      <c r="AI9" s="25">
        <f t="shared" si="16"/>
        <v>-1.4123438748107883E-2</v>
      </c>
      <c r="AJ9" s="25">
        <f t="shared" si="17"/>
        <v>-5.9638675780420555E-3</v>
      </c>
      <c r="AK9" s="25">
        <f t="shared" si="18"/>
        <v>8.9628256811801303E-3</v>
      </c>
      <c r="AL9" s="25">
        <f t="shared" si="19"/>
        <v>9.8223001874744587E-3</v>
      </c>
      <c r="AM9" s="30">
        <f t="shared" si="20"/>
        <v>-2.3086264429288014E-2</v>
      </c>
      <c r="AN9" s="34">
        <v>18163643267.208981</v>
      </c>
      <c r="AO9" s="28">
        <v>27.763583809739931</v>
      </c>
      <c r="AP9" s="28">
        <v>-10.743276218016188</v>
      </c>
      <c r="AQ9" s="32">
        <f t="shared" si="21"/>
        <v>2.0424581092858122E-3</v>
      </c>
      <c r="AR9" s="26">
        <f t="shared" si="22"/>
        <v>1.7443528611261903E-3</v>
      </c>
      <c r="AS9" s="26">
        <f t="shared" si="23"/>
        <v>0.10712391712621004</v>
      </c>
      <c r="AT9" s="26">
        <f t="shared" si="24"/>
        <v>-0.3921172753648216</v>
      </c>
      <c r="AU9" s="26">
        <f t="shared" si="25"/>
        <v>-9.0305390951909388</v>
      </c>
      <c r="AV9" s="26">
        <f t="shared" si="26"/>
        <v>-5.9611808815128633</v>
      </c>
      <c r="AW9" s="36">
        <f t="shared" si="27"/>
        <v>-8.9213727199554427</v>
      </c>
      <c r="AX9" s="36">
        <f t="shared" si="28"/>
        <v>-6.3515538040165591</v>
      </c>
      <c r="AY9" s="27">
        <v>2.0424581092858122E-3</v>
      </c>
      <c r="AZ9" s="27">
        <v>1.7443528611261903E-3</v>
      </c>
      <c r="BA9" s="27">
        <f t="shared" si="29"/>
        <v>0.27270225445937135</v>
      </c>
      <c r="BB9" s="27">
        <f t="shared" si="30"/>
        <v>-0.64095743733635557</v>
      </c>
      <c r="BC9" s="26">
        <v>-9.0305390951909388</v>
      </c>
      <c r="BD9" s="26">
        <v>-5.9611808815128633</v>
      </c>
      <c r="BE9" s="37">
        <f t="shared" si="31"/>
        <v>-8.7557943826222822</v>
      </c>
      <c r="BF9" s="37">
        <f t="shared" si="32"/>
        <v>-6.6003939659880926</v>
      </c>
      <c r="BG9" s="40">
        <f t="shared" si="33"/>
        <v>-0.16557833733316052</v>
      </c>
      <c r="BH9" s="40">
        <f t="shared" si="34"/>
        <v>0.24884016197153347</v>
      </c>
    </row>
    <row r="10" spans="1:60" x14ac:dyDescent="0.25">
      <c r="A10" s="4">
        <v>8</v>
      </c>
      <c r="B10" s="2" t="s">
        <v>40</v>
      </c>
      <c r="C10" s="3" t="s">
        <v>41</v>
      </c>
      <c r="D10" s="9">
        <v>941707000000</v>
      </c>
      <c r="E10" s="9">
        <v>885319000000</v>
      </c>
      <c r="F10" s="9">
        <v>1854902000000</v>
      </c>
      <c r="G10" s="9">
        <v>1968956000000</v>
      </c>
      <c r="H10" s="15">
        <f t="shared" si="11"/>
        <v>-913195000000</v>
      </c>
      <c r="I10" s="15">
        <f t="shared" si="12"/>
        <v>-1083637000000</v>
      </c>
      <c r="J10" s="9">
        <v>6652974000000</v>
      </c>
      <c r="K10" s="9">
        <v>7799803000000</v>
      </c>
      <c r="L10" s="9">
        <v>4047964000000</v>
      </c>
      <c r="M10" s="9">
        <v>4464900000000</v>
      </c>
      <c r="N10" s="9">
        <v>3755262000000</v>
      </c>
      <c r="O10" s="9">
        <f t="shared" si="0"/>
        <v>4047964000000</v>
      </c>
      <c r="P10" s="9">
        <f t="shared" si="1"/>
        <v>292702000000</v>
      </c>
      <c r="Q10" s="9">
        <f t="shared" si="2"/>
        <v>416936000000</v>
      </c>
      <c r="R10" s="9">
        <v>5641224000000</v>
      </c>
      <c r="S10" s="9">
        <v>6769630000000</v>
      </c>
      <c r="T10" s="9">
        <f>284070000000+3581000000</f>
        <v>287651000000</v>
      </c>
      <c r="U10" s="9">
        <f>395739000000+47458000000</f>
        <v>443197000000</v>
      </c>
      <c r="V10" s="9">
        <f>390530000000+122415000000</f>
        <v>512945000000</v>
      </c>
      <c r="W10" s="9">
        <f>284070000000+3581000000</f>
        <v>287651000000</v>
      </c>
      <c r="X10" s="16">
        <f t="shared" si="13"/>
        <v>-225294000000</v>
      </c>
      <c r="Y10" s="16">
        <f t="shared" si="14"/>
        <v>155546000000</v>
      </c>
      <c r="Z10" s="20">
        <f t="shared" si="3"/>
        <v>-0.1372611707185388</v>
      </c>
      <c r="AA10" s="21">
        <f t="shared" si="4"/>
        <v>-0.13893132941947381</v>
      </c>
      <c r="AB10" s="22">
        <f t="shared" si="5"/>
        <v>1.5030871907811455E-13</v>
      </c>
      <c r="AC10" s="23">
        <f t="shared" si="6"/>
        <v>1.2820836628822549E-13</v>
      </c>
      <c r="AD10" s="24">
        <f t="shared" si="7"/>
        <v>4.399566269160228E-2</v>
      </c>
      <c r="AE10" s="24">
        <f t="shared" si="8"/>
        <v>5.3454683406747583E-2</v>
      </c>
      <c r="AF10" s="25">
        <f t="shared" si="9"/>
        <v>0.84792515347271757</v>
      </c>
      <c r="AG10" s="25">
        <f t="shared" si="10"/>
        <v>0.86792320267575984</v>
      </c>
      <c r="AH10" s="25">
        <f t="shared" si="15"/>
        <v>4.399566269160228E-2</v>
      </c>
      <c r="AI10" s="25">
        <f t="shared" si="16"/>
        <v>5.3454683406747583E-2</v>
      </c>
      <c r="AJ10" s="25">
        <f t="shared" si="17"/>
        <v>-3.3863652555984738E-2</v>
      </c>
      <c r="AK10" s="25">
        <f t="shared" si="18"/>
        <v>1.9942298542668321E-2</v>
      </c>
      <c r="AL10" s="25">
        <f t="shared" si="19"/>
        <v>7.7859315247587019E-2</v>
      </c>
      <c r="AM10" s="30">
        <f t="shared" si="20"/>
        <v>3.3512384864079259E-2</v>
      </c>
      <c r="AN10" s="34">
        <v>18163643267.208981</v>
      </c>
      <c r="AO10" s="28">
        <v>27.763583809739931</v>
      </c>
      <c r="AP10" s="28">
        <v>-10.743276218016188</v>
      </c>
      <c r="AQ10" s="32">
        <f t="shared" si="21"/>
        <v>2.7301539532860013E-3</v>
      </c>
      <c r="AR10" s="26">
        <f t="shared" si="22"/>
        <v>2.3287310291309898E-3</v>
      </c>
      <c r="AS10" s="26">
        <f t="shared" si="23"/>
        <v>1.2214772684033481</v>
      </c>
      <c r="AT10" s="26">
        <f t="shared" si="24"/>
        <v>1.4840935827863508</v>
      </c>
      <c r="AU10" s="26">
        <f t="shared" si="25"/>
        <v>-9.1094941359611727</v>
      </c>
      <c r="AV10" s="26">
        <f t="shared" si="26"/>
        <v>-9.3243387023709339</v>
      </c>
      <c r="AW10" s="36">
        <f t="shared" si="27"/>
        <v>-7.8852867136045388</v>
      </c>
      <c r="AX10" s="36">
        <f t="shared" si="28"/>
        <v>-7.8379163885554526</v>
      </c>
      <c r="AY10" s="27">
        <v>2.7301539532860013E-3</v>
      </c>
      <c r="AZ10" s="27">
        <v>2.3287310291309898E-3</v>
      </c>
      <c r="BA10" s="27">
        <f t="shared" si="29"/>
        <v>2.1616536242453441</v>
      </c>
      <c r="BB10" s="27">
        <f t="shared" si="30"/>
        <v>0.9304239058381244</v>
      </c>
      <c r="BC10" s="26">
        <v>-9.1094941359611727</v>
      </c>
      <c r="BD10" s="26">
        <v>-9.3243387023709339</v>
      </c>
      <c r="BE10" s="37">
        <f t="shared" si="31"/>
        <v>-6.9451103577625428</v>
      </c>
      <c r="BF10" s="37">
        <f t="shared" si="32"/>
        <v>-8.3915860655036791</v>
      </c>
      <c r="BG10" s="40">
        <f t="shared" si="33"/>
        <v>-0.94017635584199599</v>
      </c>
      <c r="BH10" s="40">
        <f t="shared" si="34"/>
        <v>0.55366967694822655</v>
      </c>
    </row>
    <row r="11" spans="1:60" ht="14.45" customHeight="1" x14ac:dyDescent="0.25">
      <c r="A11" s="2">
        <v>9</v>
      </c>
      <c r="B11" s="4" t="s">
        <v>42</v>
      </c>
      <c r="C11" s="3" t="s">
        <v>43</v>
      </c>
      <c r="D11" s="9">
        <v>112621885604</v>
      </c>
      <c r="E11" s="9">
        <v>25760949227</v>
      </c>
      <c r="F11" s="9">
        <v>264869567035</v>
      </c>
      <c r="G11" s="9">
        <v>118963687807</v>
      </c>
      <c r="H11" s="15">
        <f t="shared" si="11"/>
        <v>-152247681431</v>
      </c>
      <c r="I11" s="15">
        <f t="shared" si="12"/>
        <v>-93202738580</v>
      </c>
      <c r="J11" s="9">
        <v>5077399779309</v>
      </c>
      <c r="K11" s="9">
        <v>5846683392749</v>
      </c>
      <c r="L11" s="9">
        <v>1570119305961</v>
      </c>
      <c r="M11" s="9">
        <v>844789484595</v>
      </c>
      <c r="N11" s="9">
        <v>1592594764468</v>
      </c>
      <c r="O11" s="9">
        <f t="shared" si="0"/>
        <v>1570119305961</v>
      </c>
      <c r="P11" s="9">
        <f t="shared" si="1"/>
        <v>-22475458507</v>
      </c>
      <c r="Q11" s="9">
        <f t="shared" si="2"/>
        <v>-725329821366</v>
      </c>
      <c r="R11" s="9">
        <v>126481334438</v>
      </c>
      <c r="S11" s="9">
        <v>117641781367</v>
      </c>
      <c r="T11" s="9">
        <f>28669489858+72000000</f>
        <v>28741489858</v>
      </c>
      <c r="U11" s="9">
        <f>25463783159+65734755</f>
        <v>25529517914</v>
      </c>
      <c r="V11" s="9">
        <f>27773654022+72000000</f>
        <v>27845654022</v>
      </c>
      <c r="W11" s="9">
        <f>28669489858+72000000</f>
        <v>28741489858</v>
      </c>
      <c r="X11" s="16">
        <f t="shared" si="13"/>
        <v>895835836</v>
      </c>
      <c r="Y11" s="16">
        <f t="shared" si="14"/>
        <v>-3211971944</v>
      </c>
      <c r="Z11" s="20">
        <f t="shared" si="3"/>
        <v>-2.9985364172312602E-2</v>
      </c>
      <c r="AA11" s="21">
        <f t="shared" si="4"/>
        <v>-1.594112975154241E-2</v>
      </c>
      <c r="AB11" s="22">
        <f t="shared" si="5"/>
        <v>1.9695120405431091E-13</v>
      </c>
      <c r="AC11" s="23">
        <f t="shared" si="6"/>
        <v>1.71037138976978E-13</v>
      </c>
      <c r="AD11" s="24">
        <f t="shared" si="7"/>
        <v>-4.4265686146263547E-3</v>
      </c>
      <c r="AE11" s="24">
        <f t="shared" si="8"/>
        <v>-0.12405833746112317</v>
      </c>
      <c r="AF11" s="25">
        <f t="shared" si="9"/>
        <v>2.4910651107960077E-2</v>
      </c>
      <c r="AG11" s="25">
        <f t="shared" si="10"/>
        <v>2.0121113709166839E-2</v>
      </c>
      <c r="AH11" s="25">
        <f t="shared" si="15"/>
        <v>-4.4265686146263547E-3</v>
      </c>
      <c r="AI11" s="25">
        <f t="shared" si="16"/>
        <v>-0.12405833746112317</v>
      </c>
      <c r="AJ11" s="25">
        <f t="shared" si="17"/>
        <v>1.764359465352002E-4</v>
      </c>
      <c r="AK11" s="25">
        <f t="shared" si="18"/>
        <v>-5.4936649177608223E-4</v>
      </c>
      <c r="AL11" s="25">
        <f t="shared" si="19"/>
        <v>-4.6030045611615547E-3</v>
      </c>
      <c r="AM11" s="30">
        <f t="shared" si="20"/>
        <v>-0.12350897096934708</v>
      </c>
      <c r="AN11" s="34">
        <v>18163643267.208981</v>
      </c>
      <c r="AO11" s="28">
        <v>27.763583809739931</v>
      </c>
      <c r="AP11" s="28">
        <v>-10.743276218016188</v>
      </c>
      <c r="AQ11" s="32">
        <f t="shared" si="21"/>
        <v>3.5773514114897866E-3</v>
      </c>
      <c r="AR11" s="26">
        <f t="shared" si="22"/>
        <v>3.1066575778218729E-3</v>
      </c>
      <c r="AS11" s="26">
        <f t="shared" si="23"/>
        <v>-0.12289740872174318</v>
      </c>
      <c r="AT11" s="26">
        <f t="shared" si="24"/>
        <v>-3.4443040493988919</v>
      </c>
      <c r="AU11" s="26">
        <f t="shared" si="25"/>
        <v>-0.26762200562344612</v>
      </c>
      <c r="AV11" s="26">
        <f t="shared" si="26"/>
        <v>-0.21616668239169159</v>
      </c>
      <c r="AW11" s="36">
        <f t="shared" si="27"/>
        <v>-0.38694206293369948</v>
      </c>
      <c r="AX11" s="36">
        <f t="shared" si="28"/>
        <v>-3.6573640742127616</v>
      </c>
      <c r="AY11" s="27">
        <v>3.5773514114897866E-3</v>
      </c>
      <c r="AZ11" s="27">
        <v>3.1066575778218729E-3</v>
      </c>
      <c r="BA11" s="27">
        <f t="shared" si="29"/>
        <v>-0.127795902910424</v>
      </c>
      <c r="BB11" s="27">
        <f t="shared" si="30"/>
        <v>-3.429051666762204</v>
      </c>
      <c r="BC11" s="26">
        <v>-0.26762200562344612</v>
      </c>
      <c r="BD11" s="26">
        <v>-0.21616668239169159</v>
      </c>
      <c r="BE11" s="37">
        <f t="shared" si="31"/>
        <v>-0.39184055712238031</v>
      </c>
      <c r="BF11" s="37">
        <f t="shared" si="32"/>
        <v>-3.6421116915760736</v>
      </c>
      <c r="BG11" s="40">
        <f t="shared" si="33"/>
        <v>4.8984941886808242E-3</v>
      </c>
      <c r="BH11" s="40">
        <f t="shared" si="34"/>
        <v>-1.5252382636687933E-2</v>
      </c>
    </row>
    <row r="12" spans="1:60" x14ac:dyDescent="0.25">
      <c r="A12" s="4">
        <v>10</v>
      </c>
      <c r="B12" s="2" t="s">
        <v>44</v>
      </c>
      <c r="C12" s="3" t="s">
        <v>45</v>
      </c>
      <c r="D12" s="9">
        <v>55122851471</v>
      </c>
      <c r="E12" s="9">
        <v>51648101245</v>
      </c>
      <c r="F12" s="9">
        <v>-140738938560</v>
      </c>
      <c r="G12" s="9">
        <v>132805546864</v>
      </c>
      <c r="H12" s="15">
        <f t="shared" si="11"/>
        <v>195861790031</v>
      </c>
      <c r="I12" s="15">
        <f t="shared" si="12"/>
        <v>-81157445619</v>
      </c>
      <c r="J12" s="9">
        <v>2462813011754</v>
      </c>
      <c r="K12" s="9">
        <v>2221459173567</v>
      </c>
      <c r="L12" s="9">
        <v>2085740129302</v>
      </c>
      <c r="M12" s="9">
        <v>1669713392168</v>
      </c>
      <c r="N12" s="9">
        <v>2617754376513</v>
      </c>
      <c r="O12" s="9">
        <f t="shared" si="0"/>
        <v>2085740129302</v>
      </c>
      <c r="P12" s="9">
        <f t="shared" si="1"/>
        <v>-532014247211</v>
      </c>
      <c r="Q12" s="9">
        <f t="shared" si="2"/>
        <v>-416026737134</v>
      </c>
      <c r="R12" s="9">
        <v>82268923906</v>
      </c>
      <c r="S12" s="9">
        <v>72083166950</v>
      </c>
      <c r="T12" s="17">
        <v>241166108590</v>
      </c>
      <c r="U12" s="16">
        <f>385526349227+5755721449</f>
        <v>391282070676</v>
      </c>
      <c r="V12" s="17">
        <v>409185766441</v>
      </c>
      <c r="W12" s="17">
        <v>241166108590</v>
      </c>
      <c r="X12" s="16">
        <f t="shared" si="13"/>
        <v>-168019657851</v>
      </c>
      <c r="Y12" s="16">
        <f t="shared" si="14"/>
        <v>150115962086</v>
      </c>
      <c r="Z12" s="20">
        <f t="shared" si="3"/>
        <v>7.9527673881951949E-2</v>
      </c>
      <c r="AA12" s="21">
        <f t="shared" si="4"/>
        <v>-3.6533395069640366E-2</v>
      </c>
      <c r="AB12" s="22">
        <f t="shared" si="5"/>
        <v>4.0603975828753898E-13</v>
      </c>
      <c r="AC12" s="23">
        <f t="shared" si="6"/>
        <v>4.501545704278232E-13</v>
      </c>
      <c r="AD12" s="24">
        <f t="shared" si="7"/>
        <v>-0.21601893634308145</v>
      </c>
      <c r="AE12" s="24">
        <f t="shared" si="8"/>
        <v>-0.18727633714104469</v>
      </c>
      <c r="AF12" s="25">
        <f t="shared" si="9"/>
        <v>3.3404453977368173E-2</v>
      </c>
      <c r="AG12" s="25">
        <f t="shared" si="10"/>
        <v>3.2448567053454315E-2</v>
      </c>
      <c r="AH12" s="25">
        <f t="shared" si="15"/>
        <v>-0.21601893634308145</v>
      </c>
      <c r="AI12" s="25">
        <f t="shared" si="16"/>
        <v>-0.18727633714104469</v>
      </c>
      <c r="AJ12" s="25">
        <f t="shared" si="17"/>
        <v>-6.8222661261375037E-2</v>
      </c>
      <c r="AK12" s="25">
        <f t="shared" si="18"/>
        <v>6.7575386427182721E-2</v>
      </c>
      <c r="AL12" s="25">
        <f t="shared" si="19"/>
        <v>-0.1477962750817064</v>
      </c>
      <c r="AM12" s="30">
        <f t="shared" si="20"/>
        <v>-0.25485172356822738</v>
      </c>
      <c r="AN12" s="34">
        <v>18163643267.208981</v>
      </c>
      <c r="AO12" s="28">
        <v>27.763583809739931</v>
      </c>
      <c r="AP12" s="28">
        <v>-10.743276218016188</v>
      </c>
      <c r="AQ12" s="32">
        <f t="shared" si="21"/>
        <v>7.375161321838619E-3</v>
      </c>
      <c r="AR12" s="26">
        <f t="shared" si="22"/>
        <v>8.1764470323546813E-3</v>
      </c>
      <c r="AS12" s="26">
        <f t="shared" si="23"/>
        <v>-5.9974598436520168</v>
      </c>
      <c r="AT12" s="26">
        <f t="shared" si="24"/>
        <v>-5.1994622817965048</v>
      </c>
      <c r="AU12" s="26">
        <f t="shared" si="25"/>
        <v>-0.35887327599087576</v>
      </c>
      <c r="AV12" s="26">
        <f t="shared" si="26"/>
        <v>-0.34860391873407937</v>
      </c>
      <c r="AW12" s="36">
        <f t="shared" si="27"/>
        <v>-6.348957958321054</v>
      </c>
      <c r="AX12" s="36">
        <f t="shared" si="28"/>
        <v>-5.5398897534982297</v>
      </c>
      <c r="AY12" s="27">
        <v>7.375161321838619E-3</v>
      </c>
      <c r="AZ12" s="27">
        <v>8.1764470323546813E-3</v>
      </c>
      <c r="BA12" s="27">
        <f t="shared" si="29"/>
        <v>-4.1033542699983325</v>
      </c>
      <c r="BB12" s="27">
        <f t="shared" si="30"/>
        <v>-7.0755971863431544</v>
      </c>
      <c r="BC12" s="26">
        <v>-0.35887327599087576</v>
      </c>
      <c r="BD12">
        <v>-0.34860391873407937</v>
      </c>
      <c r="BE12" s="37">
        <f t="shared" si="31"/>
        <v>-4.4548523846673698</v>
      </c>
      <c r="BF12" s="37">
        <f t="shared" si="32"/>
        <v>-7.4160246580448792</v>
      </c>
      <c r="BG12" s="40">
        <f t="shared" si="33"/>
        <v>-1.8941055736536843</v>
      </c>
      <c r="BH12" s="40">
        <f t="shared" si="34"/>
        <v>1.8761349045466496</v>
      </c>
    </row>
    <row r="13" spans="1:60" ht="14.45" customHeight="1" x14ac:dyDescent="0.25">
      <c r="A13" s="4">
        <v>11</v>
      </c>
      <c r="B13" s="4" t="s">
        <v>46</v>
      </c>
      <c r="C13" s="3" t="s">
        <v>47</v>
      </c>
      <c r="D13" s="9">
        <v>311959334548</v>
      </c>
      <c r="E13" s="9">
        <v>361421984159</v>
      </c>
      <c r="F13" s="9">
        <v>-268989679129</v>
      </c>
      <c r="G13" s="9">
        <v>468698302439</v>
      </c>
      <c r="H13" s="15">
        <f t="shared" si="11"/>
        <v>580949013677</v>
      </c>
      <c r="I13" s="15">
        <f t="shared" si="12"/>
        <v>-107276318280</v>
      </c>
      <c r="J13" s="9">
        <v>53472450650976</v>
      </c>
      <c r="K13" s="9">
        <v>53408823346707</v>
      </c>
      <c r="L13" s="9">
        <v>15831388462166</v>
      </c>
      <c r="M13" s="9">
        <v>16763936677996</v>
      </c>
      <c r="N13" s="9">
        <v>23573191977192</v>
      </c>
      <c r="O13" s="9">
        <f t="shared" si="0"/>
        <v>15831388462166</v>
      </c>
      <c r="P13" s="9">
        <f t="shared" si="1"/>
        <v>-7741803515026</v>
      </c>
      <c r="Q13" s="9">
        <f t="shared" si="2"/>
        <v>932548215830</v>
      </c>
      <c r="R13" s="9">
        <v>5951266581112</v>
      </c>
      <c r="S13" s="9">
        <v>5592761676990</v>
      </c>
      <c r="T13" s="16">
        <f>5447109084896+5337125869626</f>
        <v>10784234954522</v>
      </c>
      <c r="U13" s="17">
        <f>7913076751270+3969545691128</f>
        <v>11882622442398</v>
      </c>
      <c r="V13" s="17">
        <f>7336522815008+8975688803430</f>
        <v>16312211618438</v>
      </c>
      <c r="W13" s="16">
        <f>5447109084896+5337125869626</f>
        <v>10784234954522</v>
      </c>
      <c r="X13" s="16">
        <f t="shared" si="13"/>
        <v>-5527976663916</v>
      </c>
      <c r="Y13" s="16">
        <f t="shared" si="14"/>
        <v>1098387487876</v>
      </c>
      <c r="Z13" s="20">
        <f t="shared" si="3"/>
        <v>1.0864454622978763E-2</v>
      </c>
      <c r="AA13" s="21">
        <f t="shared" si="4"/>
        <v>-2.0085879365588808E-3</v>
      </c>
      <c r="AB13" s="22">
        <f t="shared" si="5"/>
        <v>1.8701218811293579E-14</v>
      </c>
      <c r="AC13" s="23">
        <f t="shared" si="6"/>
        <v>1.8723498054028117E-14</v>
      </c>
      <c r="AD13" s="24">
        <f t="shared" si="7"/>
        <v>-0.14478116152854298</v>
      </c>
      <c r="AE13" s="24">
        <f t="shared" si="8"/>
        <v>1.7460564704380399E-2</v>
      </c>
      <c r="AF13" s="25">
        <f t="shared" si="9"/>
        <v>0.11129593853771456</v>
      </c>
      <c r="AG13" s="25">
        <f t="shared" si="10"/>
        <v>0.10471606237576529</v>
      </c>
      <c r="AH13" s="25">
        <f t="shared" si="15"/>
        <v>-0.14478116152854298</v>
      </c>
      <c r="AI13" s="25">
        <f t="shared" si="16"/>
        <v>1.7460564704380399E-2</v>
      </c>
      <c r="AJ13" s="25">
        <f t="shared" si="17"/>
        <v>-0.10337990117561782</v>
      </c>
      <c r="AK13" s="25">
        <f t="shared" si="18"/>
        <v>2.0565655991815118E-2</v>
      </c>
      <c r="AL13" s="25">
        <f t="shared" si="19"/>
        <v>-4.1401260352925157E-2</v>
      </c>
      <c r="AM13" s="30">
        <f t="shared" si="20"/>
        <v>-3.1050912874347192E-3</v>
      </c>
      <c r="AN13" s="34">
        <v>18163643267.208981</v>
      </c>
      <c r="AO13" s="28">
        <v>27.763583809739931</v>
      </c>
      <c r="AP13" s="28">
        <v>-10.743276218016188</v>
      </c>
      <c r="AQ13" s="32">
        <f t="shared" si="21"/>
        <v>3.3968226715035452E-4</v>
      </c>
      <c r="AR13" s="26">
        <f t="shared" si="22"/>
        <v>3.4008693936764825E-4</v>
      </c>
      <c r="AS13" s="26">
        <f t="shared" si="23"/>
        <v>-4.0196439121691974</v>
      </c>
      <c r="AT13" s="26">
        <f t="shared" si="24"/>
        <v>0.48476785153545215</v>
      </c>
      <c r="AU13" s="26">
        <f t="shared" si="25"/>
        <v>-1.1956830096540203</v>
      </c>
      <c r="AV13" s="26">
        <f t="shared" si="26"/>
        <v>-1.124993582565859</v>
      </c>
      <c r="AW13" s="36">
        <f t="shared" si="27"/>
        <v>-5.2149872395560672</v>
      </c>
      <c r="AX13" s="36">
        <f t="shared" si="28"/>
        <v>-0.63988564409103921</v>
      </c>
      <c r="AY13" s="27">
        <v>3.3968226715035452E-4</v>
      </c>
      <c r="AZ13" s="27">
        <v>3.4008693936764825E-4</v>
      </c>
      <c r="BA13" s="27">
        <f t="shared" si="29"/>
        <v>-1.1494473616373007</v>
      </c>
      <c r="BB13" s="27">
        <f t="shared" si="30"/>
        <v>-8.6208462195587088E-2</v>
      </c>
      <c r="BC13" s="26">
        <v>-1.1956830096540203</v>
      </c>
      <c r="BD13" s="28">
        <v>-1.124993582565859</v>
      </c>
      <c r="BE13" s="37">
        <f t="shared" si="31"/>
        <v>-2.3447906890241708</v>
      </c>
      <c r="BF13" s="37">
        <f t="shared" si="32"/>
        <v>-1.2108619578220785</v>
      </c>
      <c r="BG13" s="40">
        <f t="shared" si="33"/>
        <v>-2.8701965505318965</v>
      </c>
      <c r="BH13" s="40">
        <f t="shared" si="34"/>
        <v>0.5709763137310393</v>
      </c>
    </row>
    <row r="14" spans="1:60" ht="14.45" customHeight="1" x14ac:dyDescent="0.25">
      <c r="A14" s="2">
        <v>12</v>
      </c>
      <c r="B14" s="2" t="s">
        <v>52</v>
      </c>
      <c r="C14" s="3" t="s">
        <v>53</v>
      </c>
      <c r="D14" s="9">
        <v>1066576000000</v>
      </c>
      <c r="E14" s="9">
        <v>1601353000000</v>
      </c>
      <c r="F14" s="9">
        <v>3786457000000</v>
      </c>
      <c r="G14" s="9">
        <v>4465282000000</v>
      </c>
      <c r="H14" s="15">
        <f t="shared" si="11"/>
        <v>-2719881000000</v>
      </c>
      <c r="I14" s="15">
        <f t="shared" si="12"/>
        <v>-2863929000000</v>
      </c>
      <c r="J14" s="9">
        <v>30871710000000</v>
      </c>
      <c r="K14" s="9">
        <v>36521303000000</v>
      </c>
      <c r="L14" s="9">
        <v>5327689000000</v>
      </c>
      <c r="M14" s="9">
        <v>6179584000000</v>
      </c>
      <c r="N14" s="9">
        <v>4698742000000</v>
      </c>
      <c r="O14" s="9">
        <f t="shared" si="0"/>
        <v>5327689000000</v>
      </c>
      <c r="P14" s="9">
        <f t="shared" si="1"/>
        <v>628947000000</v>
      </c>
      <c r="Q14" s="9">
        <f t="shared" si="2"/>
        <v>851895000000</v>
      </c>
      <c r="R14" s="9">
        <v>28738362000000</v>
      </c>
      <c r="S14" s="9">
        <v>33637904000000</v>
      </c>
      <c r="T14" s="9">
        <v>710722000000</v>
      </c>
      <c r="U14" s="9">
        <v>538715000000</v>
      </c>
      <c r="V14" s="9">
        <v>466547000000</v>
      </c>
      <c r="W14" s="9">
        <v>710722000000</v>
      </c>
      <c r="X14" s="16">
        <f t="shared" si="13"/>
        <v>244175000000</v>
      </c>
      <c r="Y14" s="16">
        <f t="shared" si="14"/>
        <v>-172007000000</v>
      </c>
      <c r="Z14" s="20">
        <f t="shared" si="3"/>
        <v>-8.8102699850445595E-2</v>
      </c>
      <c r="AA14" s="21">
        <f t="shared" si="4"/>
        <v>-7.8418040013523066E-2</v>
      </c>
      <c r="AB14" s="22">
        <f t="shared" si="5"/>
        <v>3.2392115629487323E-14</v>
      </c>
      <c r="AC14" s="23">
        <f t="shared" si="6"/>
        <v>2.7381279359063394E-14</v>
      </c>
      <c r="AD14" s="24">
        <f t="shared" si="7"/>
        <v>2.0372923948819163E-2</v>
      </c>
      <c r="AE14" s="24">
        <f t="shared" si="8"/>
        <v>2.3325974979589308E-2</v>
      </c>
      <c r="AF14" s="25">
        <f t="shared" si="9"/>
        <v>0.93089634490606443</v>
      </c>
      <c r="AG14" s="25">
        <f t="shared" si="10"/>
        <v>0.92104884647735596</v>
      </c>
      <c r="AH14" s="25">
        <f t="shared" si="15"/>
        <v>2.0372923948819163E-2</v>
      </c>
      <c r="AI14" s="25">
        <f t="shared" si="16"/>
        <v>2.3325974979589308E-2</v>
      </c>
      <c r="AJ14" s="25">
        <f t="shared" si="17"/>
        <v>7.9093448338300662E-3</v>
      </c>
      <c r="AK14" s="25">
        <f t="shared" si="18"/>
        <v>-4.7097717187144176E-3</v>
      </c>
      <c r="AL14" s="25">
        <f t="shared" si="19"/>
        <v>1.2463579114989097E-2</v>
      </c>
      <c r="AM14" s="30">
        <f t="shared" si="20"/>
        <v>2.8035746698303728E-2</v>
      </c>
      <c r="AN14" s="34">
        <v>18163643267.208981</v>
      </c>
      <c r="AO14" s="28">
        <v>27.763583809739931</v>
      </c>
      <c r="AP14" s="28">
        <v>-10.743276218016188</v>
      </c>
      <c r="AQ14" s="32">
        <f t="shared" si="21"/>
        <v>5.8835883296419218E-4</v>
      </c>
      <c r="AR14" s="26">
        <f t="shared" si="22"/>
        <v>4.9734379047782005E-4</v>
      </c>
      <c r="AS14" s="26">
        <f t="shared" si="23"/>
        <v>0.56562538150249864</v>
      </c>
      <c r="AT14" s="26">
        <f t="shared" si="24"/>
        <v>0.64761266128972439</v>
      </c>
      <c r="AU14" s="26">
        <f t="shared" si="25"/>
        <v>-10.000876563667516</v>
      </c>
      <c r="AV14" s="26">
        <f t="shared" si="26"/>
        <v>-9.895082167991422</v>
      </c>
      <c r="AW14" s="36">
        <f t="shared" si="27"/>
        <v>-9.4346628233320526</v>
      </c>
      <c r="AX14" s="36">
        <f t="shared" si="28"/>
        <v>-9.24697216291122</v>
      </c>
      <c r="AY14" s="27">
        <v>5.8835883296419218E-4</v>
      </c>
      <c r="AZ14" s="27">
        <v>4.9734379047782005E-4</v>
      </c>
      <c r="BA14" s="27">
        <f t="shared" si="29"/>
        <v>0.34603362332832405</v>
      </c>
      <c r="BB14" s="27">
        <f t="shared" si="30"/>
        <v>0.77837280312699508</v>
      </c>
      <c r="BC14" s="26">
        <v>-10.000876563667516</v>
      </c>
      <c r="BD14" s="26">
        <v>-9.895082167991422</v>
      </c>
      <c r="BE14" s="37">
        <f t="shared" si="31"/>
        <v>-9.654254581506228</v>
      </c>
      <c r="BF14" s="37">
        <f t="shared" si="32"/>
        <v>-9.1162120210739488</v>
      </c>
      <c r="BG14" s="40">
        <f t="shared" si="33"/>
        <v>0.21959175817417531</v>
      </c>
      <c r="BH14" s="40">
        <f t="shared" si="34"/>
        <v>-0.13076014183727125</v>
      </c>
    </row>
    <row r="15" spans="1:60" ht="14.45" customHeight="1" x14ac:dyDescent="0.25">
      <c r="A15" s="4">
        <v>13</v>
      </c>
      <c r="B15" s="4" t="s">
        <v>54</v>
      </c>
      <c r="C15" s="3" t="s">
        <v>55</v>
      </c>
      <c r="D15" s="9">
        <v>29563000000000</v>
      </c>
      <c r="E15" s="9">
        <v>33948000000000</v>
      </c>
      <c r="F15" s="9">
        <v>65317000000000</v>
      </c>
      <c r="G15" s="9">
        <v>68353000000000</v>
      </c>
      <c r="H15" s="15">
        <f t="shared" si="11"/>
        <v>-35754000000000</v>
      </c>
      <c r="I15" s="15">
        <f t="shared" si="12"/>
        <v>-34405000000000</v>
      </c>
      <c r="J15" s="9">
        <v>221208000000000</v>
      </c>
      <c r="K15" s="9">
        <v>246943000000000</v>
      </c>
      <c r="L15" s="9">
        <v>136462000000000</v>
      </c>
      <c r="M15" s="9">
        <v>143210000000000</v>
      </c>
      <c r="N15" s="9">
        <v>135567000000000</v>
      </c>
      <c r="O15" s="9">
        <f t="shared" si="0"/>
        <v>136462000000000</v>
      </c>
      <c r="P15" s="9">
        <f t="shared" si="1"/>
        <v>895000000000</v>
      </c>
      <c r="Q15" s="9">
        <f t="shared" si="2"/>
        <v>6748000000000</v>
      </c>
      <c r="R15" s="9">
        <v>160923000000</v>
      </c>
      <c r="S15" s="9">
        <v>165026000000000</v>
      </c>
      <c r="T15" s="9">
        <f>9695000000000+1644000000000</f>
        <v>11339000000000</v>
      </c>
      <c r="U15" s="9">
        <f>7549000000000+961000000000</f>
        <v>8510000000000</v>
      </c>
      <c r="V15" s="9">
        <f>10005000000000+1792000000000</f>
        <v>11797000000000</v>
      </c>
      <c r="W15" s="9">
        <f>9695000000000+1644000000000</f>
        <v>11339000000000</v>
      </c>
      <c r="X15" s="16">
        <f t="shared" si="13"/>
        <v>-458000000000</v>
      </c>
      <c r="Y15" s="16">
        <f t="shared" si="14"/>
        <v>-2829000000000</v>
      </c>
      <c r="Z15" s="20">
        <f t="shared" si="3"/>
        <v>-0.16163068243463166</v>
      </c>
      <c r="AA15" s="21">
        <f t="shared" si="4"/>
        <v>-0.13932364958715168</v>
      </c>
      <c r="AB15" s="22">
        <f t="shared" si="5"/>
        <v>4.5206321652019822E-15</v>
      </c>
      <c r="AC15" s="23">
        <f t="shared" si="6"/>
        <v>4.0495174999898766E-15</v>
      </c>
      <c r="AD15" s="24">
        <f t="shared" si="7"/>
        <v>4.045965787855774E-3</v>
      </c>
      <c r="AE15" s="24">
        <f t="shared" si="8"/>
        <v>2.7326144089931684E-2</v>
      </c>
      <c r="AF15" s="25">
        <f t="shared" si="9"/>
        <v>7.2747368992079852E-4</v>
      </c>
      <c r="AG15" s="25">
        <f t="shared" si="10"/>
        <v>0.66827567495332929</v>
      </c>
      <c r="AH15" s="25">
        <f t="shared" si="15"/>
        <v>4.045965787855774E-3</v>
      </c>
      <c r="AI15" s="25">
        <f t="shared" si="16"/>
        <v>2.7326144089931684E-2</v>
      </c>
      <c r="AJ15" s="25">
        <f t="shared" si="17"/>
        <v>-2.0704495316625077E-3</v>
      </c>
      <c r="AK15" s="25">
        <f t="shared" si="18"/>
        <v>-1.145608500747136E-2</v>
      </c>
      <c r="AL15" s="25">
        <f t="shared" si="19"/>
        <v>6.1164153195182817E-3</v>
      </c>
      <c r="AM15" s="30">
        <f t="shared" si="20"/>
        <v>3.8782229097403045E-2</v>
      </c>
      <c r="AN15" s="34">
        <v>18163643267.208981</v>
      </c>
      <c r="AO15" s="28">
        <v>27.763583809739931</v>
      </c>
      <c r="AP15" s="28">
        <v>-10.743276218016188</v>
      </c>
      <c r="AQ15" s="32">
        <f t="shared" si="21"/>
        <v>8.2111149990999344E-5</v>
      </c>
      <c r="AR15" s="26">
        <f t="shared" si="22"/>
        <v>7.3553991274136063E-5</v>
      </c>
      <c r="AS15" s="26">
        <f t="shared" si="23"/>
        <v>0.11233051024247423</v>
      </c>
      <c r="AT15" s="26">
        <f t="shared" si="24"/>
        <v>0.75867169163784776</v>
      </c>
      <c r="AU15" s="26">
        <f t="shared" si="25"/>
        <v>-7.8154507921585972E-3</v>
      </c>
      <c r="AV15" s="26">
        <f t="shared" si="26"/>
        <v>-7.179470165804819</v>
      </c>
      <c r="AW15" s="36">
        <f t="shared" si="27"/>
        <v>0.10459717060030663</v>
      </c>
      <c r="AX15" s="36">
        <f t="shared" si="28"/>
        <v>-6.4207249201756973</v>
      </c>
      <c r="AY15" s="27">
        <v>8.2111149990999344E-5</v>
      </c>
      <c r="AZ15" s="27">
        <v>7.3553991274136063E-5</v>
      </c>
      <c r="BA15" s="27">
        <f t="shared" si="29"/>
        <v>0.16981360933862305</v>
      </c>
      <c r="BB15" s="27">
        <f t="shared" si="30"/>
        <v>1.076733667874284</v>
      </c>
      <c r="BC15" s="26">
        <v>-7.8154507921585972E-3</v>
      </c>
      <c r="BD15" s="26">
        <v>-7.179470165804819</v>
      </c>
      <c r="BE15" s="37">
        <f t="shared" si="31"/>
        <v>0.16208026969645545</v>
      </c>
      <c r="BF15" s="37">
        <f t="shared" si="32"/>
        <v>-6.1026629439392606</v>
      </c>
      <c r="BG15" s="40">
        <f t="shared" si="33"/>
        <v>-5.7483099096148821E-2</v>
      </c>
      <c r="BH15" s="40">
        <f t="shared" si="34"/>
        <v>-0.31806197623643673</v>
      </c>
    </row>
    <row r="16" spans="1:60" ht="14.45" customHeight="1" x14ac:dyDescent="0.25">
      <c r="A16" s="4">
        <v>14</v>
      </c>
      <c r="B16" s="2" t="s">
        <v>56</v>
      </c>
      <c r="C16" s="3" t="s">
        <v>57</v>
      </c>
      <c r="D16" s="9">
        <v>108580758</v>
      </c>
      <c r="E16" s="9">
        <v>101633430</v>
      </c>
      <c r="F16" s="9">
        <v>-59682127</v>
      </c>
      <c r="G16" s="9">
        <v>137001924</v>
      </c>
      <c r="H16" s="15">
        <f t="shared" si="11"/>
        <v>168262885</v>
      </c>
      <c r="I16" s="15">
        <f t="shared" si="12"/>
        <v>-35368494</v>
      </c>
      <c r="J16" s="9">
        <v>2962993701</v>
      </c>
      <c r="K16" s="9">
        <v>2889059738</v>
      </c>
      <c r="L16" s="9">
        <v>2292693925</v>
      </c>
      <c r="M16" s="9">
        <v>1745129628</v>
      </c>
      <c r="N16" s="9">
        <v>2474974774</v>
      </c>
      <c r="O16" s="9">
        <f t="shared" si="0"/>
        <v>2292693925</v>
      </c>
      <c r="P16" s="9">
        <f t="shared" si="1"/>
        <v>-182280849</v>
      </c>
      <c r="Q16" s="9">
        <f t="shared" si="2"/>
        <v>-547564297</v>
      </c>
      <c r="R16" s="9">
        <v>145403319</v>
      </c>
      <c r="S16" s="9">
        <v>126986259</v>
      </c>
      <c r="T16" s="16">
        <f>573620370+52735985</f>
        <v>626356355</v>
      </c>
      <c r="U16" s="17">
        <f>415327208+13603639</f>
        <v>428930847</v>
      </c>
      <c r="V16" s="17">
        <f>342616973+57371452</f>
        <v>399988425</v>
      </c>
      <c r="W16" s="16">
        <f>573620370+52735985</f>
        <v>626356355</v>
      </c>
      <c r="X16" s="16">
        <f t="shared" si="13"/>
        <v>226367930</v>
      </c>
      <c r="Y16" s="16">
        <f t="shared" si="14"/>
        <v>-197425508</v>
      </c>
      <c r="Z16" s="20">
        <f t="shared" si="3"/>
        <v>5.6788134562423084E-2</v>
      </c>
      <c r="AA16" s="21">
        <f t="shared" si="4"/>
        <v>-1.2242216225159966E-2</v>
      </c>
      <c r="AB16" s="22">
        <f t="shared" si="5"/>
        <v>3.3749649878179068E-10</v>
      </c>
      <c r="AC16" s="23">
        <f t="shared" si="6"/>
        <v>3.4613337579937573E-10</v>
      </c>
      <c r="AD16" s="24">
        <f t="shared" si="7"/>
        <v>-6.1519148332472275E-2</v>
      </c>
      <c r="AE16" s="24">
        <f t="shared" si="8"/>
        <v>-0.18953027858782198</v>
      </c>
      <c r="AF16" s="25">
        <f t="shared" si="9"/>
        <v>4.9073111073751827E-2</v>
      </c>
      <c r="AG16" s="25">
        <f t="shared" si="10"/>
        <v>4.3954182507803856E-2</v>
      </c>
      <c r="AH16" s="25">
        <f t="shared" si="15"/>
        <v>-6.1519148332472275E-2</v>
      </c>
      <c r="AI16" s="25">
        <f t="shared" si="16"/>
        <v>-0.18953027858782198</v>
      </c>
      <c r="AJ16" s="25">
        <f t="shared" si="17"/>
        <v>7.6398383811481479E-2</v>
      </c>
      <c r="AK16" s="25">
        <f t="shared" si="18"/>
        <v>-6.8335557552946666E-2</v>
      </c>
      <c r="AL16" s="25">
        <f t="shared" si="19"/>
        <v>-0.13791753214395375</v>
      </c>
      <c r="AM16" s="30">
        <f t="shared" si="20"/>
        <v>-0.12119472103487532</v>
      </c>
      <c r="AN16" s="34">
        <v>18163643267.208981</v>
      </c>
      <c r="AO16" s="28">
        <v>27.763583809739931</v>
      </c>
      <c r="AP16" s="28">
        <v>-10.743276218016188</v>
      </c>
      <c r="AQ16" s="32">
        <f t="shared" si="21"/>
        <v>6.1301660078044762</v>
      </c>
      <c r="AR16" s="26">
        <f t="shared" si="22"/>
        <v>6.2870431608946467</v>
      </c>
      <c r="AS16" s="26">
        <f t="shared" si="23"/>
        <v>-1.7079920306324166</v>
      </c>
      <c r="AT16" s="26">
        <f t="shared" si="24"/>
        <v>-5.2620397740563529</v>
      </c>
      <c r="AU16" s="26">
        <f t="shared" si="25"/>
        <v>-0.52720598714270483</v>
      </c>
      <c r="AV16" s="26">
        <f t="shared" si="26"/>
        <v>-0.47221192361843228</v>
      </c>
      <c r="AW16" s="36">
        <f t="shared" si="27"/>
        <v>3.8949679900293548</v>
      </c>
      <c r="AX16" s="36">
        <f t="shared" si="28"/>
        <v>0.55279146321986139</v>
      </c>
      <c r="AY16" s="27">
        <v>6.1301660078044762</v>
      </c>
      <c r="AZ16" s="27">
        <v>6.2870431608946467</v>
      </c>
      <c r="BA16" s="27">
        <f t="shared" si="29"/>
        <v>-3.8290849625111609</v>
      </c>
      <c r="BB16" s="27">
        <f t="shared" si="30"/>
        <v>-3.3647997947498118</v>
      </c>
      <c r="BC16" s="26">
        <v>-0.52720598714270483</v>
      </c>
      <c r="BD16" s="28">
        <v>-0.47221192361843228</v>
      </c>
      <c r="BE16" s="37">
        <f t="shared" si="31"/>
        <v>1.7738750581506104</v>
      </c>
      <c r="BF16" s="37">
        <f t="shared" si="32"/>
        <v>2.4500314425264027</v>
      </c>
      <c r="BG16" s="40">
        <f t="shared" si="33"/>
        <v>2.1210929318787444</v>
      </c>
      <c r="BH16" s="40">
        <f t="shared" si="34"/>
        <v>-1.8972399793065413</v>
      </c>
    </row>
    <row r="17" spans="1:60" ht="14.45" customHeight="1" x14ac:dyDescent="0.25">
      <c r="A17" s="2">
        <v>15</v>
      </c>
      <c r="B17" s="4" t="s">
        <v>58</v>
      </c>
      <c r="C17" s="3" t="s">
        <v>59</v>
      </c>
      <c r="D17" s="9">
        <v>2853617000000</v>
      </c>
      <c r="E17" s="9">
        <v>3447875000000</v>
      </c>
      <c r="F17" s="9">
        <v>5951202000000</v>
      </c>
      <c r="G17" s="9">
        <v>6196246000000</v>
      </c>
      <c r="H17" s="15">
        <f t="shared" si="11"/>
        <v>-3097585000000</v>
      </c>
      <c r="I17" s="15">
        <f t="shared" si="12"/>
        <v>-2748371000000</v>
      </c>
      <c r="J17" s="9">
        <v>27665695000000</v>
      </c>
      <c r="K17" s="9">
        <v>34249550000000</v>
      </c>
      <c r="L17" s="9">
        <v>7445426000000</v>
      </c>
      <c r="M17" s="9">
        <v>8635346000000</v>
      </c>
      <c r="N17" s="9">
        <v>6454302000000</v>
      </c>
      <c r="O17" s="9">
        <f t="shared" si="0"/>
        <v>7445426000000</v>
      </c>
      <c r="P17" s="9">
        <f t="shared" si="1"/>
        <v>991124000000</v>
      </c>
      <c r="Q17" s="9">
        <f t="shared" si="2"/>
        <v>1189920000000</v>
      </c>
      <c r="R17" s="9">
        <v>22757823000000</v>
      </c>
      <c r="S17" s="9">
        <v>32951482000000</v>
      </c>
      <c r="T17" s="9">
        <f>1239151000000+918000000</f>
        <v>1240069000000</v>
      </c>
      <c r="U17" s="9">
        <f>2169829000000+1467000000</f>
        <v>2171296000000</v>
      </c>
      <c r="V17" s="9">
        <f>1346730000000+822000000</f>
        <v>1347552000000</v>
      </c>
      <c r="W17" s="9">
        <f>1239151000000+918000000</f>
        <v>1240069000000</v>
      </c>
      <c r="X17" s="16">
        <f t="shared" si="13"/>
        <v>-107483000000</v>
      </c>
      <c r="Y17" s="16">
        <f t="shared" si="14"/>
        <v>931227000000</v>
      </c>
      <c r="Z17" s="20">
        <f t="shared" si="3"/>
        <v>-0.11196483587345267</v>
      </c>
      <c r="AA17" s="21">
        <f t="shared" si="4"/>
        <v>-8.0245463079076956E-2</v>
      </c>
      <c r="AB17" s="22">
        <f t="shared" si="5"/>
        <v>3.6145847772846479E-14</v>
      </c>
      <c r="AC17" s="23">
        <f t="shared" si="6"/>
        <v>2.9197463908284924E-14</v>
      </c>
      <c r="AD17" s="24">
        <f t="shared" si="7"/>
        <v>3.5825017228014698E-2</v>
      </c>
      <c r="AE17" s="24">
        <f t="shared" si="8"/>
        <v>3.4742646253746401E-2</v>
      </c>
      <c r="AF17" s="25">
        <f t="shared" si="9"/>
        <v>0.82260080579938444</v>
      </c>
      <c r="AG17" s="25">
        <f t="shared" si="10"/>
        <v>0.96209970641950038</v>
      </c>
      <c r="AH17" s="25">
        <f t="shared" si="15"/>
        <v>3.5825017228014698E-2</v>
      </c>
      <c r="AI17" s="25">
        <f t="shared" si="16"/>
        <v>3.4742646253746401E-2</v>
      </c>
      <c r="AJ17" s="25">
        <f t="shared" si="17"/>
        <v>-3.8850641561688584E-3</v>
      </c>
      <c r="AK17" s="25">
        <f t="shared" si="18"/>
        <v>2.7189466722920448E-2</v>
      </c>
      <c r="AL17" s="25">
        <f t="shared" si="19"/>
        <v>3.9710081384183554E-2</v>
      </c>
      <c r="AM17" s="30">
        <f t="shared" si="20"/>
        <v>7.5531795308259528E-3</v>
      </c>
      <c r="AN17" s="34">
        <v>18163643267.208981</v>
      </c>
      <c r="AO17" s="28">
        <v>27.763583809739931</v>
      </c>
      <c r="AP17" s="28">
        <v>-10.743276218016188</v>
      </c>
      <c r="AQ17" s="32">
        <f t="shared" si="21"/>
        <v>6.5654028453682363E-4</v>
      </c>
      <c r="AR17" s="26">
        <f t="shared" si="22"/>
        <v>5.3033231873729665E-4</v>
      </c>
      <c r="AS17" s="26">
        <f t="shared" si="23"/>
        <v>0.99463086829536296</v>
      </c>
      <c r="AT17" s="26">
        <f t="shared" si="24"/>
        <v>0.96458037103803529</v>
      </c>
      <c r="AU17" s="26">
        <f t="shared" si="25"/>
        <v>-8.8374276738654789</v>
      </c>
      <c r="AV17" s="26">
        <f t="shared" si="26"/>
        <v>-10.336102895336975</v>
      </c>
      <c r="AW17" s="36">
        <f t="shared" si="27"/>
        <v>-7.8421402652855789</v>
      </c>
      <c r="AX17" s="36">
        <f t="shared" si="28"/>
        <v>-9.3709921919802017</v>
      </c>
      <c r="AY17" s="27">
        <v>6.5654028453682363E-4</v>
      </c>
      <c r="AZ17" s="27">
        <v>5.3033231873729665E-4</v>
      </c>
      <c r="BA17" s="27">
        <f t="shared" si="29"/>
        <v>1.1024941726013735</v>
      </c>
      <c r="BB17" s="27">
        <f t="shared" si="30"/>
        <v>0.20970333293409846</v>
      </c>
      <c r="BC17" s="26">
        <v>-8.8374276738654789</v>
      </c>
      <c r="BD17" s="26">
        <v>-10.336102895336975</v>
      </c>
      <c r="BE17" s="37">
        <f t="shared" si="31"/>
        <v>-7.7342769609795683</v>
      </c>
      <c r="BF17" s="37">
        <f t="shared" si="32"/>
        <v>-10.125869230084138</v>
      </c>
      <c r="BG17" s="40">
        <f t="shared" si="33"/>
        <v>-0.10786330430601065</v>
      </c>
      <c r="BH17" s="40">
        <f t="shared" si="34"/>
        <v>0.75487703810393647</v>
      </c>
    </row>
    <row r="18" spans="1:60" ht="14.45" customHeight="1" x14ac:dyDescent="0.25">
      <c r="A18" s="4">
        <v>16</v>
      </c>
      <c r="B18" s="2" t="s">
        <v>60</v>
      </c>
      <c r="C18" s="3" t="s">
        <v>61</v>
      </c>
      <c r="D18" s="9">
        <v>322342513</v>
      </c>
      <c r="E18" s="9">
        <v>214424794</v>
      </c>
      <c r="F18" s="9">
        <v>314191065</v>
      </c>
      <c r="G18" s="9">
        <v>-3740044194</v>
      </c>
      <c r="H18" s="15">
        <f t="shared" si="11"/>
        <v>8151448</v>
      </c>
      <c r="I18" s="15">
        <f t="shared" si="12"/>
        <v>3954468988</v>
      </c>
      <c r="J18" s="9">
        <v>62110847154</v>
      </c>
      <c r="K18" s="9">
        <v>68109185213</v>
      </c>
      <c r="L18" s="9">
        <v>16536381639</v>
      </c>
      <c r="M18" s="9">
        <v>17809717726</v>
      </c>
      <c r="N18" s="9">
        <v>27212914210</v>
      </c>
      <c r="O18" s="9">
        <f t="shared" si="0"/>
        <v>16536381639</v>
      </c>
      <c r="P18" s="9">
        <f t="shared" si="1"/>
        <v>-10676532571</v>
      </c>
      <c r="Q18" s="9">
        <f t="shared" si="2"/>
        <v>1273336087</v>
      </c>
      <c r="R18" s="9">
        <v>5026009676</v>
      </c>
      <c r="S18" s="9">
        <v>8832862346</v>
      </c>
      <c r="T18" s="16">
        <f>1595323900+580229536</f>
        <v>2175553436</v>
      </c>
      <c r="U18" s="17">
        <f>1677557643+589277072</f>
        <v>2266834715</v>
      </c>
      <c r="V18" s="18">
        <f>2254554874+2207340861</f>
        <v>4461895735</v>
      </c>
      <c r="W18" s="16">
        <f>1595323900+580229536</f>
        <v>2175553436</v>
      </c>
      <c r="X18" s="16">
        <f t="shared" si="13"/>
        <v>-2286342299</v>
      </c>
      <c r="Y18" s="16">
        <f t="shared" si="14"/>
        <v>91281279</v>
      </c>
      <c r="Z18" s="20">
        <f t="shared" si="3"/>
        <v>1.3124032875914556E-4</v>
      </c>
      <c r="AA18" s="21">
        <f t="shared" si="4"/>
        <v>5.8060729630417168E-2</v>
      </c>
      <c r="AB18" s="22">
        <f t="shared" si="5"/>
        <v>1.610024731301059E-11</v>
      </c>
      <c r="AC18" s="23">
        <f t="shared" si="6"/>
        <v>1.4682307487201153E-11</v>
      </c>
      <c r="AD18" s="24">
        <f t="shared" si="7"/>
        <v>-0.17189481483851279</v>
      </c>
      <c r="AE18" s="24">
        <f t="shared" si="8"/>
        <v>1.869551196388352E-2</v>
      </c>
      <c r="AF18" s="25">
        <f t="shared" si="9"/>
        <v>8.0919998781184235E-2</v>
      </c>
      <c r="AG18" s="25">
        <f t="shared" si="10"/>
        <v>0.12968680095609295</v>
      </c>
      <c r="AH18" s="25">
        <f t="shared" si="15"/>
        <v>-0.17189481483851279</v>
      </c>
      <c r="AI18" s="25">
        <f t="shared" si="16"/>
        <v>1.869551196388352E-2</v>
      </c>
      <c r="AJ18" s="25">
        <f t="shared" si="17"/>
        <v>-3.6810676456097209E-2</v>
      </c>
      <c r="AK18" s="25">
        <f t="shared" si="18"/>
        <v>1.3402198061029974E-3</v>
      </c>
      <c r="AL18" s="25">
        <f t="shared" si="19"/>
        <v>-0.13508413838241559</v>
      </c>
      <c r="AM18" s="30">
        <f t="shared" si="20"/>
        <v>1.7355292157780523E-2</v>
      </c>
      <c r="AN18" s="34">
        <v>18163643267.208981</v>
      </c>
      <c r="AO18" s="28">
        <v>27.763583809739931</v>
      </c>
      <c r="AP18" s="28">
        <v>-10.743276218016188</v>
      </c>
      <c r="AQ18" s="32">
        <f t="shared" si="21"/>
        <v>0.29243914870736426</v>
      </c>
      <c r="AR18" s="26">
        <f t="shared" si="22"/>
        <v>0.26668419553699324</v>
      </c>
      <c r="AS18" s="26">
        <f t="shared" si="23"/>
        <v>-4.7724160982287769</v>
      </c>
      <c r="AT18" s="26">
        <f t="shared" si="24"/>
        <v>0.51905441327527568</v>
      </c>
      <c r="AU18" s="26">
        <f t="shared" si="25"/>
        <v>-0.86934589846779553</v>
      </c>
      <c r="AV18" s="26">
        <f t="shared" si="26"/>
        <v>-1.3932611245021924</v>
      </c>
      <c r="AW18" s="36">
        <f t="shared" si="27"/>
        <v>-5.3493228479892077</v>
      </c>
      <c r="AX18" s="36">
        <f t="shared" si="28"/>
        <v>-0.60752251568992355</v>
      </c>
      <c r="AY18" s="27">
        <v>0.29243914870736426</v>
      </c>
      <c r="AZ18" s="27">
        <v>0.26668419553699324</v>
      </c>
      <c r="BA18" s="27">
        <f t="shared" si="29"/>
        <v>-3.7504197973467019</v>
      </c>
      <c r="BB18" s="27">
        <f t="shared" si="30"/>
        <v>0.48184510836506173</v>
      </c>
      <c r="BC18" s="26">
        <v>-0.86934589846779553</v>
      </c>
      <c r="BD18" s="28">
        <v>-1.3932611245021924</v>
      </c>
      <c r="BE18" s="37">
        <f t="shared" si="31"/>
        <v>-4.3273265471071332</v>
      </c>
      <c r="BF18" s="37">
        <f t="shared" si="32"/>
        <v>-0.64473182060013745</v>
      </c>
      <c r="BG18" s="40">
        <f t="shared" si="33"/>
        <v>-1.0219963008820745</v>
      </c>
      <c r="BH18" s="40">
        <f t="shared" si="34"/>
        <v>3.7209304910213903E-2</v>
      </c>
    </row>
    <row r="19" spans="1:60" ht="14.45" customHeight="1" x14ac:dyDescent="0.25">
      <c r="A19" s="4">
        <v>17</v>
      </c>
      <c r="B19" s="2" t="s">
        <v>70</v>
      </c>
      <c r="C19" s="3" t="s">
        <v>71</v>
      </c>
      <c r="D19" s="9">
        <v>43151541644</v>
      </c>
      <c r="E19" s="9">
        <v>83315829281</v>
      </c>
      <c r="F19" s="9">
        <v>49586728211</v>
      </c>
      <c r="G19" s="9">
        <v>42313513127</v>
      </c>
      <c r="H19" s="15">
        <f t="shared" si="11"/>
        <v>-6435186567</v>
      </c>
      <c r="I19" s="15">
        <f t="shared" si="12"/>
        <v>41002316154</v>
      </c>
      <c r="J19" s="9">
        <v>722903663896</v>
      </c>
      <c r="K19" s="9">
        <v>702230672680</v>
      </c>
      <c r="L19" s="9">
        <v>552602370724</v>
      </c>
      <c r="M19" s="9">
        <v>279155322925</v>
      </c>
      <c r="N19" s="9">
        <v>607764419249</v>
      </c>
      <c r="O19" s="9">
        <f t="shared" si="0"/>
        <v>552602370724</v>
      </c>
      <c r="P19" s="9">
        <f t="shared" si="1"/>
        <v>-55162048525</v>
      </c>
      <c r="Q19" s="9">
        <f t="shared" si="2"/>
        <v>-273447047799</v>
      </c>
      <c r="R19" s="9">
        <v>151323510847</v>
      </c>
      <c r="S19" s="9">
        <v>92942553783</v>
      </c>
      <c r="T19" s="17">
        <v>188615198076</v>
      </c>
      <c r="U19" s="16">
        <v>286741369439</v>
      </c>
      <c r="V19" s="17">
        <v>189538192705</v>
      </c>
      <c r="W19" s="17">
        <v>188615198076</v>
      </c>
      <c r="X19" s="16">
        <f t="shared" si="13"/>
        <v>-922994629</v>
      </c>
      <c r="Y19" s="16">
        <f t="shared" si="14"/>
        <v>98126171363</v>
      </c>
      <c r="Z19" s="20">
        <f t="shared" si="3"/>
        <v>-8.9018591112380828E-3</v>
      </c>
      <c r="AA19" s="21">
        <f t="shared" si="4"/>
        <v>5.8388671627683762E-2</v>
      </c>
      <c r="AB19" s="22">
        <f t="shared" si="5"/>
        <v>1.3833101835597617E-12</v>
      </c>
      <c r="AC19" s="23">
        <f t="shared" si="6"/>
        <v>1.4240334962635429E-12</v>
      </c>
      <c r="AD19" s="24">
        <f t="shared" si="7"/>
        <v>-7.6306223470650233E-2</v>
      </c>
      <c r="AE19" s="24">
        <f t="shared" si="8"/>
        <v>-0.3893977555201541</v>
      </c>
      <c r="AF19" s="25">
        <f t="shared" si="9"/>
        <v>0.20932735356667115</v>
      </c>
      <c r="AG19" s="25">
        <f t="shared" si="10"/>
        <v>0.13235330981526786</v>
      </c>
      <c r="AH19" s="25">
        <f t="shared" si="15"/>
        <v>-7.6306223470650233E-2</v>
      </c>
      <c r="AI19" s="25">
        <f t="shared" si="16"/>
        <v>-0.3893977555201541</v>
      </c>
      <c r="AJ19" s="25">
        <f t="shared" si="17"/>
        <v>-1.2767878696666641E-3</v>
      </c>
      <c r="AK19" s="25">
        <f t="shared" si="18"/>
        <v>0.13973495488100843</v>
      </c>
      <c r="AL19" s="25">
        <f t="shared" si="19"/>
        <v>-7.5029435600983574E-2</v>
      </c>
      <c r="AM19" s="30">
        <f t="shared" si="20"/>
        <v>-0.5291327104011625</v>
      </c>
      <c r="AN19" s="34">
        <v>18163643267.208981</v>
      </c>
      <c r="AO19" s="28">
        <v>27.763583809739931</v>
      </c>
      <c r="AP19" s="28">
        <v>-10.743276218016188</v>
      </c>
      <c r="AQ19" s="32">
        <f t="shared" si="21"/>
        <v>2.5125952702076886E-2</v>
      </c>
      <c r="AR19" s="26">
        <f t="shared" si="22"/>
        <v>2.5865636426687367E-2</v>
      </c>
      <c r="AS19" s="26">
        <f t="shared" si="23"/>
        <v>-2.1185342305321417</v>
      </c>
      <c r="AT19" s="26">
        <f t="shared" si="24"/>
        <v>-10.811077220708418</v>
      </c>
      <c r="AU19" s="26">
        <f t="shared" si="25"/>
        <v>-2.2488615793530844</v>
      </c>
      <c r="AV19" s="26">
        <f t="shared" si="26"/>
        <v>-1.4219081657140957</v>
      </c>
      <c r="AW19" s="36">
        <f t="shared" si="27"/>
        <v>-4.3422698571831493</v>
      </c>
      <c r="AX19" s="36">
        <f t="shared" si="28"/>
        <v>-12.207119749995826</v>
      </c>
      <c r="AY19" s="27">
        <v>2.5125952702076886E-2</v>
      </c>
      <c r="AZ19" s="27">
        <v>2.5865636426687367E-2</v>
      </c>
      <c r="BA19" s="27">
        <f t="shared" si="29"/>
        <v>-2.0830860235053925</v>
      </c>
      <c r="BB19" s="27">
        <f t="shared" si="30"/>
        <v>-14.690620351697522</v>
      </c>
      <c r="BC19" s="26">
        <v>-2.2488615793530844</v>
      </c>
      <c r="BD19">
        <v>-1.4219081657140957</v>
      </c>
      <c r="BE19" s="37">
        <f t="shared" si="31"/>
        <v>-4.3068216501564001</v>
      </c>
      <c r="BF19" s="37">
        <f t="shared" si="32"/>
        <v>-16.086662880984932</v>
      </c>
      <c r="BG19" s="40">
        <f t="shared" si="33"/>
        <v>-3.5448207026749223E-2</v>
      </c>
      <c r="BH19" s="40">
        <f t="shared" si="34"/>
        <v>3.8795431309891057</v>
      </c>
    </row>
    <row r="20" spans="1:60" ht="14.45" customHeight="1" x14ac:dyDescent="0.25">
      <c r="A20" s="2">
        <v>18</v>
      </c>
      <c r="B20" s="2" t="s">
        <v>74</v>
      </c>
      <c r="C20" s="3" t="s">
        <v>75</v>
      </c>
      <c r="D20" s="9">
        <v>4311511019</v>
      </c>
      <c r="E20" s="9">
        <v>7507914571</v>
      </c>
      <c r="F20" s="9">
        <v>-9671894325</v>
      </c>
      <c r="G20" s="9">
        <v>695073629</v>
      </c>
      <c r="H20" s="15">
        <f t="shared" si="11"/>
        <v>13983405344</v>
      </c>
      <c r="I20" s="15">
        <f t="shared" si="12"/>
        <v>6812840942</v>
      </c>
      <c r="J20" s="9">
        <v>560037421243</v>
      </c>
      <c r="K20" s="9">
        <v>443783784479</v>
      </c>
      <c r="L20" s="9">
        <v>12427172430</v>
      </c>
      <c r="M20" s="9">
        <v>38690158854</v>
      </c>
      <c r="N20" s="9">
        <v>23813045423</v>
      </c>
      <c r="O20" s="9">
        <f t="shared" si="0"/>
        <v>12427172430</v>
      </c>
      <c r="P20" s="9">
        <f t="shared" si="1"/>
        <v>-11385872993</v>
      </c>
      <c r="Q20" s="9">
        <f t="shared" si="2"/>
        <v>26262986424</v>
      </c>
      <c r="R20" s="9">
        <v>249930976866</v>
      </c>
      <c r="S20" s="9">
        <v>320930598485</v>
      </c>
      <c r="T20" s="9">
        <v>1684713767</v>
      </c>
      <c r="U20" s="9">
        <v>26429260597</v>
      </c>
      <c r="V20" s="9">
        <v>2902192933</v>
      </c>
      <c r="W20" s="9">
        <v>1684713767</v>
      </c>
      <c r="X20" s="16">
        <f t="shared" si="13"/>
        <v>-1217479166</v>
      </c>
      <c r="Y20" s="16">
        <f t="shared" si="14"/>
        <v>24744546830</v>
      </c>
      <c r="Z20" s="20">
        <f t="shared" si="3"/>
        <v>2.4968698186210322E-2</v>
      </c>
      <c r="AA20" s="21">
        <f t="shared" si="4"/>
        <v>1.5351712208228252E-2</v>
      </c>
      <c r="AB20" s="22">
        <f t="shared" si="5"/>
        <v>1.7855949657444416E-12</v>
      </c>
      <c r="AC20" s="23">
        <f t="shared" si="6"/>
        <v>2.2533495701606021E-12</v>
      </c>
      <c r="AD20" s="24">
        <f t="shared" si="7"/>
        <v>-2.0330557496906397E-2</v>
      </c>
      <c r="AE20" s="24">
        <f t="shared" si="8"/>
        <v>5.9179689169654132E-2</v>
      </c>
      <c r="AF20" s="25">
        <f t="shared" si="9"/>
        <v>0.44627549407552008</v>
      </c>
      <c r="AG20" s="25">
        <f t="shared" si="10"/>
        <v>0.72316882614755962</v>
      </c>
      <c r="AH20" s="25">
        <f t="shared" si="15"/>
        <v>-2.0330557496906397E-2</v>
      </c>
      <c r="AI20" s="25">
        <f t="shared" si="16"/>
        <v>5.9179689169654132E-2</v>
      </c>
      <c r="AJ20" s="25">
        <f t="shared" si="17"/>
        <v>-2.1739246697083411E-3</v>
      </c>
      <c r="AK20" s="25">
        <f t="shared" si="18"/>
        <v>5.5758113963199393E-2</v>
      </c>
      <c r="AL20" s="25">
        <f t="shared" si="19"/>
        <v>-1.8156632827198056E-2</v>
      </c>
      <c r="AM20" s="30">
        <f t="shared" si="20"/>
        <v>3.4215752064547383E-3</v>
      </c>
      <c r="AN20" s="34">
        <v>18163643267.208981</v>
      </c>
      <c r="AO20" s="28">
        <v>27.763583809739931</v>
      </c>
      <c r="AP20" s="28">
        <v>-10.743276218016188</v>
      </c>
      <c r="AQ20" s="32">
        <f t="shared" si="21"/>
        <v>3.2432909977506273E-2</v>
      </c>
      <c r="AR20" s="26">
        <f t="shared" si="22"/>
        <v>4.0929037748715869E-2</v>
      </c>
      <c r="AS20" s="26">
        <f t="shared" si="23"/>
        <v>-0.56444913696409726</v>
      </c>
      <c r="AT20" s="26">
        <f t="shared" si="24"/>
        <v>1.643040260096051</v>
      </c>
      <c r="AU20" s="26">
        <f t="shared" si="25"/>
        <v>-4.7944609021849596</v>
      </c>
      <c r="AV20" s="26">
        <f t="shared" si="26"/>
        <v>-7.7692024515617604</v>
      </c>
      <c r="AW20" s="36">
        <f t="shared" si="27"/>
        <v>-5.3264771291715505</v>
      </c>
      <c r="AX20" s="36">
        <f t="shared" si="28"/>
        <v>-6.0852331537169935</v>
      </c>
      <c r="AY20" s="27">
        <v>3.2432909977506273E-2</v>
      </c>
      <c r="AZ20" s="27">
        <v>4.0929037748715869E-2</v>
      </c>
      <c r="BA20" s="27">
        <f t="shared" si="29"/>
        <v>-0.50409319720058843</v>
      </c>
      <c r="BB20" s="27">
        <f t="shared" si="30"/>
        <v>9.4995190005734337E-2</v>
      </c>
      <c r="BC20" s="26">
        <v>-4.7944609021849596</v>
      </c>
      <c r="BD20" s="26">
        <v>-7.7692024515617604</v>
      </c>
      <c r="BE20" s="37">
        <f t="shared" si="31"/>
        <v>-5.2661211894080413</v>
      </c>
      <c r="BF20" s="37">
        <f t="shared" si="32"/>
        <v>-7.6332782238073102</v>
      </c>
      <c r="BG20" s="40">
        <f t="shared" si="33"/>
        <v>-6.035593976350917E-2</v>
      </c>
      <c r="BH20" s="40">
        <f t="shared" si="34"/>
        <v>1.5480450700903168</v>
      </c>
    </row>
    <row r="21" spans="1:60" ht="14.45" customHeight="1" x14ac:dyDescent="0.25">
      <c r="A21" s="4">
        <v>19</v>
      </c>
      <c r="B21" s="2" t="s">
        <v>82</v>
      </c>
      <c r="C21" s="3" t="s">
        <v>83</v>
      </c>
      <c r="D21" s="9">
        <v>115881928744</v>
      </c>
      <c r="E21" s="9">
        <v>146813185337</v>
      </c>
      <c r="F21" s="9">
        <v>240500120706</v>
      </c>
      <c r="G21" s="9">
        <v>248967442407</v>
      </c>
      <c r="H21" s="15">
        <f t="shared" si="11"/>
        <v>-124618191962</v>
      </c>
      <c r="I21" s="15">
        <f t="shared" si="12"/>
        <v>-102154257070</v>
      </c>
      <c r="J21" s="9">
        <v>7760863409420</v>
      </c>
      <c r="K21" s="9">
        <v>6767233104600</v>
      </c>
      <c r="L21" s="9">
        <v>2336956841399</v>
      </c>
      <c r="M21" s="9">
        <v>2807235049378</v>
      </c>
      <c r="N21" s="9">
        <v>3853253102037</v>
      </c>
      <c r="O21" s="9">
        <f t="shared" si="0"/>
        <v>2336956841399</v>
      </c>
      <c r="P21" s="9">
        <f t="shared" si="1"/>
        <v>-1516296260638</v>
      </c>
      <c r="Q21" s="9">
        <f t="shared" si="2"/>
        <v>470278207979</v>
      </c>
      <c r="R21" s="9">
        <v>2341277461220</v>
      </c>
      <c r="S21" s="9">
        <v>2076320595355</v>
      </c>
      <c r="T21" s="9">
        <f>1081161824277+1933140376172</f>
        <v>3014302200449</v>
      </c>
      <c r="U21" s="9">
        <f>1375421121701+1798567784444</f>
        <v>3173988906145</v>
      </c>
      <c r="V21" s="9">
        <f>1717324408381+1613777095633</f>
        <v>3331101504014</v>
      </c>
      <c r="W21" s="9">
        <f>1081161824277+1933140376172</f>
        <v>3014302200449</v>
      </c>
      <c r="X21" s="16">
        <f t="shared" si="13"/>
        <v>-316799303565</v>
      </c>
      <c r="Y21" s="16">
        <f t="shared" si="14"/>
        <v>159686705696</v>
      </c>
      <c r="Z21" s="20">
        <f t="shared" si="3"/>
        <v>-1.6057258759475217E-2</v>
      </c>
      <c r="AA21" s="21">
        <f t="shared" si="4"/>
        <v>-1.509542459835779E-2</v>
      </c>
      <c r="AB21" s="22">
        <f t="shared" si="5"/>
        <v>1.2885164281930508E-13</v>
      </c>
      <c r="AC21" s="23">
        <f t="shared" si="6"/>
        <v>1.4777088132522789E-13</v>
      </c>
      <c r="AD21" s="24">
        <f t="shared" si="7"/>
        <v>-0.19537726418397547</v>
      </c>
      <c r="AE21" s="24">
        <f t="shared" si="8"/>
        <v>6.9493425261105649E-2</v>
      </c>
      <c r="AF21" s="25">
        <f t="shared" si="9"/>
        <v>0.30167744717400879</v>
      </c>
      <c r="AG21" s="25">
        <f t="shared" si="10"/>
        <v>0.30681972428933019</v>
      </c>
      <c r="AH21" s="25">
        <f t="shared" si="15"/>
        <v>-0.19537726418397547</v>
      </c>
      <c r="AI21" s="25">
        <f t="shared" si="16"/>
        <v>6.9493425261105649E-2</v>
      </c>
      <c r="AJ21" s="25">
        <f t="shared" si="17"/>
        <v>-4.082011070836198E-2</v>
      </c>
      <c r="AK21" s="25">
        <f t="shared" si="18"/>
        <v>2.3597045236620207E-2</v>
      </c>
      <c r="AL21" s="25">
        <f t="shared" si="19"/>
        <v>-0.1545571534756135</v>
      </c>
      <c r="AM21" s="30">
        <f t="shared" si="20"/>
        <v>4.5896380024485442E-2</v>
      </c>
      <c r="AN21" s="34">
        <v>18163643267.208981</v>
      </c>
      <c r="AO21" s="28">
        <v>27.763583809739931</v>
      </c>
      <c r="AP21" s="28">
        <v>-10.743276218016188</v>
      </c>
      <c r="AQ21" s="32">
        <f t="shared" si="21"/>
        <v>2.3404152745636871E-3</v>
      </c>
      <c r="AR21" s="26">
        <f t="shared" si="22"/>
        <v>2.6840575736725128E-3</v>
      </c>
      <c r="AS21" s="26">
        <f t="shared" si="23"/>
        <v>-5.4243730486895023</v>
      </c>
      <c r="AT21" s="26">
        <f t="shared" si="24"/>
        <v>1.9293865364626046</v>
      </c>
      <c r="AU21" s="26">
        <f t="shared" si="25"/>
        <v>-3.2410041437363635</v>
      </c>
      <c r="AV21" s="26">
        <f t="shared" si="26"/>
        <v>-3.2962490471758445</v>
      </c>
      <c r="AW21" s="36">
        <f t="shared" si="27"/>
        <v>-8.6630367771513015</v>
      </c>
      <c r="AX21" s="36">
        <f t="shared" si="28"/>
        <v>-1.3641784531395675</v>
      </c>
      <c r="AY21" s="27">
        <v>2.3404152745636871E-3</v>
      </c>
      <c r="AZ21" s="27">
        <v>2.6840575736725128E-3</v>
      </c>
      <c r="BA21" s="27">
        <f t="shared" si="29"/>
        <v>-4.2910604839150324</v>
      </c>
      <c r="BB21" s="27">
        <f t="shared" si="30"/>
        <v>1.2742479933734752</v>
      </c>
      <c r="BC21" s="26">
        <v>-3.2410041437363635</v>
      </c>
      <c r="BD21" s="26">
        <v>-3.2962490471758445</v>
      </c>
      <c r="BE21" s="37">
        <f t="shared" si="31"/>
        <v>-7.5297242123768324</v>
      </c>
      <c r="BF21" s="37">
        <f t="shared" si="32"/>
        <v>-2.0193169962286968</v>
      </c>
      <c r="BG21" s="40">
        <f t="shared" si="33"/>
        <v>-1.1333125647744691</v>
      </c>
      <c r="BH21" s="40">
        <f t="shared" si="34"/>
        <v>0.65513854308912922</v>
      </c>
    </row>
    <row r="22" spans="1:60" ht="14.45" customHeight="1" x14ac:dyDescent="0.25">
      <c r="A22" s="4">
        <v>20</v>
      </c>
      <c r="B22" s="4" t="s">
        <v>84</v>
      </c>
      <c r="C22" s="3" t="s">
        <v>85</v>
      </c>
      <c r="D22" s="9">
        <v>56349499437</v>
      </c>
      <c r="E22" s="9">
        <v>216387979386</v>
      </c>
      <c r="F22" s="9">
        <v>104610929664</v>
      </c>
      <c r="G22" s="9">
        <v>103325707566</v>
      </c>
      <c r="H22" s="15">
        <f t="shared" si="11"/>
        <v>-48261430227</v>
      </c>
      <c r="I22" s="15">
        <f t="shared" si="12"/>
        <v>113062271820</v>
      </c>
      <c r="J22" s="9">
        <v>6197314112122</v>
      </c>
      <c r="K22" s="9">
        <v>6081882876649</v>
      </c>
      <c r="L22" s="9">
        <v>2810083762049</v>
      </c>
      <c r="M22" s="9">
        <v>3168197827254</v>
      </c>
      <c r="N22" s="9">
        <v>4567506785491</v>
      </c>
      <c r="O22" s="9">
        <f t="shared" si="0"/>
        <v>2810083762049</v>
      </c>
      <c r="P22" s="9">
        <f t="shared" si="1"/>
        <v>-1757423023442</v>
      </c>
      <c r="Q22" s="9">
        <f t="shared" si="2"/>
        <v>358114065205</v>
      </c>
      <c r="R22" s="9">
        <v>180651691205</v>
      </c>
      <c r="S22" s="9">
        <v>142139595194</v>
      </c>
      <c r="T22" s="17">
        <f>455754901922+189299242555</f>
        <v>645054144477</v>
      </c>
      <c r="U22" s="17">
        <f>444216010496+120407647586</f>
        <v>564623658082</v>
      </c>
      <c r="V22" s="17">
        <f>640213516809+232441412387</f>
        <v>872654929196</v>
      </c>
      <c r="W22" s="17">
        <f>455754901922+189299242555</f>
        <v>645054144477</v>
      </c>
      <c r="X22" s="16">
        <f t="shared" si="13"/>
        <v>-227600784719</v>
      </c>
      <c r="Y22" s="16">
        <f t="shared" si="14"/>
        <v>-80430486395</v>
      </c>
      <c r="Z22" s="20">
        <f t="shared" si="3"/>
        <v>-7.7874752439286926E-3</v>
      </c>
      <c r="AA22" s="21">
        <f t="shared" si="4"/>
        <v>1.8590011368698887E-2</v>
      </c>
      <c r="AB22" s="22">
        <f t="shared" si="5"/>
        <v>1.6136022507621346E-13</v>
      </c>
      <c r="AC22" s="23">
        <f t="shared" si="6"/>
        <v>1.6442276516692486E-13</v>
      </c>
      <c r="AD22" s="24">
        <f t="shared" si="7"/>
        <v>-0.28357817461672069</v>
      </c>
      <c r="AE22" s="24">
        <f t="shared" si="8"/>
        <v>5.8882104846174531E-2</v>
      </c>
      <c r="AF22" s="25">
        <f t="shared" si="9"/>
        <v>2.9149997553237415E-2</v>
      </c>
      <c r="AG22" s="25">
        <f t="shared" si="10"/>
        <v>2.3370985281504823E-2</v>
      </c>
      <c r="AH22" s="25">
        <f t="shared" si="15"/>
        <v>-0.28357817461672069</v>
      </c>
      <c r="AI22" s="25">
        <f t="shared" si="16"/>
        <v>5.8882104846174531E-2</v>
      </c>
      <c r="AJ22" s="25">
        <f t="shared" si="17"/>
        <v>-3.6725713849780649E-2</v>
      </c>
      <c r="AK22" s="25">
        <f t="shared" si="18"/>
        <v>-1.3224602976786631E-2</v>
      </c>
      <c r="AL22" s="25">
        <f t="shared" si="19"/>
        <v>-0.24685246076694004</v>
      </c>
      <c r="AM22" s="30">
        <f t="shared" si="20"/>
        <v>7.2106707822961164E-2</v>
      </c>
      <c r="AN22" s="34">
        <v>18163643267.208981</v>
      </c>
      <c r="AO22" s="28">
        <v>27.763583809739931</v>
      </c>
      <c r="AP22" s="28">
        <v>-10.743276218016188</v>
      </c>
      <c r="AQ22" s="32">
        <f t="shared" si="21"/>
        <v>2.9308895658008904E-3</v>
      </c>
      <c r="AR22" s="26">
        <f t="shared" si="22"/>
        <v>2.986516451500098E-3</v>
      </c>
      <c r="AS22" s="26">
        <f t="shared" si="23"/>
        <v>-7.8731464175843895</v>
      </c>
      <c r="AT22" s="26">
        <f t="shared" si="24"/>
        <v>1.6347782527906602</v>
      </c>
      <c r="AU22" s="26">
        <f t="shared" si="25"/>
        <v>-0.31316647546892556</v>
      </c>
      <c r="AV22" s="26">
        <f t="shared" si="26"/>
        <v>-0.25108095036639716</v>
      </c>
      <c r="AW22" s="36">
        <f t="shared" si="27"/>
        <v>-8.1833820034875142</v>
      </c>
      <c r="AX22" s="36">
        <f t="shared" si="28"/>
        <v>1.3866838188757633</v>
      </c>
      <c r="AY22" s="27">
        <v>2.9308895658008904E-3</v>
      </c>
      <c r="AZ22" s="27">
        <v>2.986516451500098E-3</v>
      </c>
      <c r="BA22" s="27">
        <f t="shared" si="29"/>
        <v>-6.8535089831434775</v>
      </c>
      <c r="BB22" s="27">
        <f t="shared" si="30"/>
        <v>2.0019406258872121</v>
      </c>
      <c r="BC22" s="26">
        <v>-0.31316647546892556</v>
      </c>
      <c r="BD22" s="28">
        <v>-0.25108095036639716</v>
      </c>
      <c r="BE22" s="37">
        <f t="shared" si="31"/>
        <v>-7.1637445690466022</v>
      </c>
      <c r="BF22" s="37">
        <f t="shared" si="32"/>
        <v>1.7538461919723152</v>
      </c>
      <c r="BG22" s="40">
        <f t="shared" si="33"/>
        <v>-1.019637434440912</v>
      </c>
      <c r="BH22" s="40">
        <f t="shared" si="34"/>
        <v>-0.36716237309655186</v>
      </c>
    </row>
    <row r="23" spans="1:60" ht="14.45" customHeight="1" x14ac:dyDescent="0.25">
      <c r="A23" s="2">
        <v>21</v>
      </c>
      <c r="B23" s="2" t="s">
        <v>86</v>
      </c>
      <c r="C23" s="3" t="s">
        <v>87</v>
      </c>
      <c r="D23" s="9">
        <v>679677575440</v>
      </c>
      <c r="E23" s="9">
        <v>671378603195</v>
      </c>
      <c r="F23" s="9">
        <v>1862635674521</v>
      </c>
      <c r="G23" s="9">
        <v>1611616202165</v>
      </c>
      <c r="H23" s="15">
        <f t="shared" si="11"/>
        <v>-1182958099081</v>
      </c>
      <c r="I23" s="15">
        <f t="shared" si="12"/>
        <v>-940237598970</v>
      </c>
      <c r="J23" s="9">
        <v>12795937896881</v>
      </c>
      <c r="K23" s="9">
        <v>13395522520584</v>
      </c>
      <c r="L23" s="9">
        <v>3765688134794</v>
      </c>
      <c r="M23" s="9">
        <v>4180073066155</v>
      </c>
      <c r="N23" s="9">
        <v>4062381551751</v>
      </c>
      <c r="O23" s="9">
        <f t="shared" si="0"/>
        <v>3765688134794</v>
      </c>
      <c r="P23" s="9">
        <f t="shared" si="1"/>
        <v>-296693416957</v>
      </c>
      <c r="Q23" s="9">
        <f t="shared" si="2"/>
        <v>414384931361</v>
      </c>
      <c r="R23" s="9">
        <v>5560472613002</v>
      </c>
      <c r="S23" s="9">
        <v>6281794670312</v>
      </c>
      <c r="T23" s="17">
        <f>390055126311+5972229736</f>
        <v>396027356047</v>
      </c>
      <c r="U23" s="17">
        <f>343086673252+79139002676</f>
        <v>422225675928</v>
      </c>
      <c r="V23" s="17">
        <f>365489488383+2662085347</f>
        <v>368151573730</v>
      </c>
      <c r="W23" s="17">
        <f>390055126311+5972229736</f>
        <v>396027356047</v>
      </c>
      <c r="X23" s="16">
        <f t="shared" si="13"/>
        <v>27875782317</v>
      </c>
      <c r="Y23" s="16">
        <f t="shared" si="14"/>
        <v>26198319881</v>
      </c>
      <c r="Z23" s="20">
        <f t="shared" si="3"/>
        <v>-9.2447940011442631E-2</v>
      </c>
      <c r="AA23" s="21">
        <f t="shared" si="4"/>
        <v>-7.0190438448757789E-2</v>
      </c>
      <c r="AB23" s="22">
        <f t="shared" si="5"/>
        <v>7.8149800980493128E-14</v>
      </c>
      <c r="AC23" s="23">
        <f t="shared" si="6"/>
        <v>7.4651809846414517E-14</v>
      </c>
      <c r="AD23" s="24">
        <f t="shared" si="7"/>
        <v>-2.3186531487412017E-2</v>
      </c>
      <c r="AE23" s="24">
        <f t="shared" si="8"/>
        <v>3.09345850991809E-2</v>
      </c>
      <c r="AF23" s="25">
        <f t="shared" si="9"/>
        <v>0.43454982806358888</v>
      </c>
      <c r="AG23" s="25">
        <f t="shared" si="10"/>
        <v>0.46894734122235154</v>
      </c>
      <c r="AH23" s="25">
        <f t="shared" si="15"/>
        <v>-2.3186531487412017E-2</v>
      </c>
      <c r="AI23" s="25">
        <f t="shared" si="16"/>
        <v>3.09345850991809E-2</v>
      </c>
      <c r="AJ23" s="25">
        <f t="shared" si="17"/>
        <v>2.1784868402490998E-3</v>
      </c>
      <c r="AK23" s="25">
        <f t="shared" si="18"/>
        <v>1.9557519940519531E-3</v>
      </c>
      <c r="AL23" s="25">
        <f t="shared" si="19"/>
        <v>-2.5365018327661117E-2</v>
      </c>
      <c r="AM23" s="30">
        <f t="shared" si="20"/>
        <v>2.8978833105128946E-2</v>
      </c>
      <c r="AN23" s="34">
        <v>18163643267.208981</v>
      </c>
      <c r="AO23" s="28">
        <v>27.763583809739931</v>
      </c>
      <c r="AP23" s="28">
        <v>-10.743276218016188</v>
      </c>
      <c r="AQ23" s="32">
        <f t="shared" si="21"/>
        <v>1.4194851064130557E-3</v>
      </c>
      <c r="AR23" s="26">
        <f t="shared" si="22"/>
        <v>1.3559488433017922E-3</v>
      </c>
      <c r="AS23" s="26">
        <f t="shared" si="23"/>
        <v>-0.6437412102079374</v>
      </c>
      <c r="AT23" s="26">
        <f t="shared" si="24"/>
        <v>0.85885494602064094</v>
      </c>
      <c r="AU23" s="26">
        <f t="shared" si="25"/>
        <v>-4.6684888333785777</v>
      </c>
      <c r="AV23" s="26">
        <f t="shared" si="26"/>
        <v>-5.0380308184560114</v>
      </c>
      <c r="AW23" s="36">
        <f t="shared" si="27"/>
        <v>-5.3108105584801022</v>
      </c>
      <c r="AX23" s="36">
        <f t="shared" si="28"/>
        <v>-4.177819923592069</v>
      </c>
      <c r="AY23" s="27">
        <v>1.4194851064130557E-3</v>
      </c>
      <c r="AZ23" s="27">
        <v>1.3559488433017922E-3</v>
      </c>
      <c r="BA23" s="27">
        <f t="shared" si="29"/>
        <v>-0.70422381217560881</v>
      </c>
      <c r="BB23" s="27">
        <f t="shared" si="30"/>
        <v>0.80455626162271354</v>
      </c>
      <c r="BC23" s="26">
        <v>-4.6684888333785777</v>
      </c>
      <c r="BD23" s="28">
        <v>-5.0380308184560114</v>
      </c>
      <c r="BE23" s="37">
        <f t="shared" si="31"/>
        <v>-5.3712931604477738</v>
      </c>
      <c r="BF23" s="37">
        <f t="shared" si="32"/>
        <v>-4.232118607989996</v>
      </c>
      <c r="BG23" s="40">
        <f t="shared" si="33"/>
        <v>6.0482601967671634E-2</v>
      </c>
      <c r="BH23" s="40">
        <f t="shared" si="34"/>
        <v>5.4298684397926955E-2</v>
      </c>
    </row>
    <row r="24" spans="1:60" ht="14.45" customHeight="1" x14ac:dyDescent="0.25">
      <c r="A24" s="4">
        <v>22</v>
      </c>
      <c r="B24" s="4" t="s">
        <v>88</v>
      </c>
      <c r="C24" s="3" t="s">
        <v>89</v>
      </c>
      <c r="D24" s="9">
        <v>435830715625</v>
      </c>
      <c r="E24" s="9">
        <v>435830715625</v>
      </c>
      <c r="F24" s="9">
        <v>225575377</v>
      </c>
      <c r="G24" s="9">
        <v>303448102</v>
      </c>
      <c r="H24" s="15">
        <f t="shared" si="11"/>
        <v>435605140248</v>
      </c>
      <c r="I24" s="15">
        <f t="shared" si="12"/>
        <v>435527267523</v>
      </c>
      <c r="J24" s="9">
        <v>1279304590</v>
      </c>
      <c r="K24" s="9">
        <v>1408289984</v>
      </c>
      <c r="L24" s="9">
        <v>696560527</v>
      </c>
      <c r="M24" s="9">
        <v>820160995</v>
      </c>
      <c r="N24" s="9">
        <v>681676569</v>
      </c>
      <c r="O24" s="9">
        <f t="shared" si="0"/>
        <v>696560527</v>
      </c>
      <c r="P24" s="9">
        <f t="shared" si="1"/>
        <v>14883958</v>
      </c>
      <c r="Q24" s="9">
        <f t="shared" si="2"/>
        <v>123600468</v>
      </c>
      <c r="R24" s="9">
        <v>511214319</v>
      </c>
      <c r="S24" s="9">
        <v>510624884</v>
      </c>
      <c r="T24" s="17">
        <f>19257320+121082416</f>
        <v>140339736</v>
      </c>
      <c r="U24" s="17">
        <f>25018878+67401940</f>
        <v>92420818</v>
      </c>
      <c r="V24" s="17">
        <f>22907439+104858151</f>
        <v>127765590</v>
      </c>
      <c r="W24" s="17">
        <f>19257320+121082416</f>
        <v>140339736</v>
      </c>
      <c r="X24" s="16">
        <f t="shared" si="13"/>
        <v>12574146</v>
      </c>
      <c r="Y24" s="16">
        <f t="shared" si="14"/>
        <v>-47918918</v>
      </c>
      <c r="Z24" s="20">
        <f t="shared" si="3"/>
        <v>340.50150656303049</v>
      </c>
      <c r="AA24" s="21">
        <f t="shared" si="4"/>
        <v>309.25964998058242</v>
      </c>
      <c r="AB24" s="22">
        <f t="shared" si="5"/>
        <v>7.8167467530152459E-10</v>
      </c>
      <c r="AC24" s="23">
        <f t="shared" si="6"/>
        <v>7.1008102831185086E-10</v>
      </c>
      <c r="AD24" s="24">
        <f t="shared" si="7"/>
        <v>1.1634413036851528E-2</v>
      </c>
      <c r="AE24" s="24">
        <f t="shared" si="8"/>
        <v>8.7766347417266022E-2</v>
      </c>
      <c r="AF24" s="25">
        <f t="shared" si="9"/>
        <v>0.39960328681381502</v>
      </c>
      <c r="AG24" s="25">
        <f t="shared" si="10"/>
        <v>0.36258504271233954</v>
      </c>
      <c r="AH24" s="25">
        <f t="shared" si="15"/>
        <v>1.1634413036851528E-2</v>
      </c>
      <c r="AI24" s="25">
        <f t="shared" si="16"/>
        <v>8.7766347417266022E-2</v>
      </c>
      <c r="AJ24" s="25">
        <f t="shared" si="17"/>
        <v>9.8288914917439643E-3</v>
      </c>
      <c r="AK24" s="25">
        <f t="shared" si="18"/>
        <v>-3.4026314569031262E-2</v>
      </c>
      <c r="AL24" s="25">
        <f t="shared" si="19"/>
        <v>1.8055215451075642E-3</v>
      </c>
      <c r="AM24" s="30">
        <f t="shared" si="20"/>
        <v>0.12179266198629729</v>
      </c>
      <c r="AN24" s="34">
        <v>18163643267.208981</v>
      </c>
      <c r="AO24" s="28">
        <v>27.763583809739931</v>
      </c>
      <c r="AP24" s="28">
        <v>-10.743276218016188</v>
      </c>
      <c r="AQ24" s="32">
        <f t="shared" si="21"/>
        <v>14.198059953188304</v>
      </c>
      <c r="AR24" s="26">
        <f t="shared" si="22"/>
        <v>12.897658489069379</v>
      </c>
      <c r="AS24" s="26">
        <f t="shared" si="23"/>
        <v>0.32301300142575828</v>
      </c>
      <c r="AT24" s="26">
        <f t="shared" si="24"/>
        <v>2.436708342194017</v>
      </c>
      <c r="AU24" s="26">
        <f t="shared" si="25"/>
        <v>-4.2930484878679609</v>
      </c>
      <c r="AV24" s="26">
        <f t="shared" si="26"/>
        <v>-3.8953512663798611</v>
      </c>
      <c r="AW24" s="36">
        <f t="shared" si="27"/>
        <v>10.228024466746103</v>
      </c>
      <c r="AX24" s="36">
        <f t="shared" si="28"/>
        <v>11.439015564883533</v>
      </c>
      <c r="AY24" s="27">
        <v>14.198059953188304</v>
      </c>
      <c r="AZ24" s="27">
        <v>12.897658489069379</v>
      </c>
      <c r="BA24" s="27">
        <f t="shared" si="29"/>
        <v>5.0127748737884989E-2</v>
      </c>
      <c r="BB24" s="27">
        <f t="shared" si="30"/>
        <v>3.3814007784678912</v>
      </c>
      <c r="BC24" s="26">
        <v>-4.2930484878679609</v>
      </c>
      <c r="BD24" s="28">
        <v>-3.8953512663798611</v>
      </c>
      <c r="BE24" s="37">
        <f t="shared" si="31"/>
        <v>9.955139214058228</v>
      </c>
      <c r="BF24" s="37">
        <f t="shared" si="32"/>
        <v>12.383708001157409</v>
      </c>
      <c r="BG24" s="40">
        <f t="shared" si="33"/>
        <v>0.27288525268787467</v>
      </c>
      <c r="BH24" s="40">
        <f t="shared" si="34"/>
        <v>-0.94469243627387556</v>
      </c>
    </row>
    <row r="25" spans="1:60" ht="14.45" customHeight="1" x14ac:dyDescent="0.25">
      <c r="A25" s="4">
        <v>23</v>
      </c>
      <c r="B25" s="2" t="s">
        <v>90</v>
      </c>
      <c r="C25" s="3" t="s">
        <v>91</v>
      </c>
      <c r="D25" s="9">
        <v>1047224017</v>
      </c>
      <c r="E25" s="9">
        <v>2078061088</v>
      </c>
      <c r="F25" s="9">
        <v>10277929859</v>
      </c>
      <c r="G25" s="9">
        <v>-1683537229</v>
      </c>
      <c r="H25" s="15">
        <f t="shared" si="11"/>
        <v>-9230705842</v>
      </c>
      <c r="I25" s="15">
        <f t="shared" si="12"/>
        <v>3761598317</v>
      </c>
      <c r="J25" s="9">
        <v>143904158664</v>
      </c>
      <c r="K25" s="9">
        <v>146610616333</v>
      </c>
      <c r="L25" s="9">
        <v>42370902184</v>
      </c>
      <c r="M25" s="9">
        <v>45700880268</v>
      </c>
      <c r="N25" s="9">
        <v>41376896578</v>
      </c>
      <c r="O25" s="9">
        <f t="shared" si="0"/>
        <v>42370902184</v>
      </c>
      <c r="P25" s="9">
        <f t="shared" si="1"/>
        <v>994005606</v>
      </c>
      <c r="Q25" s="9">
        <f t="shared" si="2"/>
        <v>3329978084</v>
      </c>
      <c r="R25" s="9">
        <v>17044530683</v>
      </c>
      <c r="S25" s="9">
        <v>11382382003</v>
      </c>
      <c r="T25" s="17">
        <v>68387874539</v>
      </c>
      <c r="U25" s="17">
        <v>27578547347</v>
      </c>
      <c r="V25" s="17">
        <v>71708762294</v>
      </c>
      <c r="W25" s="17">
        <v>68387874539</v>
      </c>
      <c r="X25" s="16">
        <f t="shared" si="13"/>
        <v>-3320887755</v>
      </c>
      <c r="Y25" s="16">
        <f t="shared" si="14"/>
        <v>-40809327192</v>
      </c>
      <c r="Z25" s="20">
        <f t="shared" si="3"/>
        <v>-6.4144816436838753E-2</v>
      </c>
      <c r="AA25" s="21">
        <f t="shared" si="4"/>
        <v>2.5657066391810243E-2</v>
      </c>
      <c r="AB25" s="22">
        <f t="shared" si="5"/>
        <v>6.9490695007285184E-12</v>
      </c>
      <c r="AC25" s="23">
        <f t="shared" si="6"/>
        <v>6.8207884600162751E-12</v>
      </c>
      <c r="AD25" s="24">
        <f t="shared" si="7"/>
        <v>6.9074140402077683E-3</v>
      </c>
      <c r="AE25" s="24">
        <f t="shared" si="8"/>
        <v>2.2713076087454306E-2</v>
      </c>
      <c r="AF25" s="25">
        <f t="shared" si="9"/>
        <v>0.11844362832346672</v>
      </c>
      <c r="AG25" s="25">
        <f t="shared" si="10"/>
        <v>7.7636819813559327E-2</v>
      </c>
      <c r="AH25" s="25">
        <f t="shared" si="15"/>
        <v>6.9074140402077683E-3</v>
      </c>
      <c r="AI25" s="25">
        <f t="shared" si="16"/>
        <v>2.2713076087454306E-2</v>
      </c>
      <c r="AJ25" s="25">
        <f t="shared" si="17"/>
        <v>-2.3077079813613302E-2</v>
      </c>
      <c r="AK25" s="25">
        <f t="shared" si="18"/>
        <v>-0.27835178797222199</v>
      </c>
      <c r="AL25" s="25">
        <f t="shared" si="19"/>
        <v>2.998449385382107E-2</v>
      </c>
      <c r="AM25" s="30">
        <f t="shared" si="20"/>
        <v>0.30106486405967631</v>
      </c>
      <c r="AN25" s="34">
        <v>18163643267.208981</v>
      </c>
      <c r="AO25" s="28">
        <v>27.763583809739931</v>
      </c>
      <c r="AP25" s="28">
        <v>-10.743276218016188</v>
      </c>
      <c r="AQ25" s="32">
        <f t="shared" si="21"/>
        <v>0.12622041945027482</v>
      </c>
      <c r="AR25" s="26">
        <f t="shared" si="22"/>
        <v>0.12389036838883133</v>
      </c>
      <c r="AS25" s="26">
        <f t="shared" si="23"/>
        <v>0.19177456861388267</v>
      </c>
      <c r="AT25" s="26">
        <f t="shared" si="24"/>
        <v>0.63059639153103753</v>
      </c>
      <c r="AU25" s="26">
        <f t="shared" si="25"/>
        <v>-1.2724726153430486</v>
      </c>
      <c r="AV25" s="26">
        <f t="shared" si="26"/>
        <v>-0.83407379994541986</v>
      </c>
      <c r="AW25" s="36">
        <f t="shared" si="27"/>
        <v>-0.95447762727889107</v>
      </c>
      <c r="AX25" s="36">
        <f t="shared" si="28"/>
        <v>-7.9587040025551059E-2</v>
      </c>
      <c r="AY25" s="27">
        <v>0.12622041945027482</v>
      </c>
      <c r="AZ25" s="27">
        <v>0.12389036838883133</v>
      </c>
      <c r="BA25" s="27">
        <f t="shared" si="29"/>
        <v>0.83247700810319314</v>
      </c>
      <c r="BB25" s="27">
        <f t="shared" si="30"/>
        <v>8.3586395854887829</v>
      </c>
      <c r="BC25" s="26">
        <v>-1.2724726153430486</v>
      </c>
      <c r="BD25" s="28">
        <v>-0.83407379994541986</v>
      </c>
      <c r="BE25" s="37">
        <f t="shared" si="31"/>
        <v>-0.31377518778958058</v>
      </c>
      <c r="BF25" s="37">
        <f t="shared" si="32"/>
        <v>7.6484561539321945</v>
      </c>
      <c r="BG25" s="40">
        <f t="shared" si="33"/>
        <v>-0.64070243948931049</v>
      </c>
      <c r="BH25" s="40">
        <f t="shared" si="34"/>
        <v>-7.7280431939577454</v>
      </c>
    </row>
    <row r="26" spans="1:60" ht="14.45" customHeight="1" x14ac:dyDescent="0.25">
      <c r="A26" s="2">
        <v>24</v>
      </c>
      <c r="B26" s="4" t="s">
        <v>92</v>
      </c>
      <c r="C26" s="3" t="s">
        <v>93</v>
      </c>
      <c r="D26" s="9">
        <v>77752839</v>
      </c>
      <c r="E26" s="9">
        <v>89855831</v>
      </c>
      <c r="F26" s="9">
        <v>111771296</v>
      </c>
      <c r="G26" s="9">
        <v>138968170</v>
      </c>
      <c r="H26" s="15">
        <f t="shared" si="11"/>
        <v>-34018457</v>
      </c>
      <c r="I26" s="15">
        <f t="shared" si="12"/>
        <v>-49112339</v>
      </c>
      <c r="J26" s="9">
        <v>740433237</v>
      </c>
      <c r="K26" s="9">
        <v>827628586</v>
      </c>
      <c r="L26" s="9">
        <v>143056438</v>
      </c>
      <c r="M26" s="9">
        <v>164920511</v>
      </c>
      <c r="N26" s="9">
        <v>115935417</v>
      </c>
      <c r="O26" s="9">
        <f t="shared" si="0"/>
        <v>143056438</v>
      </c>
      <c r="P26" s="9">
        <f t="shared" si="1"/>
        <v>27121021</v>
      </c>
      <c r="Q26" s="9">
        <f t="shared" si="2"/>
        <v>21864073</v>
      </c>
      <c r="R26" s="9">
        <v>723989944</v>
      </c>
      <c r="S26" s="9">
        <v>863949609</v>
      </c>
      <c r="T26" s="17">
        <v>15613750</v>
      </c>
      <c r="U26" s="17">
        <v>18296712</v>
      </c>
      <c r="V26" s="17">
        <v>9989134</v>
      </c>
      <c r="W26" s="17">
        <v>15613750</v>
      </c>
      <c r="X26" s="16">
        <f t="shared" si="13"/>
        <v>5624616</v>
      </c>
      <c r="Y26" s="16">
        <f t="shared" si="14"/>
        <v>2682962</v>
      </c>
      <c r="Z26" s="20">
        <f t="shared" si="3"/>
        <v>-4.5943989680733363E-2</v>
      </c>
      <c r="AA26" s="21">
        <f t="shared" si="4"/>
        <v>-5.9341037550870675E-2</v>
      </c>
      <c r="AB26" s="22">
        <f t="shared" si="5"/>
        <v>1.3505606583136138E-9</v>
      </c>
      <c r="AC26" s="23">
        <f t="shared" si="6"/>
        <v>1.2082714600677168E-9</v>
      </c>
      <c r="AD26" s="24">
        <f t="shared" si="7"/>
        <v>3.6628583975897341E-2</v>
      </c>
      <c r="AE26" s="24">
        <f t="shared" si="8"/>
        <v>2.6417735406737149E-2</v>
      </c>
      <c r="AF26" s="25">
        <f t="shared" si="9"/>
        <v>0.97779233538107635</v>
      </c>
      <c r="AG26" s="25">
        <f t="shared" si="10"/>
        <v>1.0438856554913631</v>
      </c>
      <c r="AH26" s="25">
        <f t="shared" si="15"/>
        <v>3.6628583975897341E-2</v>
      </c>
      <c r="AI26" s="25">
        <f t="shared" si="16"/>
        <v>2.6417735406737149E-2</v>
      </c>
      <c r="AJ26" s="25">
        <f t="shared" si="17"/>
        <v>7.5963850877212849E-3</v>
      </c>
      <c r="AK26" s="25">
        <f t="shared" si="18"/>
        <v>3.2417464130462021E-3</v>
      </c>
      <c r="AL26" s="25">
        <f t="shared" si="19"/>
        <v>2.9032198888176056E-2</v>
      </c>
      <c r="AM26" s="30">
        <f t="shared" si="20"/>
        <v>2.3175988993690947E-2</v>
      </c>
      <c r="AN26" s="34">
        <v>18163643267.208981</v>
      </c>
      <c r="AO26" s="28">
        <v>27.763583809739931</v>
      </c>
      <c r="AP26" s="28">
        <v>-10.743276218016188</v>
      </c>
      <c r="AQ26" s="32">
        <f t="shared" si="21"/>
        <v>24.531102008335399</v>
      </c>
      <c r="AR26" s="26">
        <f t="shared" si="22"/>
        <v>21.94661177061975</v>
      </c>
      <c r="AS26" s="26">
        <f t="shared" si="23"/>
        <v>1.016940761046923</v>
      </c>
      <c r="AT26" s="26">
        <f t="shared" si="24"/>
        <v>0.73345101102848087</v>
      </c>
      <c r="AU26" s="26">
        <f t="shared" si="25"/>
        <v>-10.504693142858025</v>
      </c>
      <c r="AV26" s="26">
        <f t="shared" si="26"/>
        <v>-11.214751936968602</v>
      </c>
      <c r="AW26" s="36">
        <f t="shared" si="27"/>
        <v>15.043349626524295</v>
      </c>
      <c r="AX26" s="36">
        <f t="shared" si="28"/>
        <v>11.46531084467963</v>
      </c>
      <c r="AY26" s="27">
        <v>24.531102008335399</v>
      </c>
      <c r="AZ26" s="27">
        <v>21.94661177061975</v>
      </c>
      <c r="BA26" s="27">
        <f t="shared" si="29"/>
        <v>0.80603788701291434</v>
      </c>
      <c r="BB26" s="27">
        <f t="shared" si="30"/>
        <v>0.64344851279994886</v>
      </c>
      <c r="BC26" s="26">
        <v>-10.504693142858025</v>
      </c>
      <c r="BD26" s="28">
        <v>-11.214751936968602</v>
      </c>
      <c r="BE26" s="37">
        <f t="shared" si="31"/>
        <v>14.832446752490286</v>
      </c>
      <c r="BF26" s="37">
        <f t="shared" si="32"/>
        <v>11.375308346451098</v>
      </c>
      <c r="BG26" s="40">
        <f t="shared" si="33"/>
        <v>0.21090287403400865</v>
      </c>
      <c r="BH26" s="40">
        <f t="shared" si="34"/>
        <v>9.0002498228532346E-2</v>
      </c>
    </row>
    <row r="27" spans="1:60" ht="14.45" customHeight="1" x14ac:dyDescent="0.25">
      <c r="A27" s="4">
        <v>25</v>
      </c>
      <c r="B27" s="2" t="s">
        <v>102</v>
      </c>
      <c r="C27" s="3" t="s">
        <v>103</v>
      </c>
      <c r="D27" s="9">
        <v>31041539323</v>
      </c>
      <c r="E27" s="9">
        <v>52047642440</v>
      </c>
      <c r="F27" s="9">
        <v>25247654725</v>
      </c>
      <c r="G27" s="9">
        <v>102796364713</v>
      </c>
      <c r="H27" s="15">
        <f t="shared" si="11"/>
        <v>5793884598</v>
      </c>
      <c r="I27" s="15">
        <f t="shared" si="12"/>
        <v>-50748722273</v>
      </c>
      <c r="J27" s="9">
        <v>153907143935</v>
      </c>
      <c r="K27" s="9">
        <v>435830715625</v>
      </c>
      <c r="L27" s="9">
        <v>187886276093</v>
      </c>
      <c r="M27" s="9">
        <v>301396833220</v>
      </c>
      <c r="N27" s="9">
        <v>182181039109</v>
      </c>
      <c r="O27" s="9">
        <f t="shared" si="0"/>
        <v>187886276093</v>
      </c>
      <c r="P27" s="9">
        <f t="shared" si="1"/>
        <v>5705236984</v>
      </c>
      <c r="Q27" s="9">
        <f t="shared" si="2"/>
        <v>113510557127</v>
      </c>
      <c r="R27" s="9">
        <v>200306914779</v>
      </c>
      <c r="S27" s="9">
        <v>240794005515</v>
      </c>
      <c r="T27" s="17">
        <v>135502597925</v>
      </c>
      <c r="U27" s="17">
        <v>193843797058</v>
      </c>
      <c r="V27" s="17">
        <v>135702329412</v>
      </c>
      <c r="W27" s="17">
        <v>135502597925</v>
      </c>
      <c r="X27" s="16">
        <f t="shared" si="13"/>
        <v>-199731487</v>
      </c>
      <c r="Y27" s="16">
        <f t="shared" si="14"/>
        <v>58341199133</v>
      </c>
      <c r="Z27" s="20">
        <f t="shared" si="3"/>
        <v>3.7645325940470611E-2</v>
      </c>
      <c r="AA27" s="21">
        <f t="shared" si="4"/>
        <v>-0.1164413623308402</v>
      </c>
      <c r="AB27" s="22">
        <f t="shared" si="5"/>
        <v>6.4974241898890188E-12</v>
      </c>
      <c r="AC27" s="23">
        <f t="shared" si="6"/>
        <v>2.2944688479928658E-12</v>
      </c>
      <c r="AD27" s="24">
        <f t="shared" si="7"/>
        <v>3.7069344788891068E-2</v>
      </c>
      <c r="AE27" s="24">
        <f t="shared" si="8"/>
        <v>0.26044643724621608</v>
      </c>
      <c r="AF27" s="25">
        <f t="shared" si="9"/>
        <v>1.3014789934871127</v>
      </c>
      <c r="AG27" s="25">
        <f t="shared" si="10"/>
        <v>0.55249434443758982</v>
      </c>
      <c r="AH27" s="25">
        <f t="shared" si="15"/>
        <v>3.7069344788891068E-2</v>
      </c>
      <c r="AI27" s="25">
        <f t="shared" si="16"/>
        <v>0.26044643724621608</v>
      </c>
      <c r="AJ27" s="25">
        <f t="shared" si="17"/>
        <v>-1.2977401951163041E-3</v>
      </c>
      <c r="AK27" s="25">
        <f t="shared" si="18"/>
        <v>0.13386206396521688</v>
      </c>
      <c r="AL27" s="25">
        <f t="shared" si="19"/>
        <v>3.8367084984007371E-2</v>
      </c>
      <c r="AM27" s="30">
        <f t="shared" si="20"/>
        <v>0.1265843732809992</v>
      </c>
      <c r="AN27" s="34">
        <v>18163643267.208981</v>
      </c>
      <c r="AO27" s="28">
        <v>27.763583809739931</v>
      </c>
      <c r="AP27" s="28">
        <v>-10.743276218016188</v>
      </c>
      <c r="AQ27" s="32">
        <f t="shared" si="21"/>
        <v>0.11801689514087844</v>
      </c>
      <c r="AR27" s="26">
        <f t="shared" si="22"/>
        <v>4.167591364266636E-2</v>
      </c>
      <c r="AS27" s="26">
        <f t="shared" si="23"/>
        <v>1.0291778608185234</v>
      </c>
      <c r="AT27" s="26">
        <f t="shared" si="24"/>
        <v>7.2309264884334912</v>
      </c>
      <c r="AU27" s="26">
        <f t="shared" si="25"/>
        <v>-13.982148318977742</v>
      </c>
      <c r="AV27" s="26">
        <f t="shared" si="26"/>
        <v>-5.9355993511848029</v>
      </c>
      <c r="AW27" s="36">
        <f t="shared" si="27"/>
        <v>-12.83495356301834</v>
      </c>
      <c r="AX27" s="36">
        <f t="shared" si="28"/>
        <v>1.3370030508913544</v>
      </c>
      <c r="AY27" s="27">
        <v>0.11801689514087844</v>
      </c>
      <c r="AZ27" s="27">
        <v>4.167591364266636E-2</v>
      </c>
      <c r="BA27" s="27">
        <f t="shared" si="29"/>
        <v>1.065207779488903</v>
      </c>
      <c r="BB27" s="27">
        <f t="shared" si="30"/>
        <v>3.514435856590425</v>
      </c>
      <c r="BC27" s="26">
        <v>-13.982148318977742</v>
      </c>
      <c r="BD27" s="28">
        <v>-5.9355993511848029</v>
      </c>
      <c r="BE27" s="37">
        <f t="shared" si="31"/>
        <v>-12.798923644347962</v>
      </c>
      <c r="BF27" s="37">
        <f t="shared" si="32"/>
        <v>-2.3794875809517113</v>
      </c>
      <c r="BG27" s="40">
        <f t="shared" si="33"/>
        <v>-3.602991867037808E-2</v>
      </c>
      <c r="BH27" s="40">
        <f t="shared" si="34"/>
        <v>3.7164906318430657</v>
      </c>
    </row>
    <row r="28" spans="1:60" ht="14.45" customHeight="1" x14ac:dyDescent="0.25">
      <c r="A28" s="4">
        <v>26</v>
      </c>
      <c r="B28" s="4" t="s">
        <v>108</v>
      </c>
      <c r="C28" s="3" t="s">
        <v>109</v>
      </c>
      <c r="D28" s="9">
        <v>2969670249</v>
      </c>
      <c r="E28" s="9">
        <v>3013975529</v>
      </c>
      <c r="F28" s="9">
        <v>-55595396212</v>
      </c>
      <c r="G28" s="9">
        <v>-56302566366</v>
      </c>
      <c r="H28" s="15">
        <f t="shared" si="11"/>
        <v>58565066461</v>
      </c>
      <c r="I28" s="15">
        <f t="shared" si="12"/>
        <v>59316541895</v>
      </c>
      <c r="J28" s="9">
        <v>153907143935</v>
      </c>
      <c r="K28" s="9">
        <v>231306809701</v>
      </c>
      <c r="L28" s="9">
        <v>48709779263</v>
      </c>
      <c r="M28" s="9">
        <v>244241654678</v>
      </c>
      <c r="N28" s="9">
        <v>121262715612</v>
      </c>
      <c r="O28" s="9">
        <f t="shared" si="0"/>
        <v>48709779263</v>
      </c>
      <c r="P28" s="9">
        <f t="shared" si="1"/>
        <v>-72552936349</v>
      </c>
      <c r="Q28" s="9">
        <f t="shared" si="2"/>
        <v>195531875415</v>
      </c>
      <c r="R28" s="9">
        <v>3007980860</v>
      </c>
      <c r="S28" s="9">
        <v>4963412825</v>
      </c>
      <c r="T28" s="17">
        <v>66943598452</v>
      </c>
      <c r="U28" s="17">
        <v>46136538613</v>
      </c>
      <c r="V28" s="17">
        <v>33745210943</v>
      </c>
      <c r="W28" s="17">
        <v>66943598452</v>
      </c>
      <c r="X28" s="16">
        <f t="shared" si="13"/>
        <v>33198387509</v>
      </c>
      <c r="Y28" s="16">
        <f t="shared" si="14"/>
        <v>-20807059839</v>
      </c>
      <c r="Z28" s="20">
        <f t="shared" si="3"/>
        <v>0.38052207950615946</v>
      </c>
      <c r="AA28" s="21">
        <f t="shared" si="4"/>
        <v>0.25644096674748074</v>
      </c>
      <c r="AB28" s="22">
        <f t="shared" si="5"/>
        <v>6.4974241898890188E-12</v>
      </c>
      <c r="AC28" s="23">
        <f t="shared" si="6"/>
        <v>4.323262256276222E-12</v>
      </c>
      <c r="AD28" s="24">
        <f t="shared" si="7"/>
        <v>-0.47140720368147088</v>
      </c>
      <c r="AE28" s="24">
        <f t="shared" si="8"/>
        <v>0.84533557688057404</v>
      </c>
      <c r="AF28" s="25">
        <f t="shared" si="9"/>
        <v>1.9544127602487173E-2</v>
      </c>
      <c r="AG28" s="25">
        <f t="shared" si="10"/>
        <v>2.1458135328639837E-2</v>
      </c>
      <c r="AH28" s="25">
        <f t="shared" si="15"/>
        <v>-0.47140720368147088</v>
      </c>
      <c r="AI28" s="25">
        <f t="shared" si="16"/>
        <v>0.84533557688057404</v>
      </c>
      <c r="AJ28" s="25">
        <f t="shared" si="17"/>
        <v>0.21570400606628604</v>
      </c>
      <c r="AK28" s="25">
        <f t="shared" si="18"/>
        <v>-8.9954376466029509E-2</v>
      </c>
      <c r="AL28" s="25">
        <f t="shared" si="19"/>
        <v>-0.68711120974775697</v>
      </c>
      <c r="AM28" s="30">
        <f t="shared" si="20"/>
        <v>0.93528995334660359</v>
      </c>
      <c r="AN28" s="34">
        <v>18163643267.208981</v>
      </c>
      <c r="AO28" s="28">
        <v>27.763583809739931</v>
      </c>
      <c r="AP28" s="28">
        <v>-10.743276218016188</v>
      </c>
      <c r="AQ28" s="32">
        <f t="shared" si="21"/>
        <v>0.11801689514087844</v>
      </c>
      <c r="AR28" s="26">
        <f t="shared" si="22"/>
        <v>7.8526193373590306E-2</v>
      </c>
      <c r="AS28" s="26">
        <f t="shared" si="23"/>
        <v>-13.087953407925658</v>
      </c>
      <c r="AT28" s="26">
        <f t="shared" si="24"/>
        <v>23.469545136078668</v>
      </c>
      <c r="AU28" s="26">
        <f t="shared" si="25"/>
        <v>-0.20996796127367418</v>
      </c>
      <c r="AV28" s="26">
        <f t="shared" si="26"/>
        <v>-0.23053067495914933</v>
      </c>
      <c r="AW28" s="36">
        <f t="shared" si="27"/>
        <v>-13.179904474058455</v>
      </c>
      <c r="AX28" s="36">
        <f t="shared" si="28"/>
        <v>23.317540654493111</v>
      </c>
      <c r="AY28" s="27">
        <v>0.11801689514087844</v>
      </c>
      <c r="AZ28" s="27">
        <v>7.8526193373590306E-2</v>
      </c>
      <c r="BA28" s="27">
        <f t="shared" si="29"/>
        <v>-19.076669658443642</v>
      </c>
      <c r="BB28" s="27">
        <f t="shared" si="30"/>
        <v>25.96700100614618</v>
      </c>
      <c r="BC28" s="26">
        <v>-0.20996796127367418</v>
      </c>
      <c r="BD28" s="28">
        <v>-0.23053067495914933</v>
      </c>
      <c r="BE28" s="37">
        <f t="shared" si="31"/>
        <v>-19.168620724576435</v>
      </c>
      <c r="BF28" s="37">
        <f t="shared" si="32"/>
        <v>25.814996524560623</v>
      </c>
      <c r="BG28" s="40">
        <f t="shared" si="33"/>
        <v>5.9887162505179798</v>
      </c>
      <c r="BH28" s="40">
        <f t="shared" si="34"/>
        <v>-2.4974558700675118</v>
      </c>
    </row>
    <row r="29" spans="1:60" ht="14.45" customHeight="1" x14ac:dyDescent="0.25">
      <c r="A29" s="2">
        <v>27</v>
      </c>
      <c r="B29" s="2" t="s">
        <v>110</v>
      </c>
      <c r="C29" s="3" t="s">
        <v>111</v>
      </c>
      <c r="D29" s="9">
        <v>68679397658</v>
      </c>
      <c r="E29" s="9">
        <v>114730739171</v>
      </c>
      <c r="F29" s="9">
        <v>36197180075</v>
      </c>
      <c r="G29" s="9">
        <v>109560945995</v>
      </c>
      <c r="H29" s="15">
        <f t="shared" si="11"/>
        <v>32482217583</v>
      </c>
      <c r="I29" s="15">
        <f t="shared" si="12"/>
        <v>5169793176</v>
      </c>
      <c r="J29" s="9">
        <v>929368383862</v>
      </c>
      <c r="K29" s="9">
        <v>1004588702470</v>
      </c>
      <c r="L29" s="9">
        <v>297265270291</v>
      </c>
      <c r="M29" s="9">
        <v>448905913317</v>
      </c>
      <c r="N29" s="9">
        <v>446553899709</v>
      </c>
      <c r="O29" s="9">
        <f t="shared" si="0"/>
        <v>297265270291</v>
      </c>
      <c r="P29" s="9">
        <f t="shared" si="1"/>
        <v>-149288629418</v>
      </c>
      <c r="Q29" s="9">
        <f t="shared" si="2"/>
        <v>151640643026</v>
      </c>
      <c r="R29" s="9">
        <v>64283481916</v>
      </c>
      <c r="S29" s="9">
        <v>165755457277</v>
      </c>
      <c r="T29" s="17">
        <f>59374180700+30174233641</f>
        <v>89548414341</v>
      </c>
      <c r="U29" s="17">
        <f>29813979310+3786827299</f>
        <v>33600806609</v>
      </c>
      <c r="V29" s="17">
        <f>21516106599+29122175716</f>
        <v>50638282315</v>
      </c>
      <c r="W29" s="17">
        <f>59374180700+30174233641</f>
        <v>89548414341</v>
      </c>
      <c r="X29" s="16">
        <f t="shared" si="13"/>
        <v>38910132026</v>
      </c>
      <c r="Y29" s="16">
        <f t="shared" si="14"/>
        <v>-55947607732</v>
      </c>
      <c r="Z29" s="20">
        <f t="shared" si="3"/>
        <v>3.4950852801791908E-2</v>
      </c>
      <c r="AA29" s="21">
        <f t="shared" si="4"/>
        <v>5.1461788922062711E-3</v>
      </c>
      <c r="AB29" s="22">
        <f t="shared" si="5"/>
        <v>1.0759995900059453E-12</v>
      </c>
      <c r="AC29" s="23">
        <f t="shared" si="6"/>
        <v>9.9543225754110355E-13</v>
      </c>
      <c r="AD29" s="24">
        <f t="shared" si="7"/>
        <v>-0.16063450404631752</v>
      </c>
      <c r="AE29" s="24">
        <f t="shared" si="8"/>
        <v>0.15094798762235576</v>
      </c>
      <c r="AF29" s="25">
        <f t="shared" si="9"/>
        <v>6.9169000185770602E-2</v>
      </c>
      <c r="AG29" s="25">
        <f t="shared" si="10"/>
        <v>0.16499832903700204</v>
      </c>
      <c r="AH29" s="25">
        <f t="shared" si="15"/>
        <v>-0.16063450404631752</v>
      </c>
      <c r="AI29" s="25">
        <f>Q29/K29</f>
        <v>0.15094798762235576</v>
      </c>
      <c r="AJ29" s="25">
        <f t="shared" si="17"/>
        <v>4.1867286107053203E-2</v>
      </c>
      <c r="AK29" s="25">
        <f t="shared" si="18"/>
        <v>-5.5692053468688857E-2</v>
      </c>
      <c r="AL29" s="25">
        <f t="shared" si="19"/>
        <v>-0.20250179015337072</v>
      </c>
      <c r="AM29" s="30">
        <f t="shared" si="20"/>
        <v>0.20664004109104461</v>
      </c>
      <c r="AN29" s="34">
        <v>18163643267.208981</v>
      </c>
      <c r="AO29" s="28">
        <v>27.763583809739931</v>
      </c>
      <c r="AP29" s="28">
        <v>-10.743276218016188</v>
      </c>
      <c r="AQ29" s="32">
        <f t="shared" si="21"/>
        <v>1.9544072708531111E-2</v>
      </c>
      <c r="AR29" s="26">
        <f t="shared" si="22"/>
        <v>1.80806764226491E-2</v>
      </c>
      <c r="AS29" s="26">
        <f t="shared" si="23"/>
        <v>-4.4597895158259444</v>
      </c>
      <c r="AT29" s="26">
        <f t="shared" si="24"/>
        <v>4.1908571052648593</v>
      </c>
      <c r="AU29" s="26">
        <f t="shared" si="25"/>
        <v>-0.74310167471974664</v>
      </c>
      <c r="AV29" s="26">
        <f t="shared" si="26"/>
        <v>-1.7726226243556338</v>
      </c>
      <c r="AW29" s="36">
        <f t="shared" si="27"/>
        <v>-5.18334711783716</v>
      </c>
      <c r="AX29" s="36">
        <f t="shared" si="28"/>
        <v>2.4363151573318742</v>
      </c>
      <c r="AY29" s="27">
        <v>1.9544072708531111E-2</v>
      </c>
      <c r="AZ29" s="27">
        <v>1.80806764226491E-2</v>
      </c>
      <c r="BA29" s="27">
        <f t="shared" si="29"/>
        <v>-5.6221754225454763</v>
      </c>
      <c r="BB29" s="27">
        <f t="shared" si="30"/>
        <v>5.7370680992793206</v>
      </c>
      <c r="BC29" s="26">
        <v>-0.74310167471974664</v>
      </c>
      <c r="BD29" s="28">
        <v>-1.7726226243556338</v>
      </c>
      <c r="BE29" s="37">
        <f t="shared" si="31"/>
        <v>-6.3457330245566919</v>
      </c>
      <c r="BF29" s="37">
        <f t="shared" si="32"/>
        <v>3.9825261513463355</v>
      </c>
      <c r="BG29" s="40">
        <f t="shared" si="33"/>
        <v>1.1623859067195319</v>
      </c>
      <c r="BH29" s="40">
        <f t="shared" si="34"/>
        <v>-1.5462109940144613</v>
      </c>
    </row>
  </sheetData>
  <mergeCells count="33">
    <mergeCell ref="A1:A2"/>
    <mergeCell ref="B1:B2"/>
    <mergeCell ref="C1:C2"/>
    <mergeCell ref="J1:K1"/>
    <mergeCell ref="AD1:AE1"/>
    <mergeCell ref="AB1:AC1"/>
    <mergeCell ref="L1:M1"/>
    <mergeCell ref="N1:O1"/>
    <mergeCell ref="P1:Q1"/>
    <mergeCell ref="D1:E1"/>
    <mergeCell ref="F1:G1"/>
    <mergeCell ref="H1:I1"/>
    <mergeCell ref="Z1:AA1"/>
    <mergeCell ref="BG1:BH1"/>
    <mergeCell ref="R1:S1"/>
    <mergeCell ref="AF1:AG1"/>
    <mergeCell ref="AW1:AX1"/>
    <mergeCell ref="AY1:AZ1"/>
    <mergeCell ref="T1:U1"/>
    <mergeCell ref="V1:W1"/>
    <mergeCell ref="X1:Y1"/>
    <mergeCell ref="AH1:AI1"/>
    <mergeCell ref="AJ1:AK1"/>
    <mergeCell ref="AL1:AM1"/>
    <mergeCell ref="AN1:AN2"/>
    <mergeCell ref="AO1:AO2"/>
    <mergeCell ref="BA1:BB1"/>
    <mergeCell ref="BC1:BD1"/>
    <mergeCell ref="AP1:AP2"/>
    <mergeCell ref="AQ1:AR1"/>
    <mergeCell ref="AS1:AT1"/>
    <mergeCell ref="AU1:AV1"/>
    <mergeCell ref="BE1:B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Daftar perusahaan</vt:lpstr>
      <vt:lpstr>Tabulasi</vt:lpstr>
      <vt:lpstr>Perencanaan Pajak</vt:lpstr>
      <vt:lpstr>Profitabilitas</vt:lpstr>
      <vt:lpstr>Perubahan Tarif Pajak </vt:lpstr>
      <vt:lpstr>Manajemen Laba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REDMIBOOK</dc:creator>
  <cp:lastModifiedBy>User</cp:lastModifiedBy>
  <dcterms:created xsi:type="dcterms:W3CDTF">2023-01-24T02:46:27Z</dcterms:created>
  <dcterms:modified xsi:type="dcterms:W3CDTF">2023-03-26T17:31:22Z</dcterms:modified>
</cp:coreProperties>
</file>