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book/Downloads/skripsi/sidang/"/>
    </mc:Choice>
  </mc:AlternateContent>
  <xr:revisionPtr revIDLastSave="0" documentId="13_ncr:1_{4FF0BFAE-F143-1D46-84C7-F8871125FB3A}" xr6:coauthVersionLast="47" xr6:coauthVersionMax="47" xr10:uidLastSave="{00000000-0000-0000-0000-000000000000}"/>
  <bookViews>
    <workbookView xWindow="0" yWindow="0" windowWidth="27320" windowHeight="15360" activeTab="4" xr2:uid="{FEE4ABE0-A47F-314C-ADFE-D4D7509D61B7}"/>
  </bookViews>
  <sheets>
    <sheet name="pengeluaran" sheetId="1" state="hidden" r:id="rId1"/>
    <sheet name="done list" sheetId="13" state="hidden" r:id="rId2"/>
    <sheet name="data mentah" sheetId="14" state="hidden" r:id="rId3"/>
    <sheet name="uji kadar air" sheetId="2" r:id="rId4"/>
    <sheet name="uji abu" sheetId="12" r:id="rId5"/>
    <sheet name="uji vitamin c" sheetId="4" r:id="rId6"/>
    <sheet name="uji warna" sheetId="6" r:id="rId7"/>
    <sheet name="uji tekstur" sheetId="5" r:id="rId8"/>
    <sheet name="kurva standar" sheetId="15" r:id="rId9"/>
    <sheet name="uji gula total" sheetId="3" r:id="rId10"/>
    <sheet name="uji orlep (warna)" sheetId="10" r:id="rId11"/>
    <sheet name="uji orlep (rasa)" sheetId="9" r:id="rId12"/>
    <sheet name="uji orlep (aroma)" sheetId="8" r:id="rId13"/>
    <sheet name="uji orlep (tekstur)" sheetId="7" r:id="rId14"/>
    <sheet name="perlakuan terbaik sidang" sheetId="16" r:id="rId15"/>
    <sheet name="Sheet1" sheetId="18" r:id="rId16"/>
    <sheet name="perlakuan terbaik orlep LoA" sheetId="17" r:id="rId17"/>
  </sheets>
  <definedNames>
    <definedName name="_xlnm._FilterDatabase" localSheetId="10" hidden="1">'uji orlep (warna)'!$X$44:$Y$53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8" i="12" l="1"/>
  <c r="K11" i="2"/>
  <c r="J8" i="2"/>
  <c r="J7" i="2"/>
  <c r="J6" i="2"/>
  <c r="K28" i="12"/>
  <c r="R25" i="6"/>
  <c r="R24" i="6"/>
  <c r="R23" i="6"/>
  <c r="R21" i="6"/>
  <c r="R20" i="6"/>
  <c r="R19" i="6"/>
  <c r="O12" i="3"/>
  <c r="O11" i="3"/>
  <c r="O10" i="3"/>
  <c r="O8" i="3"/>
  <c r="O7" i="3"/>
  <c r="O6" i="3"/>
  <c r="K30" i="12"/>
  <c r="K29" i="12"/>
  <c r="J7" i="4"/>
  <c r="J2" i="2"/>
  <c r="L13" i="3"/>
  <c r="L12" i="3"/>
  <c r="L10" i="3"/>
  <c r="U4" i="3"/>
  <c r="T4" i="3"/>
  <c r="T19" i="3" s="1"/>
  <c r="S4" i="3"/>
  <c r="S5" i="3"/>
  <c r="T5" i="3"/>
  <c r="T20" i="3" s="1"/>
  <c r="U5" i="3"/>
  <c r="U20" i="3" s="1"/>
  <c r="S6" i="3"/>
  <c r="T6" i="3"/>
  <c r="T21" i="3" s="1"/>
  <c r="U6" i="3"/>
  <c r="U21" i="3" s="1"/>
  <c r="U7" i="3"/>
  <c r="U22" i="3" s="1"/>
  <c r="S7" i="3"/>
  <c r="T7" i="3"/>
  <c r="T22" i="3" s="1"/>
  <c r="S22" i="3"/>
  <c r="X16" i="3"/>
  <c r="S23" i="3"/>
  <c r="T23" i="3"/>
  <c r="U23" i="3"/>
  <c r="S8" i="3"/>
  <c r="T8" i="3"/>
  <c r="U8" i="3"/>
  <c r="S9" i="3"/>
  <c r="S24" i="3" s="1"/>
  <c r="T9" i="3"/>
  <c r="T24" i="3" s="1"/>
  <c r="U9" i="3"/>
  <c r="U24" i="3"/>
  <c r="T10" i="3"/>
  <c r="T25" i="3" s="1"/>
  <c r="S25" i="3"/>
  <c r="U25" i="3"/>
  <c r="S10" i="3"/>
  <c r="U10" i="3"/>
  <c r="U26" i="3"/>
  <c r="T26" i="3"/>
  <c r="S26" i="3"/>
  <c r="S11" i="3"/>
  <c r="T11" i="3"/>
  <c r="U11" i="3"/>
  <c r="S12" i="3"/>
  <c r="T12" i="3"/>
  <c r="T27" i="3" s="1"/>
  <c r="U12" i="3"/>
  <c r="U27" i="3" s="1"/>
  <c r="S27" i="3"/>
  <c r="U19" i="3"/>
  <c r="S21" i="3"/>
  <c r="S20" i="3"/>
  <c r="S19" i="3" l="1"/>
  <c r="W10" i="3" l="1"/>
  <c r="V10" i="3"/>
  <c r="T38" i="3"/>
  <c r="B33" i="18"/>
  <c r="P17" i="18"/>
  <c r="L27" i="18"/>
  <c r="K27" i="18"/>
  <c r="M27" i="18" s="1"/>
  <c r="L26" i="18"/>
  <c r="K26" i="18"/>
  <c r="M26" i="18" s="1"/>
  <c r="M25" i="18"/>
  <c r="L25" i="18"/>
  <c r="S40" i="18" s="1"/>
  <c r="K25" i="18"/>
  <c r="L24" i="18"/>
  <c r="K24" i="18"/>
  <c r="L23" i="18"/>
  <c r="K23" i="18"/>
  <c r="M23" i="18" s="1"/>
  <c r="L22" i="18"/>
  <c r="Q37" i="18" s="1"/>
  <c r="K22" i="18"/>
  <c r="M22" i="18" s="1"/>
  <c r="M21" i="18"/>
  <c r="L21" i="18"/>
  <c r="S36" i="18" s="1"/>
  <c r="K21" i="18"/>
  <c r="L20" i="18"/>
  <c r="K20" i="18"/>
  <c r="L19" i="18"/>
  <c r="K19" i="18"/>
  <c r="M19" i="18" s="1"/>
  <c r="L18" i="18"/>
  <c r="K18" i="18"/>
  <c r="M18" i="18" s="1"/>
  <c r="AE13" i="18"/>
  <c r="AD13" i="18"/>
  <c r="AC13" i="18"/>
  <c r="AB13" i="18"/>
  <c r="AA13" i="18"/>
  <c r="Z13" i="18"/>
  <c r="Y13" i="18"/>
  <c r="X13" i="18"/>
  <c r="W13" i="18"/>
  <c r="V13" i="18"/>
  <c r="U13" i="18"/>
  <c r="T13" i="18"/>
  <c r="S13" i="18"/>
  <c r="R13" i="18"/>
  <c r="Q13" i="18"/>
  <c r="P13" i="18"/>
  <c r="O13" i="18"/>
  <c r="N13" i="18"/>
  <c r="M13" i="18"/>
  <c r="L13" i="18"/>
  <c r="K13" i="18"/>
  <c r="J13" i="18"/>
  <c r="I13" i="18"/>
  <c r="H13" i="18"/>
  <c r="G13" i="18"/>
  <c r="F13" i="18"/>
  <c r="E13" i="18"/>
  <c r="D13" i="18"/>
  <c r="C13" i="18"/>
  <c r="B13" i="18"/>
  <c r="AF12" i="18"/>
  <c r="AF11" i="18"/>
  <c r="AF10" i="18"/>
  <c r="AF9" i="18"/>
  <c r="AF8" i="18"/>
  <c r="AF7" i="18"/>
  <c r="AF6" i="18"/>
  <c r="AF5" i="18"/>
  <c r="AF4" i="18"/>
  <c r="AF3" i="18"/>
  <c r="L15" i="17"/>
  <c r="K15" i="17"/>
  <c r="L14" i="17"/>
  <c r="K14" i="17"/>
  <c r="M14" i="17" s="1"/>
  <c r="L13" i="17"/>
  <c r="K13" i="17"/>
  <c r="L12" i="17"/>
  <c r="K12" i="17"/>
  <c r="M12" i="17" s="1"/>
  <c r="G21" i="17" s="1"/>
  <c r="AE7" i="17"/>
  <c r="AD7" i="17"/>
  <c r="AC7" i="17"/>
  <c r="AB7" i="17"/>
  <c r="AA7" i="17"/>
  <c r="Z7" i="17"/>
  <c r="Y7" i="17"/>
  <c r="X7" i="17"/>
  <c r="W7" i="17"/>
  <c r="V7" i="17"/>
  <c r="U7" i="17"/>
  <c r="T7" i="17"/>
  <c r="S7" i="17"/>
  <c r="R7" i="17"/>
  <c r="Q7" i="17"/>
  <c r="P7" i="17"/>
  <c r="O7" i="17"/>
  <c r="N7" i="17"/>
  <c r="M7" i="17"/>
  <c r="L7" i="17"/>
  <c r="K7" i="17"/>
  <c r="J7" i="17"/>
  <c r="I7" i="17"/>
  <c r="H7" i="17"/>
  <c r="G7" i="17"/>
  <c r="F7" i="17"/>
  <c r="E7" i="17"/>
  <c r="D7" i="17"/>
  <c r="C7" i="17"/>
  <c r="B7" i="17"/>
  <c r="AF6" i="17"/>
  <c r="AF5" i="17"/>
  <c r="AF4" i="17"/>
  <c r="AF3" i="17"/>
  <c r="AF7" i="17" s="1"/>
  <c r="S42" i="16"/>
  <c r="T42" i="16" s="1"/>
  <c r="Q42" i="16"/>
  <c r="O42" i="16"/>
  <c r="R42" i="16"/>
  <c r="P42" i="16"/>
  <c r="M42" i="16"/>
  <c r="N42" i="16" s="1"/>
  <c r="K42" i="16"/>
  <c r="L42" i="16" s="1"/>
  <c r="I42" i="16"/>
  <c r="J42" i="16"/>
  <c r="G42" i="16"/>
  <c r="H42" i="16" s="1"/>
  <c r="S41" i="16"/>
  <c r="T41" i="16" s="1"/>
  <c r="Q41" i="16"/>
  <c r="R41" i="16" s="1"/>
  <c r="O41" i="16"/>
  <c r="P41" i="16"/>
  <c r="M41" i="16"/>
  <c r="N41" i="16" s="1"/>
  <c r="K41" i="16"/>
  <c r="L41" i="16" s="1"/>
  <c r="I41" i="16"/>
  <c r="I43" i="16" s="1"/>
  <c r="J41" i="16"/>
  <c r="G41" i="16"/>
  <c r="H41" i="16" s="1"/>
  <c r="B34" i="16"/>
  <c r="B35" i="16"/>
  <c r="B36" i="16"/>
  <c r="B37" i="16"/>
  <c r="B38" i="16"/>
  <c r="B39" i="16"/>
  <c r="B40" i="16"/>
  <c r="B41" i="16"/>
  <c r="F41" i="16" s="1"/>
  <c r="B42" i="16"/>
  <c r="B33" i="16"/>
  <c r="E43" i="16"/>
  <c r="G43" i="16"/>
  <c r="K43" i="16"/>
  <c r="O43" i="16"/>
  <c r="E42" i="16"/>
  <c r="C42" i="16"/>
  <c r="D42" i="16" s="1"/>
  <c r="E41" i="16"/>
  <c r="C41" i="16"/>
  <c r="D41" i="16" s="1"/>
  <c r="T40" i="16"/>
  <c r="S40" i="16"/>
  <c r="Q40" i="16"/>
  <c r="R40" i="16"/>
  <c r="O40" i="16"/>
  <c r="P40" i="16" s="1"/>
  <c r="M40" i="16"/>
  <c r="N40" i="16" s="1"/>
  <c r="K40" i="16"/>
  <c r="L40" i="16" s="1"/>
  <c r="I40" i="16"/>
  <c r="J40" i="16" s="1"/>
  <c r="G40" i="16"/>
  <c r="H40" i="16" s="1"/>
  <c r="E40" i="16"/>
  <c r="F40" i="16"/>
  <c r="C40" i="16"/>
  <c r="D40" i="16" s="1"/>
  <c r="S39" i="16"/>
  <c r="T39" i="16" s="1"/>
  <c r="Q39" i="16"/>
  <c r="R39" i="16" s="1"/>
  <c r="O39" i="16"/>
  <c r="P39" i="16"/>
  <c r="M39" i="16"/>
  <c r="N39" i="16"/>
  <c r="K39" i="16"/>
  <c r="L39" i="16" s="1"/>
  <c r="I39" i="16"/>
  <c r="J39" i="16" s="1"/>
  <c r="G39" i="16"/>
  <c r="H39" i="16" s="1"/>
  <c r="E39" i="16"/>
  <c r="F39" i="16" s="1"/>
  <c r="C39" i="16"/>
  <c r="D39" i="16" s="1"/>
  <c r="S38" i="16"/>
  <c r="T38" i="16" s="1"/>
  <c r="Q38" i="16"/>
  <c r="R38" i="16" s="1"/>
  <c r="O38" i="16"/>
  <c r="P38" i="16" s="1"/>
  <c r="M38" i="16"/>
  <c r="N38" i="16" s="1"/>
  <c r="K38" i="16"/>
  <c r="L38" i="16" s="1"/>
  <c r="I38" i="16"/>
  <c r="J38" i="16"/>
  <c r="E38" i="16"/>
  <c r="G38" i="16"/>
  <c r="H38" i="16"/>
  <c r="F38" i="16"/>
  <c r="L23" i="16"/>
  <c r="K23" i="16"/>
  <c r="H37" i="16"/>
  <c r="S37" i="16"/>
  <c r="T37" i="16" s="1"/>
  <c r="Q37" i="16"/>
  <c r="R37" i="16" s="1"/>
  <c r="O37" i="16"/>
  <c r="P37" i="16" s="1"/>
  <c r="M37" i="16"/>
  <c r="N37" i="16" s="1"/>
  <c r="K37" i="16"/>
  <c r="L37" i="16" s="1"/>
  <c r="I37" i="16"/>
  <c r="J37" i="16" s="1"/>
  <c r="G37" i="16"/>
  <c r="D37" i="16"/>
  <c r="E37" i="16"/>
  <c r="F37" i="16" s="1"/>
  <c r="C37" i="16"/>
  <c r="T36" i="16"/>
  <c r="R36" i="16"/>
  <c r="P36" i="16"/>
  <c r="N36" i="16"/>
  <c r="L36" i="16"/>
  <c r="J36" i="16"/>
  <c r="H36" i="16"/>
  <c r="F36" i="16"/>
  <c r="D36" i="16"/>
  <c r="S36" i="16"/>
  <c r="Q36" i="16"/>
  <c r="O36" i="16"/>
  <c r="M36" i="16"/>
  <c r="K36" i="16"/>
  <c r="I36" i="16"/>
  <c r="G36" i="16"/>
  <c r="C35" i="16"/>
  <c r="E36" i="16"/>
  <c r="C36" i="16"/>
  <c r="T35" i="16"/>
  <c r="R35" i="16"/>
  <c r="P35" i="16"/>
  <c r="N35" i="16"/>
  <c r="L35" i="16"/>
  <c r="J35" i="16"/>
  <c r="H35" i="16"/>
  <c r="F35" i="16"/>
  <c r="D35" i="16"/>
  <c r="S35" i="16"/>
  <c r="Q35" i="16"/>
  <c r="O35" i="16"/>
  <c r="M35" i="16"/>
  <c r="K35" i="16"/>
  <c r="I35" i="16"/>
  <c r="G35" i="16"/>
  <c r="E35" i="16"/>
  <c r="T34" i="16"/>
  <c r="R34" i="16"/>
  <c r="P34" i="16"/>
  <c r="N34" i="16"/>
  <c r="L34" i="16"/>
  <c r="J34" i="16"/>
  <c r="H34" i="16"/>
  <c r="F34" i="16"/>
  <c r="D33" i="16"/>
  <c r="D34" i="16"/>
  <c r="S34" i="16"/>
  <c r="Q34" i="16"/>
  <c r="O34" i="16"/>
  <c r="M34" i="16"/>
  <c r="K34" i="16"/>
  <c r="I34" i="16"/>
  <c r="G34" i="16"/>
  <c r="E34" i="16"/>
  <c r="C34" i="16"/>
  <c r="T33" i="16"/>
  <c r="R33" i="16"/>
  <c r="P33" i="16"/>
  <c r="N33" i="16"/>
  <c r="L33" i="16"/>
  <c r="J33" i="16"/>
  <c r="H33" i="16"/>
  <c r="F33" i="16"/>
  <c r="S33" i="16"/>
  <c r="Q33" i="16"/>
  <c r="O33" i="16"/>
  <c r="M33" i="16"/>
  <c r="K33" i="16"/>
  <c r="I33" i="16"/>
  <c r="G33" i="16"/>
  <c r="E33" i="16"/>
  <c r="C33" i="16"/>
  <c r="L27" i="16"/>
  <c r="K27" i="16"/>
  <c r="M27" i="16" s="1"/>
  <c r="L26" i="16"/>
  <c r="M26" i="16" s="1"/>
  <c r="K26" i="16"/>
  <c r="L25" i="16"/>
  <c r="K25" i="16"/>
  <c r="M25" i="16" s="1"/>
  <c r="L24" i="16"/>
  <c r="M24" i="16" s="1"/>
  <c r="K24" i="16"/>
  <c r="L22" i="16"/>
  <c r="K22" i="16"/>
  <c r="M22" i="16" s="1"/>
  <c r="L21" i="16"/>
  <c r="K21" i="16"/>
  <c r="M21" i="16" s="1"/>
  <c r="L20" i="16"/>
  <c r="K20" i="16"/>
  <c r="M20" i="16" s="1"/>
  <c r="L19" i="16"/>
  <c r="K19" i="16"/>
  <c r="M19" i="16" s="1"/>
  <c r="L18" i="16"/>
  <c r="M18" i="16" s="1"/>
  <c r="K18" i="16"/>
  <c r="AF4" i="16"/>
  <c r="AF5" i="16"/>
  <c r="AF6" i="16"/>
  <c r="AF7" i="16"/>
  <c r="AF8" i="16"/>
  <c r="AF9" i="16"/>
  <c r="AF10" i="16"/>
  <c r="AF11" i="16"/>
  <c r="AF12" i="16"/>
  <c r="AF3" i="16"/>
  <c r="AF13" i="16" s="1"/>
  <c r="C13" i="16"/>
  <c r="D13" i="16"/>
  <c r="E13" i="16"/>
  <c r="F13" i="16"/>
  <c r="G13" i="16"/>
  <c r="H13" i="16"/>
  <c r="I13" i="16"/>
  <c r="J13" i="16"/>
  <c r="K13" i="16"/>
  <c r="L13" i="16"/>
  <c r="M13" i="16"/>
  <c r="N13" i="16"/>
  <c r="O13" i="16"/>
  <c r="P13" i="16"/>
  <c r="Q13" i="16"/>
  <c r="R13" i="16"/>
  <c r="S13" i="16"/>
  <c r="T13" i="16"/>
  <c r="U13" i="16"/>
  <c r="V13" i="16"/>
  <c r="W13" i="16"/>
  <c r="X13" i="16"/>
  <c r="Y13" i="16"/>
  <c r="Z13" i="16"/>
  <c r="AA13" i="16"/>
  <c r="AB13" i="16"/>
  <c r="AC13" i="16"/>
  <c r="AD13" i="16"/>
  <c r="AE13" i="16"/>
  <c r="B13" i="16"/>
  <c r="U40" i="3"/>
  <c r="E12" i="3" s="1"/>
  <c r="U39" i="3"/>
  <c r="E11" i="3" s="1"/>
  <c r="U38" i="3"/>
  <c r="E10" i="3" s="1"/>
  <c r="U35" i="3"/>
  <c r="E7" i="3" s="1"/>
  <c r="U34" i="3"/>
  <c r="E6" i="3" s="1"/>
  <c r="U33" i="3"/>
  <c r="E5" i="3" s="1"/>
  <c r="U32" i="3"/>
  <c r="E4" i="3" s="1"/>
  <c r="T40" i="3"/>
  <c r="D12" i="3" s="1"/>
  <c r="T39" i="3"/>
  <c r="D11" i="3" s="1"/>
  <c r="T37" i="3"/>
  <c r="D9" i="3" s="1"/>
  <c r="T35" i="3"/>
  <c r="D7" i="3" s="1"/>
  <c r="T34" i="3"/>
  <c r="D6" i="3" s="1"/>
  <c r="T33" i="3"/>
  <c r="D5" i="3" s="1"/>
  <c r="T32" i="3"/>
  <c r="D4" i="3" s="1"/>
  <c r="S40" i="3"/>
  <c r="S39" i="3"/>
  <c r="C11" i="3" s="1"/>
  <c r="S38" i="3"/>
  <c r="C10" i="3" s="1"/>
  <c r="S37" i="3"/>
  <c r="C9" i="3" s="1"/>
  <c r="S34" i="3"/>
  <c r="S33" i="3"/>
  <c r="C5" i="3" s="1"/>
  <c r="S36" i="3"/>
  <c r="C8" i="3" s="1"/>
  <c r="T36" i="3"/>
  <c r="U37" i="3"/>
  <c r="E9" i="3" s="1"/>
  <c r="V20" i="3" l="1"/>
  <c r="V23" i="3"/>
  <c r="V22" i="3"/>
  <c r="S35" i="3"/>
  <c r="C7" i="3" s="1"/>
  <c r="S32" i="3"/>
  <c r="C4" i="3" s="1"/>
  <c r="G4" i="3" s="1"/>
  <c r="V19" i="3"/>
  <c r="AF13" i="18"/>
  <c r="AG5" i="18" s="1"/>
  <c r="B35" i="18" s="1"/>
  <c r="Q34" i="18"/>
  <c r="Q41" i="18"/>
  <c r="Q38" i="18"/>
  <c r="Q33" i="18"/>
  <c r="Q42" i="18"/>
  <c r="C34" i="18"/>
  <c r="G34" i="18"/>
  <c r="K34" i="18"/>
  <c r="O34" i="18"/>
  <c r="S34" i="18"/>
  <c r="E36" i="18"/>
  <c r="I36" i="18"/>
  <c r="M36" i="18"/>
  <c r="Q36" i="18"/>
  <c r="C38" i="18"/>
  <c r="G38" i="18"/>
  <c r="K38" i="18"/>
  <c r="O38" i="18"/>
  <c r="S38" i="18"/>
  <c r="E40" i="18"/>
  <c r="I40" i="18"/>
  <c r="M40" i="18"/>
  <c r="Q40" i="18"/>
  <c r="C42" i="18"/>
  <c r="G42" i="18"/>
  <c r="K42" i="18"/>
  <c r="O42" i="18"/>
  <c r="S42" i="18"/>
  <c r="C33" i="18"/>
  <c r="G33" i="18"/>
  <c r="K33" i="18"/>
  <c r="O33" i="18"/>
  <c r="S33" i="18"/>
  <c r="E35" i="18"/>
  <c r="I35" i="18"/>
  <c r="Q35" i="18"/>
  <c r="C37" i="18"/>
  <c r="G37" i="18"/>
  <c r="K37" i="18"/>
  <c r="O37" i="18"/>
  <c r="S37" i="18"/>
  <c r="C41" i="18"/>
  <c r="G41" i="18"/>
  <c r="K41" i="18"/>
  <c r="O41" i="18"/>
  <c r="S41" i="18"/>
  <c r="M20" i="18"/>
  <c r="S35" i="18" s="1"/>
  <c r="M24" i="18"/>
  <c r="Q39" i="18" s="1"/>
  <c r="E34" i="18"/>
  <c r="I34" i="18"/>
  <c r="M34" i="18"/>
  <c r="C36" i="18"/>
  <c r="G36" i="18"/>
  <c r="K36" i="18"/>
  <c r="O36" i="18"/>
  <c r="E38" i="18"/>
  <c r="I38" i="18"/>
  <c r="M38" i="18"/>
  <c r="C40" i="18"/>
  <c r="G40" i="18"/>
  <c r="K40" i="18"/>
  <c r="O40" i="18"/>
  <c r="E42" i="18"/>
  <c r="I42" i="18"/>
  <c r="M42" i="18"/>
  <c r="E33" i="18"/>
  <c r="I33" i="18"/>
  <c r="M33" i="18"/>
  <c r="C35" i="18"/>
  <c r="G35" i="18"/>
  <c r="K35" i="18"/>
  <c r="O35" i="18"/>
  <c r="E37" i="18"/>
  <c r="I37" i="18"/>
  <c r="M37" i="18"/>
  <c r="C39" i="18"/>
  <c r="E41" i="18"/>
  <c r="I41" i="18"/>
  <c r="M41" i="18"/>
  <c r="AG3" i="17"/>
  <c r="B21" i="17" s="1"/>
  <c r="H21" i="17" s="1"/>
  <c r="M15" i="17"/>
  <c r="G24" i="17" s="1"/>
  <c r="H24" i="17" s="1"/>
  <c r="S21" i="17"/>
  <c r="M13" i="17"/>
  <c r="Q22" i="17" s="1"/>
  <c r="Q23" i="17"/>
  <c r="AG4" i="17"/>
  <c r="B22" i="17" s="1"/>
  <c r="AG6" i="17"/>
  <c r="B24" i="17" s="1"/>
  <c r="AG5" i="17"/>
  <c r="B23" i="17" s="1"/>
  <c r="K22" i="17"/>
  <c r="S22" i="17"/>
  <c r="T22" i="17" s="1"/>
  <c r="I22" i="17"/>
  <c r="M22" i="17"/>
  <c r="C24" i="17"/>
  <c r="K24" i="17"/>
  <c r="O24" i="17"/>
  <c r="S24" i="17"/>
  <c r="E21" i="17"/>
  <c r="F21" i="17" s="1"/>
  <c r="I21" i="17"/>
  <c r="M21" i="17"/>
  <c r="N21" i="17" s="1"/>
  <c r="Q21" i="17"/>
  <c r="R21" i="17" s="1"/>
  <c r="C23" i="17"/>
  <c r="D23" i="17" s="1"/>
  <c r="G23" i="17"/>
  <c r="K23" i="17"/>
  <c r="L23" i="17" s="1"/>
  <c r="O23" i="17"/>
  <c r="P23" i="17" s="1"/>
  <c r="S23" i="17"/>
  <c r="T23" i="17" s="1"/>
  <c r="E24" i="17"/>
  <c r="F24" i="17" s="1"/>
  <c r="I24" i="17"/>
  <c r="M24" i="17"/>
  <c r="N24" i="17" s="1"/>
  <c r="Q24" i="17"/>
  <c r="C21" i="17"/>
  <c r="D21" i="17" s="1"/>
  <c r="K21" i="17"/>
  <c r="L21" i="17" s="1"/>
  <c r="O21" i="17"/>
  <c r="P21" i="17" s="1"/>
  <c r="E23" i="17"/>
  <c r="F23" i="17" s="1"/>
  <c r="I23" i="17"/>
  <c r="J23" i="17" s="1"/>
  <c r="M23" i="17"/>
  <c r="N23" i="17" s="1"/>
  <c r="S43" i="16"/>
  <c r="Q43" i="16"/>
  <c r="P43" i="16"/>
  <c r="M43" i="16"/>
  <c r="N43" i="16"/>
  <c r="H43" i="16"/>
  <c r="F42" i="16"/>
  <c r="F43" i="16" s="1"/>
  <c r="J43" i="16"/>
  <c r="R43" i="16"/>
  <c r="L43" i="16"/>
  <c r="T43" i="16"/>
  <c r="C43" i="16"/>
  <c r="M23" i="16"/>
  <c r="C38" i="16" s="1"/>
  <c r="D38" i="16" s="1"/>
  <c r="D43" i="16" s="1"/>
  <c r="AG5" i="16"/>
  <c r="AG9" i="16"/>
  <c r="AG3" i="16"/>
  <c r="AG11" i="16"/>
  <c r="AG7" i="16"/>
  <c r="AG10" i="16"/>
  <c r="AG6" i="16"/>
  <c r="AG12" i="16"/>
  <c r="AG8" i="16"/>
  <c r="AG4" i="16"/>
  <c r="U36" i="3"/>
  <c r="E8" i="3" s="1"/>
  <c r="V27" i="3"/>
  <c r="V26" i="3"/>
  <c r="V24" i="3"/>
  <c r="V21" i="3"/>
  <c r="V25" i="3"/>
  <c r="V38" i="3"/>
  <c r="D10" i="3"/>
  <c r="V37" i="3"/>
  <c r="D8" i="3"/>
  <c r="V40" i="3"/>
  <c r="C12" i="3"/>
  <c r="V39" i="3"/>
  <c r="V34" i="3"/>
  <c r="C6" i="3"/>
  <c r="V33" i="3"/>
  <c r="V36" i="3" l="1"/>
  <c r="V35" i="3"/>
  <c r="V32" i="3"/>
  <c r="AG10" i="18"/>
  <c r="B40" i="18" s="1"/>
  <c r="T40" i="18" s="1"/>
  <c r="AG7" i="18"/>
  <c r="B37" i="18" s="1"/>
  <c r="R37" i="18" s="1"/>
  <c r="AG8" i="18"/>
  <c r="B38" i="18" s="1"/>
  <c r="D38" i="18" s="1"/>
  <c r="AG3" i="18"/>
  <c r="L33" i="18" s="1"/>
  <c r="AG4" i="18"/>
  <c r="B34" i="18" s="1"/>
  <c r="N34" i="18" s="1"/>
  <c r="P35" i="18"/>
  <c r="R35" i="18"/>
  <c r="L35" i="18"/>
  <c r="T35" i="18"/>
  <c r="J35" i="18"/>
  <c r="AG9" i="18"/>
  <c r="B39" i="18" s="1"/>
  <c r="D39" i="18" s="1"/>
  <c r="D35" i="18"/>
  <c r="F35" i="18"/>
  <c r="AG12" i="18"/>
  <c r="B42" i="18" s="1"/>
  <c r="F42" i="18" s="1"/>
  <c r="AG11" i="18"/>
  <c r="B41" i="18" s="1"/>
  <c r="R41" i="18" s="1"/>
  <c r="AG6" i="18"/>
  <c r="B36" i="18" s="1"/>
  <c r="T36" i="18" s="1"/>
  <c r="P40" i="18"/>
  <c r="O39" i="18"/>
  <c r="I43" i="18"/>
  <c r="I39" i="18"/>
  <c r="M35" i="18"/>
  <c r="N35" i="18" s="1"/>
  <c r="O43" i="18"/>
  <c r="M39" i="18"/>
  <c r="K39" i="18"/>
  <c r="H35" i="18"/>
  <c r="E43" i="18"/>
  <c r="E39" i="18"/>
  <c r="K43" i="18"/>
  <c r="S39" i="18"/>
  <c r="M43" i="18"/>
  <c r="C43" i="18"/>
  <c r="G39" i="18"/>
  <c r="Q43" i="18"/>
  <c r="N22" i="17"/>
  <c r="N25" i="17" s="1"/>
  <c r="C22" i="17"/>
  <c r="E22" i="17"/>
  <c r="F22" i="17" s="1"/>
  <c r="O22" i="17"/>
  <c r="P22" i="17" s="1"/>
  <c r="R22" i="17"/>
  <c r="T21" i="17"/>
  <c r="H23" i="17"/>
  <c r="J21" i="17"/>
  <c r="J22" i="17"/>
  <c r="G22" i="17"/>
  <c r="H22" i="17" s="1"/>
  <c r="P24" i="17"/>
  <c r="R24" i="17"/>
  <c r="L24" i="17"/>
  <c r="L22" i="17"/>
  <c r="J24" i="17"/>
  <c r="T24" i="17"/>
  <c r="T25" i="17" s="1"/>
  <c r="D24" i="17"/>
  <c r="I25" i="17"/>
  <c r="S25" i="17"/>
  <c r="C25" i="17"/>
  <c r="D22" i="17"/>
  <c r="E25" i="17"/>
  <c r="O25" i="17"/>
  <c r="R23" i="17"/>
  <c r="K25" i="17"/>
  <c r="L25" i="17"/>
  <c r="Q25" i="17"/>
  <c r="M25" i="17"/>
  <c r="G25" i="17"/>
  <c r="L2" i="5"/>
  <c r="E10" i="12"/>
  <c r="D9" i="12"/>
  <c r="G9" i="12"/>
  <c r="E11" i="12"/>
  <c r="C5" i="12"/>
  <c r="D5" i="12"/>
  <c r="C9" i="12"/>
  <c r="C8" i="12"/>
  <c r="D11" i="12"/>
  <c r="C11" i="12"/>
  <c r="C10" i="12"/>
  <c r="E8" i="12"/>
  <c r="E9" i="12"/>
  <c r="C19" i="12"/>
  <c r="D3" i="12"/>
  <c r="E3" i="12"/>
  <c r="E4" i="12"/>
  <c r="D10" i="12"/>
  <c r="G8" i="12"/>
  <c r="C6" i="12"/>
  <c r="D6" i="12"/>
  <c r="G6" i="12"/>
  <c r="E6" i="12"/>
  <c r="G7" i="12"/>
  <c r="D8" i="12"/>
  <c r="E5" i="12"/>
  <c r="D4" i="12"/>
  <c r="C4" i="12"/>
  <c r="C3" i="12"/>
  <c r="L7" i="6"/>
  <c r="L2" i="6"/>
  <c r="D10" i="4"/>
  <c r="D9" i="4"/>
  <c r="E9" i="4"/>
  <c r="D4" i="4"/>
  <c r="C10" i="4"/>
  <c r="E5" i="4"/>
  <c r="C5" i="4"/>
  <c r="C11" i="4"/>
  <c r="E11" i="4"/>
  <c r="D5" i="4"/>
  <c r="E8" i="4"/>
  <c r="D11" i="4"/>
  <c r="C9" i="4"/>
  <c r="J4" i="4" s="1"/>
  <c r="D8" i="4"/>
  <c r="J3" i="4"/>
  <c r="C8" i="4"/>
  <c r="E7" i="4"/>
  <c r="D6" i="4"/>
  <c r="C6" i="4"/>
  <c r="E3" i="4"/>
  <c r="D3" i="4"/>
  <c r="C3" i="4"/>
  <c r="J2" i="4" s="1"/>
  <c r="L2" i="2"/>
  <c r="C33" i="2"/>
  <c r="C32" i="2"/>
  <c r="C31" i="2"/>
  <c r="C30" i="2"/>
  <c r="C29" i="2"/>
  <c r="C28" i="2"/>
  <c r="AH46" i="10"/>
  <c r="E7" i="12"/>
  <c r="D7" i="12"/>
  <c r="C7" i="12"/>
  <c r="D9" i="2"/>
  <c r="D5" i="2"/>
  <c r="E5" i="2"/>
  <c r="C5" i="2"/>
  <c r="E4" i="2"/>
  <c r="D4" i="2"/>
  <c r="C4" i="2"/>
  <c r="D3" i="2"/>
  <c r="G43" i="7"/>
  <c r="G42" i="7"/>
  <c r="H42" i="7" s="1"/>
  <c r="H43" i="7" s="1"/>
  <c r="R39" i="10"/>
  <c r="R38" i="7"/>
  <c r="G41" i="7"/>
  <c r="G40" i="7"/>
  <c r="T52" i="8"/>
  <c r="T51" i="8"/>
  <c r="T50" i="8"/>
  <c r="T49" i="8"/>
  <c r="T48" i="8"/>
  <c r="T47" i="8"/>
  <c r="T46" i="8"/>
  <c r="T45" i="8"/>
  <c r="T44" i="8"/>
  <c r="F38" i="18" l="1"/>
  <c r="P33" i="18"/>
  <c r="J33" i="18"/>
  <c r="L38" i="18"/>
  <c r="N38" i="18"/>
  <c r="R38" i="18"/>
  <c r="P38" i="18"/>
  <c r="D33" i="18"/>
  <c r="R33" i="18"/>
  <c r="H33" i="18"/>
  <c r="N33" i="18"/>
  <c r="F33" i="18"/>
  <c r="H40" i="18"/>
  <c r="J40" i="18"/>
  <c r="L40" i="18"/>
  <c r="T38" i="18"/>
  <c r="T33" i="18"/>
  <c r="F40" i="18"/>
  <c r="R34" i="18"/>
  <c r="N40" i="18"/>
  <c r="D40" i="18"/>
  <c r="H42" i="18"/>
  <c r="H38" i="18"/>
  <c r="T39" i="18"/>
  <c r="P42" i="18"/>
  <c r="D42" i="18"/>
  <c r="H34" i="18"/>
  <c r="D34" i="18"/>
  <c r="P34" i="18"/>
  <c r="T34" i="18"/>
  <c r="R40" i="18"/>
  <c r="L34" i="18"/>
  <c r="J38" i="18"/>
  <c r="J42" i="18"/>
  <c r="N42" i="18"/>
  <c r="T42" i="18"/>
  <c r="L42" i="18"/>
  <c r="T41" i="18"/>
  <c r="H37" i="18"/>
  <c r="J37" i="18"/>
  <c r="L37" i="18"/>
  <c r="N37" i="18"/>
  <c r="P37" i="18"/>
  <c r="T37" i="18"/>
  <c r="F39" i="18"/>
  <c r="L39" i="18"/>
  <c r="R42" i="18"/>
  <c r="R36" i="18"/>
  <c r="D41" i="18"/>
  <c r="J41" i="18"/>
  <c r="J36" i="18"/>
  <c r="L41" i="18"/>
  <c r="F34" i="18"/>
  <c r="J34" i="18"/>
  <c r="D37" i="18"/>
  <c r="F37" i="18"/>
  <c r="F36" i="18"/>
  <c r="P36" i="18"/>
  <c r="N41" i="18"/>
  <c r="R39" i="18"/>
  <c r="N39" i="18"/>
  <c r="L36" i="18"/>
  <c r="P41" i="18"/>
  <c r="F41" i="18"/>
  <c r="D36" i="18"/>
  <c r="N36" i="18"/>
  <c r="H39" i="18"/>
  <c r="J39" i="18"/>
  <c r="P39" i="18"/>
  <c r="H41" i="18"/>
  <c r="H36" i="18"/>
  <c r="G43" i="18"/>
  <c r="S43" i="18"/>
  <c r="R25" i="17"/>
  <c r="J25" i="17"/>
  <c r="P25" i="17"/>
  <c r="H25" i="17"/>
  <c r="F25" i="17"/>
  <c r="D25" i="17"/>
  <c r="F10" i="12"/>
  <c r="D21" i="12" s="1"/>
  <c r="G10" i="12"/>
  <c r="F9" i="12"/>
  <c r="C21" i="12" s="1"/>
  <c r="F6" i="12"/>
  <c r="G11" i="12"/>
  <c r="F11" i="12"/>
  <c r="J8" i="4"/>
  <c r="J6" i="4"/>
  <c r="S13" i="3"/>
  <c r="C3" i="2"/>
  <c r="E10" i="4"/>
  <c r="E12" i="5"/>
  <c r="L9" i="6"/>
  <c r="L8" i="6"/>
  <c r="L6" i="6"/>
  <c r="E11" i="6"/>
  <c r="D11" i="6"/>
  <c r="C11" i="6"/>
  <c r="E7" i="6"/>
  <c r="C7" i="6"/>
  <c r="C3" i="6"/>
  <c r="E11" i="2"/>
  <c r="D11" i="2"/>
  <c r="C11" i="2"/>
  <c r="E10" i="2"/>
  <c r="D10" i="2"/>
  <c r="C10" i="2"/>
  <c r="E9" i="2"/>
  <c r="C9" i="2"/>
  <c r="E3" i="2"/>
  <c r="S54" i="10"/>
  <c r="AH52" i="10" s="1"/>
  <c r="C4" i="6"/>
  <c r="C5" i="6"/>
  <c r="O3" i="9"/>
  <c r="P3" i="9"/>
  <c r="R39" i="9"/>
  <c r="B29" i="2"/>
  <c r="R38" i="8"/>
  <c r="V35" i="8"/>
  <c r="U35" i="8"/>
  <c r="T35" i="8"/>
  <c r="S35" i="8"/>
  <c r="R35" i="8"/>
  <c r="Q35" i="8"/>
  <c r="P35" i="8"/>
  <c r="O35" i="8"/>
  <c r="N35" i="8"/>
  <c r="K35" i="8"/>
  <c r="J35" i="8"/>
  <c r="I35" i="8"/>
  <c r="H35" i="8"/>
  <c r="G35" i="8"/>
  <c r="F35" i="8"/>
  <c r="E35" i="8"/>
  <c r="D35" i="8"/>
  <c r="C35" i="8"/>
  <c r="V34" i="8"/>
  <c r="U34" i="8"/>
  <c r="T34" i="8"/>
  <c r="S34" i="8"/>
  <c r="R34" i="8"/>
  <c r="Q34" i="8"/>
  <c r="P34" i="8"/>
  <c r="O34" i="8"/>
  <c r="N34" i="8"/>
  <c r="K34" i="8"/>
  <c r="J34" i="8"/>
  <c r="I34" i="8"/>
  <c r="H34" i="8"/>
  <c r="G34" i="8"/>
  <c r="F34" i="8"/>
  <c r="E34" i="8"/>
  <c r="D34" i="8"/>
  <c r="C34" i="8"/>
  <c r="V33" i="8"/>
  <c r="U33" i="8"/>
  <c r="T33" i="8"/>
  <c r="S33" i="8"/>
  <c r="R33" i="8"/>
  <c r="Q33" i="8"/>
  <c r="P33" i="8"/>
  <c r="O33" i="8"/>
  <c r="N33" i="8"/>
  <c r="K33" i="8"/>
  <c r="J33" i="8"/>
  <c r="I33" i="8"/>
  <c r="H33" i="8"/>
  <c r="G33" i="8"/>
  <c r="F33" i="8"/>
  <c r="E33" i="8"/>
  <c r="D33" i="8"/>
  <c r="C33" i="8"/>
  <c r="V32" i="8"/>
  <c r="U32" i="8"/>
  <c r="T32" i="8"/>
  <c r="S32" i="8"/>
  <c r="R32" i="8"/>
  <c r="Q32" i="8"/>
  <c r="P32" i="8"/>
  <c r="O32" i="8"/>
  <c r="N32" i="8"/>
  <c r="W32" i="8" s="1"/>
  <c r="L32" i="8"/>
  <c r="V31" i="8"/>
  <c r="U31" i="8"/>
  <c r="T31" i="8"/>
  <c r="S31" i="8"/>
  <c r="R31" i="8"/>
  <c r="Q31" i="8"/>
  <c r="P31" i="8"/>
  <c r="O31" i="8"/>
  <c r="N31" i="8"/>
  <c r="W31" i="8" s="1"/>
  <c r="L31" i="8"/>
  <c r="V30" i="8"/>
  <c r="U30" i="8"/>
  <c r="T30" i="8"/>
  <c r="S30" i="8"/>
  <c r="R30" i="8"/>
  <c r="Q30" i="8"/>
  <c r="P30" i="8"/>
  <c r="O30" i="8"/>
  <c r="N30" i="8"/>
  <c r="W30" i="8" s="1"/>
  <c r="L30" i="8"/>
  <c r="V29" i="8"/>
  <c r="U29" i="8"/>
  <c r="T29" i="8"/>
  <c r="S29" i="8"/>
  <c r="R29" i="8"/>
  <c r="Q29" i="8"/>
  <c r="P29" i="8"/>
  <c r="O29" i="8"/>
  <c r="N29" i="8"/>
  <c r="W29" i="8" s="1"/>
  <c r="L29" i="8"/>
  <c r="V28" i="8"/>
  <c r="U28" i="8"/>
  <c r="T28" i="8"/>
  <c r="S28" i="8"/>
  <c r="R28" i="8"/>
  <c r="Q28" i="8"/>
  <c r="P28" i="8"/>
  <c r="O28" i="8"/>
  <c r="N28" i="8"/>
  <c r="W28" i="8" s="1"/>
  <c r="L28" i="8"/>
  <c r="V27" i="8"/>
  <c r="U27" i="8"/>
  <c r="T27" i="8"/>
  <c r="S27" i="8"/>
  <c r="R27" i="8"/>
  <c r="Q27" i="8"/>
  <c r="P27" i="8"/>
  <c r="O27" i="8"/>
  <c r="N27" i="8"/>
  <c r="W27" i="8" s="1"/>
  <c r="L27" i="8"/>
  <c r="V26" i="8"/>
  <c r="U26" i="8"/>
  <c r="T26" i="8"/>
  <c r="S26" i="8"/>
  <c r="R26" i="8"/>
  <c r="Q26" i="8"/>
  <c r="P26" i="8"/>
  <c r="O26" i="8"/>
  <c r="N26" i="8"/>
  <c r="W26" i="8" s="1"/>
  <c r="L26" i="8"/>
  <c r="V25" i="8"/>
  <c r="U25" i="8"/>
  <c r="T25" i="8"/>
  <c r="S25" i="8"/>
  <c r="R25" i="8"/>
  <c r="Q25" i="8"/>
  <c r="P25" i="8"/>
  <c r="O25" i="8"/>
  <c r="N25" i="8"/>
  <c r="W25" i="8" s="1"/>
  <c r="L25" i="8"/>
  <c r="V24" i="8"/>
  <c r="U24" i="8"/>
  <c r="T24" i="8"/>
  <c r="S24" i="8"/>
  <c r="R24" i="8"/>
  <c r="Q24" i="8"/>
  <c r="P24" i="8"/>
  <c r="O24" i="8"/>
  <c r="N24" i="8"/>
  <c r="W24" i="8" s="1"/>
  <c r="L24" i="8"/>
  <c r="V23" i="8"/>
  <c r="U23" i="8"/>
  <c r="T23" i="8"/>
  <c r="S23" i="8"/>
  <c r="R23" i="8"/>
  <c r="Q23" i="8"/>
  <c r="P23" i="8"/>
  <c r="O23" i="8"/>
  <c r="N23" i="8"/>
  <c r="W23" i="8" s="1"/>
  <c r="L23" i="8"/>
  <c r="V22" i="8"/>
  <c r="U22" i="8"/>
  <c r="T22" i="8"/>
  <c r="S22" i="8"/>
  <c r="R22" i="8"/>
  <c r="Q22" i="8"/>
  <c r="P22" i="8"/>
  <c r="O22" i="8"/>
  <c r="N22" i="8"/>
  <c r="W22" i="8" s="1"/>
  <c r="L22" i="8"/>
  <c r="V21" i="8"/>
  <c r="U21" i="8"/>
  <c r="T21" i="8"/>
  <c r="S21" i="8"/>
  <c r="R21" i="8"/>
  <c r="Q21" i="8"/>
  <c r="P21" i="8"/>
  <c r="O21" i="8"/>
  <c r="N21" i="8"/>
  <c r="W21" i="8" s="1"/>
  <c r="L21" i="8"/>
  <c r="V20" i="8"/>
  <c r="U20" i="8"/>
  <c r="T20" i="8"/>
  <c r="S20" i="8"/>
  <c r="R20" i="8"/>
  <c r="Q20" i="8"/>
  <c r="P20" i="8"/>
  <c r="O20" i="8"/>
  <c r="N20" i="8"/>
  <c r="W20" i="8" s="1"/>
  <c r="L20" i="8"/>
  <c r="V19" i="8"/>
  <c r="U19" i="8"/>
  <c r="T19" i="8"/>
  <c r="S19" i="8"/>
  <c r="R19" i="8"/>
  <c r="Q19" i="8"/>
  <c r="P19" i="8"/>
  <c r="O19" i="8"/>
  <c r="W19" i="8" s="1"/>
  <c r="N19" i="8"/>
  <c r="L19" i="8"/>
  <c r="V18" i="8"/>
  <c r="U18" i="8"/>
  <c r="T18" i="8"/>
  <c r="S18" i="8"/>
  <c r="R18" i="8"/>
  <c r="Q18" i="8"/>
  <c r="P18" i="8"/>
  <c r="O18" i="8"/>
  <c r="N18" i="8"/>
  <c r="W18" i="8" s="1"/>
  <c r="L18" i="8"/>
  <c r="V17" i="8"/>
  <c r="U17" i="8"/>
  <c r="T17" i="8"/>
  <c r="S17" i="8"/>
  <c r="R17" i="8"/>
  <c r="Q17" i="8"/>
  <c r="P17" i="8"/>
  <c r="O17" i="8"/>
  <c r="N17" i="8"/>
  <c r="W17" i="8" s="1"/>
  <c r="L17" i="8"/>
  <c r="V16" i="8"/>
  <c r="U16" i="8"/>
  <c r="T16" i="8"/>
  <c r="S16" i="8"/>
  <c r="R16" i="8"/>
  <c r="Q16" i="8"/>
  <c r="P16" i="8"/>
  <c r="O16" i="8"/>
  <c r="W16" i="8" s="1"/>
  <c r="N16" i="8"/>
  <c r="L16" i="8"/>
  <c r="V15" i="8"/>
  <c r="U15" i="8"/>
  <c r="T15" i="8"/>
  <c r="S15" i="8"/>
  <c r="R15" i="8"/>
  <c r="Q15" i="8"/>
  <c r="P15" i="8"/>
  <c r="O15" i="8"/>
  <c r="N15" i="8"/>
  <c r="W15" i="8" s="1"/>
  <c r="L15" i="8"/>
  <c r="V14" i="8"/>
  <c r="U14" i="8"/>
  <c r="T14" i="8"/>
  <c r="S14" i="8"/>
  <c r="R14" i="8"/>
  <c r="Q14" i="8"/>
  <c r="P14" i="8"/>
  <c r="O14" i="8"/>
  <c r="N14" i="8"/>
  <c r="W14" i="8" s="1"/>
  <c r="L14" i="8"/>
  <c r="V13" i="8"/>
  <c r="U13" i="8"/>
  <c r="T13" i="8"/>
  <c r="S13" i="8"/>
  <c r="R13" i="8"/>
  <c r="Q13" i="8"/>
  <c r="P13" i="8"/>
  <c r="O13" i="8"/>
  <c r="N13" i="8"/>
  <c r="W13" i="8" s="1"/>
  <c r="L13" i="8"/>
  <c r="V12" i="8"/>
  <c r="U12" i="8"/>
  <c r="T12" i="8"/>
  <c r="S12" i="8"/>
  <c r="R12" i="8"/>
  <c r="Q12" i="8"/>
  <c r="P12" i="8"/>
  <c r="O12" i="8"/>
  <c r="W12" i="8" s="1"/>
  <c r="N12" i="8"/>
  <c r="L12" i="8"/>
  <c r="V11" i="8"/>
  <c r="U11" i="8"/>
  <c r="T11" i="8"/>
  <c r="S11" i="8"/>
  <c r="R11" i="8"/>
  <c r="Q11" i="8"/>
  <c r="P11" i="8"/>
  <c r="O11" i="8"/>
  <c r="W11" i="8" s="1"/>
  <c r="N11" i="8"/>
  <c r="L11" i="8"/>
  <c r="V10" i="8"/>
  <c r="U10" i="8"/>
  <c r="T10" i="8"/>
  <c r="S10" i="8"/>
  <c r="R10" i="8"/>
  <c r="Q10" i="8"/>
  <c r="P10" i="8"/>
  <c r="O10" i="8"/>
  <c r="N10" i="8"/>
  <c r="W10" i="8" s="1"/>
  <c r="L10" i="8"/>
  <c r="V9" i="8"/>
  <c r="U9" i="8"/>
  <c r="T9" i="8"/>
  <c r="S9" i="8"/>
  <c r="R9" i="8"/>
  <c r="Q9" i="8"/>
  <c r="P9" i="8"/>
  <c r="O9" i="8"/>
  <c r="N9" i="8"/>
  <c r="W9" i="8" s="1"/>
  <c r="L9" i="8"/>
  <c r="V8" i="8"/>
  <c r="U8" i="8"/>
  <c r="T8" i="8"/>
  <c r="S8" i="8"/>
  <c r="R8" i="8"/>
  <c r="Q8" i="8"/>
  <c r="P8" i="8"/>
  <c r="O8" i="8"/>
  <c r="W8" i="8" s="1"/>
  <c r="N8" i="8"/>
  <c r="L8" i="8"/>
  <c r="V7" i="8"/>
  <c r="U7" i="8"/>
  <c r="T7" i="8"/>
  <c r="S7" i="8"/>
  <c r="R7" i="8"/>
  <c r="Q7" i="8"/>
  <c r="P7" i="8"/>
  <c r="O7" i="8"/>
  <c r="W7" i="8" s="1"/>
  <c r="N7" i="8"/>
  <c r="L7" i="8"/>
  <c r="V6" i="8"/>
  <c r="U6" i="8"/>
  <c r="T6" i="8"/>
  <c r="S6" i="8"/>
  <c r="R6" i="8"/>
  <c r="Q6" i="8"/>
  <c r="P6" i="8"/>
  <c r="O6" i="8"/>
  <c r="N6" i="8"/>
  <c r="W6" i="8" s="1"/>
  <c r="L6" i="8"/>
  <c r="V5" i="8"/>
  <c r="U5" i="8"/>
  <c r="T5" i="8"/>
  <c r="S5" i="8"/>
  <c r="R5" i="8"/>
  <c r="Q5" i="8"/>
  <c r="P5" i="8"/>
  <c r="O5" i="8"/>
  <c r="N5" i="8"/>
  <c r="W5" i="8" s="1"/>
  <c r="L5" i="8"/>
  <c r="V4" i="8"/>
  <c r="U4" i="8"/>
  <c r="T4" i="8"/>
  <c r="S4" i="8"/>
  <c r="R4" i="8"/>
  <c r="Q4" i="8"/>
  <c r="P4" i="8"/>
  <c r="O4" i="8"/>
  <c r="W4" i="8" s="1"/>
  <c r="N4" i="8"/>
  <c r="L4" i="8"/>
  <c r="V3" i="8"/>
  <c r="U3" i="8"/>
  <c r="T3" i="8"/>
  <c r="S3" i="8"/>
  <c r="R3" i="8"/>
  <c r="Q3" i="8"/>
  <c r="P3" i="8"/>
  <c r="O3" i="8"/>
  <c r="W3" i="8" s="1"/>
  <c r="N3" i="8"/>
  <c r="L3" i="8"/>
  <c r="C20" i="6"/>
  <c r="T43" i="18" l="1"/>
  <c r="D43" i="18"/>
  <c r="H43" i="18"/>
  <c r="L43" i="18"/>
  <c r="F43" i="18"/>
  <c r="N43" i="18"/>
  <c r="P43" i="18"/>
  <c r="J43" i="18"/>
  <c r="R43" i="18"/>
  <c r="AH47" i="10"/>
  <c r="AH45" i="10"/>
  <c r="AH48" i="10"/>
  <c r="AH49" i="10"/>
  <c r="AH50" i="10"/>
  <c r="AH51" i="10"/>
  <c r="O35" i="7" l="1"/>
  <c r="P35" i="7"/>
  <c r="Q35" i="7"/>
  <c r="R35" i="7"/>
  <c r="S35" i="7"/>
  <c r="T35" i="7"/>
  <c r="U35" i="7"/>
  <c r="V35" i="7"/>
  <c r="N35" i="7"/>
  <c r="D35" i="7"/>
  <c r="E35" i="7"/>
  <c r="F35" i="7"/>
  <c r="G35" i="7"/>
  <c r="H35" i="7"/>
  <c r="I35" i="7"/>
  <c r="J35" i="7"/>
  <c r="K35" i="7"/>
  <c r="C35" i="7"/>
  <c r="C35" i="9"/>
  <c r="R38" i="10"/>
  <c r="L4" i="7"/>
  <c r="L5" i="7"/>
  <c r="L6" i="7"/>
  <c r="L7" i="7"/>
  <c r="L8" i="7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" i="7"/>
  <c r="D34" i="7"/>
  <c r="E34" i="7"/>
  <c r="F34" i="7"/>
  <c r="G34" i="7"/>
  <c r="H34" i="7"/>
  <c r="I34" i="7"/>
  <c r="J34" i="7"/>
  <c r="K34" i="7"/>
  <c r="C34" i="7"/>
  <c r="D33" i="7"/>
  <c r="E33" i="7"/>
  <c r="F33" i="7"/>
  <c r="G33" i="7"/>
  <c r="H33" i="7"/>
  <c r="I33" i="7"/>
  <c r="J33" i="7"/>
  <c r="K33" i="7"/>
  <c r="C33" i="7"/>
  <c r="T52" i="9"/>
  <c r="T51" i="9"/>
  <c r="T50" i="9"/>
  <c r="T49" i="9"/>
  <c r="T48" i="9"/>
  <c r="T47" i="9"/>
  <c r="T44" i="9"/>
  <c r="W4" i="9"/>
  <c r="W5" i="9"/>
  <c r="W6" i="9"/>
  <c r="W7" i="9"/>
  <c r="W8" i="9"/>
  <c r="W9" i="9"/>
  <c r="W10" i="9"/>
  <c r="W11" i="9"/>
  <c r="W12" i="9"/>
  <c r="W13" i="9"/>
  <c r="W14" i="9"/>
  <c r="W15" i="9"/>
  <c r="W16" i="9"/>
  <c r="W17" i="9"/>
  <c r="W18" i="9"/>
  <c r="W19" i="9"/>
  <c r="W20" i="9"/>
  <c r="W21" i="9"/>
  <c r="W22" i="9"/>
  <c r="W23" i="9"/>
  <c r="W24" i="9"/>
  <c r="W25" i="9"/>
  <c r="W26" i="9"/>
  <c r="W27" i="9"/>
  <c r="W28" i="9"/>
  <c r="W29" i="9"/>
  <c r="W30" i="9"/>
  <c r="W31" i="9"/>
  <c r="W32" i="9"/>
  <c r="W3" i="9"/>
  <c r="L3" i="9"/>
  <c r="L4" i="9"/>
  <c r="L5" i="9"/>
  <c r="L6" i="9"/>
  <c r="L7" i="9"/>
  <c r="L8" i="9"/>
  <c r="L9" i="9"/>
  <c r="L10" i="9"/>
  <c r="L11" i="9"/>
  <c r="L12" i="9"/>
  <c r="L13" i="9"/>
  <c r="L14" i="9"/>
  <c r="L15" i="9"/>
  <c r="L16" i="9"/>
  <c r="L17" i="9"/>
  <c r="L18" i="9"/>
  <c r="L19" i="9"/>
  <c r="L20" i="9"/>
  <c r="L21" i="9"/>
  <c r="L22" i="9"/>
  <c r="L23" i="9"/>
  <c r="L24" i="9"/>
  <c r="L25" i="9"/>
  <c r="L26" i="9"/>
  <c r="L27" i="9"/>
  <c r="L28" i="9"/>
  <c r="L29" i="9"/>
  <c r="L30" i="9"/>
  <c r="L31" i="9"/>
  <c r="L32" i="9"/>
  <c r="D35" i="9"/>
  <c r="E35" i="9"/>
  <c r="F35" i="9"/>
  <c r="G35" i="9"/>
  <c r="H35" i="9"/>
  <c r="I35" i="9"/>
  <c r="J35" i="9"/>
  <c r="K35" i="9"/>
  <c r="C35" i="10"/>
  <c r="D34" i="9"/>
  <c r="E34" i="9"/>
  <c r="F34" i="9"/>
  <c r="G34" i="9"/>
  <c r="H34" i="9"/>
  <c r="I34" i="9"/>
  <c r="J34" i="9"/>
  <c r="K34" i="9"/>
  <c r="C34" i="9"/>
  <c r="D33" i="9"/>
  <c r="E33" i="9"/>
  <c r="F33" i="9"/>
  <c r="G33" i="9"/>
  <c r="H33" i="9"/>
  <c r="I33" i="9"/>
  <c r="J33" i="9"/>
  <c r="K33" i="9"/>
  <c r="C33" i="9"/>
  <c r="X53" i="10"/>
  <c r="X52" i="10"/>
  <c r="X51" i="10"/>
  <c r="X50" i="10"/>
  <c r="X49" i="10"/>
  <c r="X48" i="10"/>
  <c r="X47" i="10"/>
  <c r="X46" i="10"/>
  <c r="X45" i="10"/>
  <c r="Y53" i="10"/>
  <c r="Y51" i="10"/>
  <c r="Y52" i="10"/>
  <c r="Y50" i="10"/>
  <c r="Y49" i="10"/>
  <c r="Y48" i="10"/>
  <c r="Y47" i="10"/>
  <c r="Y46" i="10"/>
  <c r="Y45" i="10"/>
  <c r="U33" i="10"/>
  <c r="O35" i="10"/>
  <c r="P35" i="10"/>
  <c r="Q35" i="10"/>
  <c r="R35" i="10"/>
  <c r="S35" i="10"/>
  <c r="T35" i="10"/>
  <c r="U35" i="10"/>
  <c r="V35" i="10"/>
  <c r="N35" i="10"/>
  <c r="D35" i="10"/>
  <c r="E35" i="10"/>
  <c r="F35" i="10"/>
  <c r="G35" i="10"/>
  <c r="H35" i="10"/>
  <c r="I35" i="10"/>
  <c r="J35" i="10"/>
  <c r="K35" i="10"/>
  <c r="L4" i="10"/>
  <c r="L5" i="10"/>
  <c r="L6" i="10"/>
  <c r="L7" i="10"/>
  <c r="L8" i="10"/>
  <c r="L9" i="10"/>
  <c r="L10" i="10"/>
  <c r="L11" i="10"/>
  <c r="L12" i="10"/>
  <c r="L13" i="10"/>
  <c r="L14" i="10"/>
  <c r="L15" i="10"/>
  <c r="L16" i="10"/>
  <c r="L17" i="10"/>
  <c r="L18" i="10"/>
  <c r="L19" i="10"/>
  <c r="L20" i="10"/>
  <c r="L21" i="10"/>
  <c r="L22" i="10"/>
  <c r="L23" i="10"/>
  <c r="L24" i="10"/>
  <c r="L25" i="10"/>
  <c r="L26" i="10"/>
  <c r="L27" i="10"/>
  <c r="L28" i="10"/>
  <c r="L29" i="10"/>
  <c r="L30" i="10"/>
  <c r="L31" i="10"/>
  <c r="L32" i="10"/>
  <c r="L3" i="10"/>
  <c r="V3" i="10"/>
  <c r="N3" i="10"/>
  <c r="D34" i="10"/>
  <c r="E34" i="10"/>
  <c r="F34" i="10"/>
  <c r="G34" i="10"/>
  <c r="H34" i="10"/>
  <c r="I34" i="10"/>
  <c r="J34" i="10"/>
  <c r="K34" i="10"/>
  <c r="C34" i="10"/>
  <c r="D33" i="10"/>
  <c r="E33" i="10"/>
  <c r="F33" i="10"/>
  <c r="G33" i="10"/>
  <c r="H33" i="10"/>
  <c r="I33" i="10"/>
  <c r="J33" i="10"/>
  <c r="K33" i="10"/>
  <c r="C33" i="10"/>
  <c r="D7" i="4" l="1"/>
  <c r="C7" i="4"/>
  <c r="E6" i="4"/>
  <c r="E4" i="4"/>
  <c r="C4" i="4"/>
  <c r="D7" i="6"/>
  <c r="D4" i="6"/>
  <c r="E3" i="6"/>
  <c r="G12" i="3" l="1"/>
  <c r="F10" i="3"/>
  <c r="V6" i="3"/>
  <c r="V12" i="3"/>
  <c r="W11" i="3"/>
  <c r="V8" i="3"/>
  <c r="W7" i="3"/>
  <c r="W12" i="3"/>
  <c r="W8" i="3"/>
  <c r="W6" i="3"/>
  <c r="B41" i="7"/>
  <c r="B40" i="7"/>
  <c r="B38" i="7"/>
  <c r="V32" i="7"/>
  <c r="U32" i="7"/>
  <c r="T32" i="7"/>
  <c r="S32" i="7"/>
  <c r="R32" i="7"/>
  <c r="Q32" i="7"/>
  <c r="P32" i="7"/>
  <c r="O32" i="7"/>
  <c r="N32" i="7"/>
  <c r="V31" i="7"/>
  <c r="U31" i="7"/>
  <c r="T31" i="7"/>
  <c r="S31" i="7"/>
  <c r="R31" i="7"/>
  <c r="Q31" i="7"/>
  <c r="P31" i="7"/>
  <c r="O31" i="7"/>
  <c r="N31" i="7"/>
  <c r="V30" i="7"/>
  <c r="U30" i="7"/>
  <c r="T30" i="7"/>
  <c r="S30" i="7"/>
  <c r="R30" i="7"/>
  <c r="Q30" i="7"/>
  <c r="P30" i="7"/>
  <c r="O30" i="7"/>
  <c r="N30" i="7"/>
  <c r="V29" i="7"/>
  <c r="U29" i="7"/>
  <c r="T29" i="7"/>
  <c r="S29" i="7"/>
  <c r="R29" i="7"/>
  <c r="Q29" i="7"/>
  <c r="P29" i="7"/>
  <c r="O29" i="7"/>
  <c r="N29" i="7"/>
  <c r="V28" i="7"/>
  <c r="U28" i="7"/>
  <c r="T28" i="7"/>
  <c r="S28" i="7"/>
  <c r="R28" i="7"/>
  <c r="Q28" i="7"/>
  <c r="P28" i="7"/>
  <c r="O28" i="7"/>
  <c r="N28" i="7"/>
  <c r="V27" i="7"/>
  <c r="U27" i="7"/>
  <c r="T27" i="7"/>
  <c r="S27" i="7"/>
  <c r="R27" i="7"/>
  <c r="Q27" i="7"/>
  <c r="P27" i="7"/>
  <c r="O27" i="7"/>
  <c r="N27" i="7"/>
  <c r="V26" i="7"/>
  <c r="U26" i="7"/>
  <c r="T26" i="7"/>
  <c r="S26" i="7"/>
  <c r="R26" i="7"/>
  <c r="Q26" i="7"/>
  <c r="P26" i="7"/>
  <c r="O26" i="7"/>
  <c r="N26" i="7"/>
  <c r="V25" i="7"/>
  <c r="U25" i="7"/>
  <c r="T25" i="7"/>
  <c r="S25" i="7"/>
  <c r="R25" i="7"/>
  <c r="Q25" i="7"/>
  <c r="P25" i="7"/>
  <c r="O25" i="7"/>
  <c r="N25" i="7"/>
  <c r="V24" i="7"/>
  <c r="U24" i="7"/>
  <c r="T24" i="7"/>
  <c r="S24" i="7"/>
  <c r="R24" i="7"/>
  <c r="Q24" i="7"/>
  <c r="P24" i="7"/>
  <c r="O24" i="7"/>
  <c r="N24" i="7"/>
  <c r="V23" i="7"/>
  <c r="U23" i="7"/>
  <c r="T23" i="7"/>
  <c r="S23" i="7"/>
  <c r="R23" i="7"/>
  <c r="Q23" i="7"/>
  <c r="P23" i="7"/>
  <c r="O23" i="7"/>
  <c r="N23" i="7"/>
  <c r="V22" i="7"/>
  <c r="U22" i="7"/>
  <c r="T22" i="7"/>
  <c r="S22" i="7"/>
  <c r="R22" i="7"/>
  <c r="Q22" i="7"/>
  <c r="P22" i="7"/>
  <c r="O22" i="7"/>
  <c r="N22" i="7"/>
  <c r="V21" i="7"/>
  <c r="U21" i="7"/>
  <c r="T21" i="7"/>
  <c r="S21" i="7"/>
  <c r="R21" i="7"/>
  <c r="Q21" i="7"/>
  <c r="P21" i="7"/>
  <c r="O21" i="7"/>
  <c r="N21" i="7"/>
  <c r="V20" i="7"/>
  <c r="U20" i="7"/>
  <c r="T20" i="7"/>
  <c r="S20" i="7"/>
  <c r="R20" i="7"/>
  <c r="Q20" i="7"/>
  <c r="P20" i="7"/>
  <c r="O20" i="7"/>
  <c r="N20" i="7"/>
  <c r="V19" i="7"/>
  <c r="U19" i="7"/>
  <c r="T19" i="7"/>
  <c r="S19" i="7"/>
  <c r="R19" i="7"/>
  <c r="Q19" i="7"/>
  <c r="P19" i="7"/>
  <c r="O19" i="7"/>
  <c r="N19" i="7"/>
  <c r="V18" i="7"/>
  <c r="U18" i="7"/>
  <c r="T18" i="7"/>
  <c r="S18" i="7"/>
  <c r="R18" i="7"/>
  <c r="Q18" i="7"/>
  <c r="P18" i="7"/>
  <c r="O18" i="7"/>
  <c r="N18" i="7"/>
  <c r="V17" i="7"/>
  <c r="U17" i="7"/>
  <c r="T17" i="7"/>
  <c r="S17" i="7"/>
  <c r="R17" i="7"/>
  <c r="Q17" i="7"/>
  <c r="P17" i="7"/>
  <c r="O17" i="7"/>
  <c r="N17" i="7"/>
  <c r="V16" i="7"/>
  <c r="U16" i="7"/>
  <c r="T16" i="7"/>
  <c r="S16" i="7"/>
  <c r="R16" i="7"/>
  <c r="Q16" i="7"/>
  <c r="P16" i="7"/>
  <c r="O16" i="7"/>
  <c r="N16" i="7"/>
  <c r="V15" i="7"/>
  <c r="U15" i="7"/>
  <c r="T15" i="7"/>
  <c r="S15" i="7"/>
  <c r="R15" i="7"/>
  <c r="Q15" i="7"/>
  <c r="P15" i="7"/>
  <c r="O15" i="7"/>
  <c r="N15" i="7"/>
  <c r="V14" i="7"/>
  <c r="U14" i="7"/>
  <c r="T14" i="7"/>
  <c r="S14" i="7"/>
  <c r="R14" i="7"/>
  <c r="Q14" i="7"/>
  <c r="P14" i="7"/>
  <c r="O14" i="7"/>
  <c r="N14" i="7"/>
  <c r="V13" i="7"/>
  <c r="U13" i="7"/>
  <c r="T13" i="7"/>
  <c r="S13" i="7"/>
  <c r="R13" i="7"/>
  <c r="Q13" i="7"/>
  <c r="P13" i="7"/>
  <c r="O13" i="7"/>
  <c r="N13" i="7"/>
  <c r="V12" i="7"/>
  <c r="U12" i="7"/>
  <c r="T12" i="7"/>
  <c r="S12" i="7"/>
  <c r="R12" i="7"/>
  <c r="Q12" i="7"/>
  <c r="P12" i="7"/>
  <c r="O12" i="7"/>
  <c r="N12" i="7"/>
  <c r="V11" i="7"/>
  <c r="U11" i="7"/>
  <c r="T11" i="7"/>
  <c r="S11" i="7"/>
  <c r="R11" i="7"/>
  <c r="Q11" i="7"/>
  <c r="P11" i="7"/>
  <c r="O11" i="7"/>
  <c r="N11" i="7"/>
  <c r="V10" i="7"/>
  <c r="U10" i="7"/>
  <c r="T10" i="7"/>
  <c r="S10" i="7"/>
  <c r="R10" i="7"/>
  <c r="Q10" i="7"/>
  <c r="P10" i="7"/>
  <c r="O10" i="7"/>
  <c r="N10" i="7"/>
  <c r="V9" i="7"/>
  <c r="U9" i="7"/>
  <c r="T9" i="7"/>
  <c r="S9" i="7"/>
  <c r="R9" i="7"/>
  <c r="Q9" i="7"/>
  <c r="P9" i="7"/>
  <c r="O9" i="7"/>
  <c r="N9" i="7"/>
  <c r="V8" i="7"/>
  <c r="U8" i="7"/>
  <c r="T8" i="7"/>
  <c r="S8" i="7"/>
  <c r="R8" i="7"/>
  <c r="Q8" i="7"/>
  <c r="P8" i="7"/>
  <c r="O8" i="7"/>
  <c r="N8" i="7"/>
  <c r="V7" i="7"/>
  <c r="U7" i="7"/>
  <c r="T7" i="7"/>
  <c r="S7" i="7"/>
  <c r="R7" i="7"/>
  <c r="Q7" i="7"/>
  <c r="P7" i="7"/>
  <c r="O7" i="7"/>
  <c r="N7" i="7"/>
  <c r="V6" i="7"/>
  <c r="U6" i="7"/>
  <c r="T6" i="7"/>
  <c r="S6" i="7"/>
  <c r="R6" i="7"/>
  <c r="Q6" i="7"/>
  <c r="P6" i="7"/>
  <c r="O6" i="7"/>
  <c r="N6" i="7"/>
  <c r="V5" i="7"/>
  <c r="U5" i="7"/>
  <c r="T5" i="7"/>
  <c r="S5" i="7"/>
  <c r="R5" i="7"/>
  <c r="Q5" i="7"/>
  <c r="P5" i="7"/>
  <c r="O5" i="7"/>
  <c r="N5" i="7"/>
  <c r="V4" i="7"/>
  <c r="U4" i="7"/>
  <c r="T4" i="7"/>
  <c r="S4" i="7"/>
  <c r="R4" i="7"/>
  <c r="Q4" i="7"/>
  <c r="P4" i="7"/>
  <c r="O4" i="7"/>
  <c r="N4" i="7"/>
  <c r="V3" i="7"/>
  <c r="U3" i="7"/>
  <c r="T3" i="7"/>
  <c r="S3" i="7"/>
  <c r="R3" i="7"/>
  <c r="Q3" i="7"/>
  <c r="P3" i="7"/>
  <c r="O3" i="7"/>
  <c r="N3" i="7"/>
  <c r="B41" i="10"/>
  <c r="B42" i="9"/>
  <c r="B41" i="9"/>
  <c r="B39" i="9"/>
  <c r="V32" i="9"/>
  <c r="U32" i="9"/>
  <c r="T32" i="9"/>
  <c r="S32" i="9"/>
  <c r="R32" i="9"/>
  <c r="Q32" i="9"/>
  <c r="P32" i="9"/>
  <c r="O32" i="9"/>
  <c r="N32" i="9"/>
  <c r="V31" i="9"/>
  <c r="U31" i="9"/>
  <c r="T31" i="9"/>
  <c r="S31" i="9"/>
  <c r="R31" i="9"/>
  <c r="Q31" i="9"/>
  <c r="P31" i="9"/>
  <c r="O31" i="9"/>
  <c r="N31" i="9"/>
  <c r="V30" i="9"/>
  <c r="U30" i="9"/>
  <c r="T30" i="9"/>
  <c r="S30" i="9"/>
  <c r="R30" i="9"/>
  <c r="Q30" i="9"/>
  <c r="P30" i="9"/>
  <c r="O30" i="9"/>
  <c r="N30" i="9"/>
  <c r="V29" i="9"/>
  <c r="U29" i="9"/>
  <c r="T29" i="9"/>
  <c r="S29" i="9"/>
  <c r="R29" i="9"/>
  <c r="Q29" i="9"/>
  <c r="P29" i="9"/>
  <c r="O29" i="9"/>
  <c r="N29" i="9"/>
  <c r="V28" i="9"/>
  <c r="U28" i="9"/>
  <c r="T28" i="9"/>
  <c r="S28" i="9"/>
  <c r="R28" i="9"/>
  <c r="Q28" i="9"/>
  <c r="P28" i="9"/>
  <c r="O28" i="9"/>
  <c r="N28" i="9"/>
  <c r="V27" i="9"/>
  <c r="U27" i="9"/>
  <c r="T27" i="9"/>
  <c r="S27" i="9"/>
  <c r="R27" i="9"/>
  <c r="Q27" i="9"/>
  <c r="P27" i="9"/>
  <c r="O27" i="9"/>
  <c r="N27" i="9"/>
  <c r="V26" i="9"/>
  <c r="U26" i="9"/>
  <c r="T26" i="9"/>
  <c r="S26" i="9"/>
  <c r="R26" i="9"/>
  <c r="Q26" i="9"/>
  <c r="P26" i="9"/>
  <c r="O26" i="9"/>
  <c r="N26" i="9"/>
  <c r="V25" i="9"/>
  <c r="U25" i="9"/>
  <c r="T25" i="9"/>
  <c r="S25" i="9"/>
  <c r="R25" i="9"/>
  <c r="Q25" i="9"/>
  <c r="P25" i="9"/>
  <c r="O25" i="9"/>
  <c r="N25" i="9"/>
  <c r="V24" i="9"/>
  <c r="U24" i="9"/>
  <c r="T24" i="9"/>
  <c r="S24" i="9"/>
  <c r="R24" i="9"/>
  <c r="Q24" i="9"/>
  <c r="P24" i="9"/>
  <c r="O24" i="9"/>
  <c r="N24" i="9"/>
  <c r="V23" i="9"/>
  <c r="U23" i="9"/>
  <c r="T23" i="9"/>
  <c r="S23" i="9"/>
  <c r="R23" i="9"/>
  <c r="Q23" i="9"/>
  <c r="P23" i="9"/>
  <c r="O23" i="9"/>
  <c r="N23" i="9"/>
  <c r="V22" i="9"/>
  <c r="U22" i="9"/>
  <c r="T22" i="9"/>
  <c r="S22" i="9"/>
  <c r="R22" i="9"/>
  <c r="Q22" i="9"/>
  <c r="P22" i="9"/>
  <c r="O22" i="9"/>
  <c r="N22" i="9"/>
  <c r="V21" i="9"/>
  <c r="U21" i="9"/>
  <c r="T21" i="9"/>
  <c r="S21" i="9"/>
  <c r="R21" i="9"/>
  <c r="Q21" i="9"/>
  <c r="P21" i="9"/>
  <c r="O21" i="9"/>
  <c r="N21" i="9"/>
  <c r="V20" i="9"/>
  <c r="U20" i="9"/>
  <c r="T20" i="9"/>
  <c r="S20" i="9"/>
  <c r="R20" i="9"/>
  <c r="Q20" i="9"/>
  <c r="P20" i="9"/>
  <c r="O20" i="9"/>
  <c r="N20" i="9"/>
  <c r="V19" i="9"/>
  <c r="U19" i="9"/>
  <c r="T19" i="9"/>
  <c r="S19" i="9"/>
  <c r="R19" i="9"/>
  <c r="Q19" i="9"/>
  <c r="P19" i="9"/>
  <c r="O19" i="9"/>
  <c r="N19" i="9"/>
  <c r="V18" i="9"/>
  <c r="U18" i="9"/>
  <c r="T18" i="9"/>
  <c r="S18" i="9"/>
  <c r="R18" i="9"/>
  <c r="Q18" i="9"/>
  <c r="P18" i="9"/>
  <c r="O18" i="9"/>
  <c r="N18" i="9"/>
  <c r="V17" i="9"/>
  <c r="U17" i="9"/>
  <c r="T17" i="9"/>
  <c r="S17" i="9"/>
  <c r="R17" i="9"/>
  <c r="Q17" i="9"/>
  <c r="P17" i="9"/>
  <c r="O17" i="9"/>
  <c r="N17" i="9"/>
  <c r="V16" i="9"/>
  <c r="U16" i="9"/>
  <c r="T16" i="9"/>
  <c r="S16" i="9"/>
  <c r="R16" i="9"/>
  <c r="Q16" i="9"/>
  <c r="P16" i="9"/>
  <c r="O16" i="9"/>
  <c r="N16" i="9"/>
  <c r="V15" i="9"/>
  <c r="U15" i="9"/>
  <c r="T15" i="9"/>
  <c r="S15" i="9"/>
  <c r="R15" i="9"/>
  <c r="Q15" i="9"/>
  <c r="P15" i="9"/>
  <c r="O15" i="9"/>
  <c r="N15" i="9"/>
  <c r="V14" i="9"/>
  <c r="U14" i="9"/>
  <c r="T14" i="9"/>
  <c r="S14" i="9"/>
  <c r="R14" i="9"/>
  <c r="Q14" i="9"/>
  <c r="P14" i="9"/>
  <c r="O14" i="9"/>
  <c r="N14" i="9"/>
  <c r="V13" i="9"/>
  <c r="U13" i="9"/>
  <c r="T13" i="9"/>
  <c r="S13" i="9"/>
  <c r="R13" i="9"/>
  <c r="Q13" i="9"/>
  <c r="P13" i="9"/>
  <c r="O13" i="9"/>
  <c r="N13" i="9"/>
  <c r="V12" i="9"/>
  <c r="U12" i="9"/>
  <c r="T12" i="9"/>
  <c r="S12" i="9"/>
  <c r="R12" i="9"/>
  <c r="Q12" i="9"/>
  <c r="P12" i="9"/>
  <c r="O12" i="9"/>
  <c r="N12" i="9"/>
  <c r="V11" i="9"/>
  <c r="U11" i="9"/>
  <c r="T11" i="9"/>
  <c r="S11" i="9"/>
  <c r="R11" i="9"/>
  <c r="Q11" i="9"/>
  <c r="P11" i="9"/>
  <c r="O11" i="9"/>
  <c r="N11" i="9"/>
  <c r="V10" i="9"/>
  <c r="U10" i="9"/>
  <c r="T10" i="9"/>
  <c r="S10" i="9"/>
  <c r="R10" i="9"/>
  <c r="Q10" i="9"/>
  <c r="P10" i="9"/>
  <c r="O10" i="9"/>
  <c r="N10" i="9"/>
  <c r="V9" i="9"/>
  <c r="U9" i="9"/>
  <c r="T9" i="9"/>
  <c r="S9" i="9"/>
  <c r="R9" i="9"/>
  <c r="Q9" i="9"/>
  <c r="P9" i="9"/>
  <c r="O9" i="9"/>
  <c r="N9" i="9"/>
  <c r="V8" i="9"/>
  <c r="U8" i="9"/>
  <c r="T8" i="9"/>
  <c r="S8" i="9"/>
  <c r="R8" i="9"/>
  <c r="Q8" i="9"/>
  <c r="P8" i="9"/>
  <c r="O8" i="9"/>
  <c r="N8" i="9"/>
  <c r="V7" i="9"/>
  <c r="U7" i="9"/>
  <c r="T7" i="9"/>
  <c r="S7" i="9"/>
  <c r="R7" i="9"/>
  <c r="Q7" i="9"/>
  <c r="P7" i="9"/>
  <c r="O7" i="9"/>
  <c r="N7" i="9"/>
  <c r="V6" i="9"/>
  <c r="U6" i="9"/>
  <c r="T6" i="9"/>
  <c r="S6" i="9"/>
  <c r="R6" i="9"/>
  <c r="Q6" i="9"/>
  <c r="P6" i="9"/>
  <c r="O6" i="9"/>
  <c r="N6" i="9"/>
  <c r="V5" i="9"/>
  <c r="U5" i="9"/>
  <c r="T5" i="9"/>
  <c r="S5" i="9"/>
  <c r="R5" i="9"/>
  <c r="Q5" i="9"/>
  <c r="P5" i="9"/>
  <c r="O5" i="9"/>
  <c r="N5" i="9"/>
  <c r="V4" i="9"/>
  <c r="U4" i="9"/>
  <c r="T4" i="9"/>
  <c r="S4" i="9"/>
  <c r="R4" i="9"/>
  <c r="Q4" i="9"/>
  <c r="P4" i="9"/>
  <c r="O4" i="9"/>
  <c r="N4" i="9"/>
  <c r="V3" i="9"/>
  <c r="U3" i="9"/>
  <c r="T3" i="9"/>
  <c r="S3" i="9"/>
  <c r="R3" i="9"/>
  <c r="Q3" i="9"/>
  <c r="N3" i="9"/>
  <c r="B35" i="3"/>
  <c r="B33" i="3"/>
  <c r="B32" i="3"/>
  <c r="B31" i="3"/>
  <c r="B30" i="3"/>
  <c r="B29" i="3"/>
  <c r="B34" i="12"/>
  <c r="B32" i="12"/>
  <c r="B31" i="12"/>
  <c r="B30" i="12"/>
  <c r="B29" i="12"/>
  <c r="B28" i="12"/>
  <c r="F5" i="12"/>
  <c r="F3" i="12"/>
  <c r="B34" i="2"/>
  <c r="B32" i="2"/>
  <c r="B31" i="2"/>
  <c r="B30" i="2"/>
  <c r="B33" i="2"/>
  <c r="B28" i="2"/>
  <c r="E20" i="2"/>
  <c r="F20" i="2" s="1"/>
  <c r="G20" i="2" s="1"/>
  <c r="D20" i="2"/>
  <c r="C20" i="2"/>
  <c r="E8" i="2"/>
  <c r="D8" i="2"/>
  <c r="C8" i="2"/>
  <c r="E7" i="2"/>
  <c r="D7" i="2"/>
  <c r="C7" i="2"/>
  <c r="G10" i="2"/>
  <c r="G9" i="2"/>
  <c r="E6" i="2"/>
  <c r="D6" i="2"/>
  <c r="C6" i="2"/>
  <c r="G3" i="2"/>
  <c r="G11" i="2"/>
  <c r="G5" i="2"/>
  <c r="G29" i="4"/>
  <c r="G30" i="4"/>
  <c r="G31" i="4"/>
  <c r="G32" i="4"/>
  <c r="G28" i="4"/>
  <c r="F29" i="4"/>
  <c r="F30" i="4"/>
  <c r="F31" i="4"/>
  <c r="F32" i="4"/>
  <c r="F28" i="4"/>
  <c r="G30" i="6"/>
  <c r="G29" i="6"/>
  <c r="G28" i="6"/>
  <c r="B34" i="4"/>
  <c r="B33" i="4" s="1"/>
  <c r="B32" i="4"/>
  <c r="B31" i="4"/>
  <c r="B30" i="4"/>
  <c r="B29" i="4"/>
  <c r="B28" i="4"/>
  <c r="F7" i="4"/>
  <c r="D20" i="4" s="1"/>
  <c r="F10" i="4"/>
  <c r="D21" i="4" s="1"/>
  <c r="G5" i="4"/>
  <c r="G10" i="4"/>
  <c r="G9" i="4"/>
  <c r="G6" i="4"/>
  <c r="G11" i="6"/>
  <c r="G3" i="6"/>
  <c r="G4" i="6"/>
  <c r="G5" i="6"/>
  <c r="G6" i="6"/>
  <c r="G7" i="6"/>
  <c r="G8" i="6"/>
  <c r="G9" i="6"/>
  <c r="G10" i="6"/>
  <c r="G32" i="6"/>
  <c r="G31" i="6"/>
  <c r="G28" i="5"/>
  <c r="G27" i="5"/>
  <c r="G29" i="5"/>
  <c r="C34" i="6"/>
  <c r="C33" i="6" s="1"/>
  <c r="C32" i="6"/>
  <c r="C31" i="6"/>
  <c r="C30" i="6"/>
  <c r="C29" i="6"/>
  <c r="C28" i="6"/>
  <c r="D21" i="6"/>
  <c r="C21" i="6"/>
  <c r="E20" i="6"/>
  <c r="B42" i="10"/>
  <c r="B39" i="10"/>
  <c r="Q16" i="10"/>
  <c r="N4" i="10"/>
  <c r="O4" i="10"/>
  <c r="P4" i="10"/>
  <c r="Q4" i="10"/>
  <c r="R4" i="10"/>
  <c r="S4" i="10"/>
  <c r="T4" i="10"/>
  <c r="U4" i="10"/>
  <c r="V4" i="10"/>
  <c r="N5" i="10"/>
  <c r="O5" i="10"/>
  <c r="P5" i="10"/>
  <c r="Q5" i="10"/>
  <c r="R5" i="10"/>
  <c r="S5" i="10"/>
  <c r="T5" i="10"/>
  <c r="U5" i="10"/>
  <c r="V5" i="10"/>
  <c r="N6" i="10"/>
  <c r="O6" i="10"/>
  <c r="P6" i="10"/>
  <c r="Q6" i="10"/>
  <c r="R6" i="10"/>
  <c r="S6" i="10"/>
  <c r="T6" i="10"/>
  <c r="U6" i="10"/>
  <c r="V6" i="10"/>
  <c r="N7" i="10"/>
  <c r="O7" i="10"/>
  <c r="P7" i="10"/>
  <c r="Q7" i="10"/>
  <c r="R7" i="10"/>
  <c r="S7" i="10"/>
  <c r="T7" i="10"/>
  <c r="U7" i="10"/>
  <c r="V7" i="10"/>
  <c r="N8" i="10"/>
  <c r="O8" i="10"/>
  <c r="P8" i="10"/>
  <c r="Q8" i="10"/>
  <c r="R8" i="10"/>
  <c r="S8" i="10"/>
  <c r="T8" i="10"/>
  <c r="U8" i="10"/>
  <c r="V8" i="10"/>
  <c r="N9" i="10"/>
  <c r="O9" i="10"/>
  <c r="P9" i="10"/>
  <c r="Q9" i="10"/>
  <c r="R9" i="10"/>
  <c r="S9" i="10"/>
  <c r="T9" i="10"/>
  <c r="U9" i="10"/>
  <c r="V9" i="10"/>
  <c r="N10" i="10"/>
  <c r="O10" i="10"/>
  <c r="P10" i="10"/>
  <c r="Q10" i="10"/>
  <c r="R10" i="10"/>
  <c r="S10" i="10"/>
  <c r="T10" i="10"/>
  <c r="U10" i="10"/>
  <c r="V10" i="10"/>
  <c r="N11" i="10"/>
  <c r="O11" i="10"/>
  <c r="P11" i="10"/>
  <c r="Q11" i="10"/>
  <c r="R11" i="10"/>
  <c r="S11" i="10"/>
  <c r="T11" i="10"/>
  <c r="U11" i="10"/>
  <c r="V11" i="10"/>
  <c r="N12" i="10"/>
  <c r="O12" i="10"/>
  <c r="P12" i="10"/>
  <c r="Q12" i="10"/>
  <c r="R12" i="10"/>
  <c r="S12" i="10"/>
  <c r="T12" i="10"/>
  <c r="U12" i="10"/>
  <c r="V12" i="10"/>
  <c r="N13" i="10"/>
  <c r="O13" i="10"/>
  <c r="P13" i="10"/>
  <c r="Q13" i="10"/>
  <c r="R13" i="10"/>
  <c r="S13" i="10"/>
  <c r="T13" i="10"/>
  <c r="U13" i="10"/>
  <c r="V13" i="10"/>
  <c r="N14" i="10"/>
  <c r="O14" i="10"/>
  <c r="P14" i="10"/>
  <c r="Q14" i="10"/>
  <c r="R14" i="10"/>
  <c r="S14" i="10"/>
  <c r="T14" i="10"/>
  <c r="U14" i="10"/>
  <c r="V14" i="10"/>
  <c r="N15" i="10"/>
  <c r="O15" i="10"/>
  <c r="P15" i="10"/>
  <c r="Q15" i="10"/>
  <c r="R15" i="10"/>
  <c r="S15" i="10"/>
  <c r="T15" i="10"/>
  <c r="U15" i="10"/>
  <c r="V15" i="10"/>
  <c r="N16" i="10"/>
  <c r="O16" i="10"/>
  <c r="P16" i="10"/>
  <c r="R16" i="10"/>
  <c r="S16" i="10"/>
  <c r="T16" i="10"/>
  <c r="U16" i="10"/>
  <c r="V16" i="10"/>
  <c r="N17" i="10"/>
  <c r="O17" i="10"/>
  <c r="P17" i="10"/>
  <c r="Q17" i="10"/>
  <c r="R17" i="10"/>
  <c r="S17" i="10"/>
  <c r="T17" i="10"/>
  <c r="U17" i="10"/>
  <c r="V17" i="10"/>
  <c r="N18" i="10"/>
  <c r="O18" i="10"/>
  <c r="P18" i="10"/>
  <c r="Q18" i="10"/>
  <c r="R18" i="10"/>
  <c r="S18" i="10"/>
  <c r="T18" i="10"/>
  <c r="U18" i="10"/>
  <c r="V18" i="10"/>
  <c r="N19" i="10"/>
  <c r="O19" i="10"/>
  <c r="P19" i="10"/>
  <c r="Q19" i="10"/>
  <c r="R19" i="10"/>
  <c r="S19" i="10"/>
  <c r="T19" i="10"/>
  <c r="U19" i="10"/>
  <c r="V19" i="10"/>
  <c r="N20" i="10"/>
  <c r="O20" i="10"/>
  <c r="P20" i="10"/>
  <c r="Q20" i="10"/>
  <c r="R20" i="10"/>
  <c r="S20" i="10"/>
  <c r="T20" i="10"/>
  <c r="U20" i="10"/>
  <c r="V20" i="10"/>
  <c r="N21" i="10"/>
  <c r="O21" i="10"/>
  <c r="P21" i="10"/>
  <c r="Q21" i="10"/>
  <c r="R21" i="10"/>
  <c r="S21" i="10"/>
  <c r="T21" i="10"/>
  <c r="U21" i="10"/>
  <c r="V21" i="10"/>
  <c r="N22" i="10"/>
  <c r="O22" i="10"/>
  <c r="P22" i="10"/>
  <c r="Q22" i="10"/>
  <c r="R22" i="10"/>
  <c r="S22" i="10"/>
  <c r="T22" i="10"/>
  <c r="U22" i="10"/>
  <c r="V22" i="10"/>
  <c r="N23" i="10"/>
  <c r="O23" i="10"/>
  <c r="P23" i="10"/>
  <c r="Q23" i="10"/>
  <c r="R23" i="10"/>
  <c r="S23" i="10"/>
  <c r="T23" i="10"/>
  <c r="U23" i="10"/>
  <c r="V23" i="10"/>
  <c r="N24" i="10"/>
  <c r="O24" i="10"/>
  <c r="P24" i="10"/>
  <c r="Q24" i="10"/>
  <c r="R24" i="10"/>
  <c r="S24" i="10"/>
  <c r="T24" i="10"/>
  <c r="U24" i="10"/>
  <c r="V24" i="10"/>
  <c r="N25" i="10"/>
  <c r="O25" i="10"/>
  <c r="P25" i="10"/>
  <c r="Q25" i="10"/>
  <c r="R25" i="10"/>
  <c r="S25" i="10"/>
  <c r="T25" i="10"/>
  <c r="U25" i="10"/>
  <c r="V25" i="10"/>
  <c r="N26" i="10"/>
  <c r="O26" i="10"/>
  <c r="P26" i="10"/>
  <c r="Q26" i="10"/>
  <c r="R26" i="10"/>
  <c r="S26" i="10"/>
  <c r="T26" i="10"/>
  <c r="U26" i="10"/>
  <c r="V26" i="10"/>
  <c r="N27" i="10"/>
  <c r="O27" i="10"/>
  <c r="P27" i="10"/>
  <c r="Q27" i="10"/>
  <c r="R27" i="10"/>
  <c r="S27" i="10"/>
  <c r="T27" i="10"/>
  <c r="U27" i="10"/>
  <c r="V27" i="10"/>
  <c r="N28" i="10"/>
  <c r="O28" i="10"/>
  <c r="P28" i="10"/>
  <c r="Q28" i="10"/>
  <c r="R28" i="10"/>
  <c r="S28" i="10"/>
  <c r="T28" i="10"/>
  <c r="U28" i="10"/>
  <c r="V28" i="10"/>
  <c r="N29" i="10"/>
  <c r="O29" i="10"/>
  <c r="P29" i="10"/>
  <c r="Q29" i="10"/>
  <c r="R29" i="10"/>
  <c r="S29" i="10"/>
  <c r="T29" i="10"/>
  <c r="U29" i="10"/>
  <c r="V29" i="10"/>
  <c r="N30" i="10"/>
  <c r="O30" i="10"/>
  <c r="P30" i="10"/>
  <c r="Q30" i="10"/>
  <c r="R30" i="10"/>
  <c r="S30" i="10"/>
  <c r="T30" i="10"/>
  <c r="U30" i="10"/>
  <c r="V30" i="10"/>
  <c r="N31" i="10"/>
  <c r="O31" i="10"/>
  <c r="P31" i="10"/>
  <c r="Q31" i="10"/>
  <c r="R31" i="10"/>
  <c r="S31" i="10"/>
  <c r="T31" i="10"/>
  <c r="U31" i="10"/>
  <c r="V31" i="10"/>
  <c r="N32" i="10"/>
  <c r="O32" i="10"/>
  <c r="P32" i="10"/>
  <c r="Q32" i="10"/>
  <c r="R32" i="10"/>
  <c r="S32" i="10"/>
  <c r="T32" i="10"/>
  <c r="U32" i="10"/>
  <c r="V32" i="10"/>
  <c r="S3" i="10"/>
  <c r="S34" i="10" s="1"/>
  <c r="U3" i="10"/>
  <c r="U34" i="10" s="1"/>
  <c r="O3" i="10"/>
  <c r="P3" i="10"/>
  <c r="P34" i="10" s="1"/>
  <c r="Q3" i="10"/>
  <c r="Q34" i="10" s="1"/>
  <c r="R3" i="10"/>
  <c r="R34" i="10" s="1"/>
  <c r="T3" i="10"/>
  <c r="T34" i="10" s="1"/>
  <c r="C22" i="3" l="1"/>
  <c r="B33" i="12"/>
  <c r="G30" i="12" s="1"/>
  <c r="B34" i="3"/>
  <c r="F30" i="3" s="1"/>
  <c r="F11" i="3"/>
  <c r="D22" i="3" s="1"/>
  <c r="G11" i="3"/>
  <c r="F7" i="3"/>
  <c r="C21" i="3" s="1"/>
  <c r="W7" i="7"/>
  <c r="W27" i="7"/>
  <c r="W28" i="7"/>
  <c r="Q34" i="7"/>
  <c r="Q33" i="7"/>
  <c r="U34" i="7"/>
  <c r="W23" i="7"/>
  <c r="W4" i="7"/>
  <c r="W8" i="7"/>
  <c r="W12" i="7"/>
  <c r="W16" i="7"/>
  <c r="W20" i="7"/>
  <c r="W24" i="7"/>
  <c r="W32" i="7"/>
  <c r="W6" i="7"/>
  <c r="W10" i="7"/>
  <c r="W14" i="7"/>
  <c r="W18" i="7"/>
  <c r="W22" i="7"/>
  <c r="W26" i="7"/>
  <c r="W30" i="7"/>
  <c r="W3" i="7"/>
  <c r="W11" i="7"/>
  <c r="W15" i="7"/>
  <c r="W19" i="7"/>
  <c r="W31" i="7"/>
  <c r="W5" i="7"/>
  <c r="W9" i="7"/>
  <c r="W13" i="7"/>
  <c r="W17" i="7"/>
  <c r="W21" i="7"/>
  <c r="W25" i="7"/>
  <c r="W29" i="7"/>
  <c r="N34" i="7"/>
  <c r="R34" i="7"/>
  <c r="V34" i="7"/>
  <c r="O34" i="7"/>
  <c r="S34" i="7"/>
  <c r="P33" i="7"/>
  <c r="T46" i="7" s="1"/>
  <c r="P34" i="7"/>
  <c r="T33" i="7"/>
  <c r="T50" i="7" s="1"/>
  <c r="T34" i="7"/>
  <c r="O33" i="7"/>
  <c r="T45" i="7" s="1"/>
  <c r="S33" i="7"/>
  <c r="T49" i="7" s="1"/>
  <c r="U33" i="7"/>
  <c r="T51" i="7" s="1"/>
  <c r="N33" i="7"/>
  <c r="T44" i="7" s="1"/>
  <c r="R33" i="7"/>
  <c r="T48" i="7" s="1"/>
  <c r="V33" i="7"/>
  <c r="T52" i="7" s="1"/>
  <c r="Q34" i="9"/>
  <c r="Q35" i="9"/>
  <c r="U34" i="9"/>
  <c r="U35" i="9"/>
  <c r="N35" i="9"/>
  <c r="N34" i="9"/>
  <c r="N33" i="9"/>
  <c r="R35" i="9"/>
  <c r="R34" i="9"/>
  <c r="V35" i="9"/>
  <c r="V34" i="9"/>
  <c r="O35" i="9"/>
  <c r="O34" i="9"/>
  <c r="S35" i="9"/>
  <c r="S34" i="9"/>
  <c r="P35" i="9"/>
  <c r="P34" i="9"/>
  <c r="T35" i="9"/>
  <c r="T34" i="9"/>
  <c r="O33" i="9"/>
  <c r="S33" i="9"/>
  <c r="P33" i="9"/>
  <c r="T46" i="9" s="1"/>
  <c r="T33" i="9"/>
  <c r="U33" i="9"/>
  <c r="Q33" i="9"/>
  <c r="R33" i="9"/>
  <c r="V33" i="9"/>
  <c r="W30" i="10"/>
  <c r="W26" i="10"/>
  <c r="W22" i="10"/>
  <c r="W18" i="10"/>
  <c r="W13" i="10"/>
  <c r="W9" i="10"/>
  <c r="W5" i="10"/>
  <c r="W29" i="10"/>
  <c r="W25" i="10"/>
  <c r="W21" i="10"/>
  <c r="W17" i="10"/>
  <c r="W16" i="10"/>
  <c r="W12" i="10"/>
  <c r="W8" i="10"/>
  <c r="W4" i="10"/>
  <c r="W32" i="10"/>
  <c r="W28" i="10"/>
  <c r="W24" i="10"/>
  <c r="W20" i="10"/>
  <c r="W15" i="10"/>
  <c r="W11" i="10"/>
  <c r="W7" i="10"/>
  <c r="O34" i="10"/>
  <c r="W3" i="10"/>
  <c r="W31" i="10"/>
  <c r="W27" i="10"/>
  <c r="W23" i="10"/>
  <c r="W19" i="10"/>
  <c r="W14" i="10"/>
  <c r="W10" i="10"/>
  <c r="W6" i="10"/>
  <c r="V33" i="10"/>
  <c r="V34" i="10"/>
  <c r="N33" i="10"/>
  <c r="N34" i="10"/>
  <c r="R33" i="10"/>
  <c r="G6" i="3"/>
  <c r="G5" i="3"/>
  <c r="W5" i="3"/>
  <c r="V11" i="3"/>
  <c r="G8" i="3"/>
  <c r="V9" i="3"/>
  <c r="W9" i="3"/>
  <c r="G9" i="3"/>
  <c r="V7" i="3"/>
  <c r="T13" i="3"/>
  <c r="T14" i="3" s="1"/>
  <c r="U13" i="3"/>
  <c r="U14" i="3" s="1"/>
  <c r="V5" i="3"/>
  <c r="V4" i="3"/>
  <c r="F4" i="3"/>
  <c r="C20" i="3" s="1"/>
  <c r="W4" i="3"/>
  <c r="F31" i="3"/>
  <c r="F32" i="3"/>
  <c r="F29" i="3"/>
  <c r="F33" i="3"/>
  <c r="G33" i="3"/>
  <c r="G31" i="3"/>
  <c r="G29" i="3"/>
  <c r="G32" i="3"/>
  <c r="G7" i="3"/>
  <c r="G10" i="3"/>
  <c r="D13" i="3"/>
  <c r="D14" i="3" s="1"/>
  <c r="F5" i="3"/>
  <c r="D20" i="3" s="1"/>
  <c r="F8" i="3"/>
  <c r="D21" i="3" s="1"/>
  <c r="F12" i="3"/>
  <c r="E22" i="3" s="1"/>
  <c r="E13" i="3"/>
  <c r="F6" i="3"/>
  <c r="E20" i="3" s="1"/>
  <c r="D12" i="12"/>
  <c r="D13" i="12" s="1"/>
  <c r="E19" i="12"/>
  <c r="G3" i="12"/>
  <c r="E12" i="12"/>
  <c r="G32" i="12"/>
  <c r="F8" i="12"/>
  <c r="E20" i="12" s="1"/>
  <c r="F7" i="12"/>
  <c r="F4" i="12"/>
  <c r="F28" i="12"/>
  <c r="F32" i="12"/>
  <c r="G4" i="12"/>
  <c r="C12" i="12"/>
  <c r="G5" i="12"/>
  <c r="F30" i="2"/>
  <c r="G31" i="2"/>
  <c r="F28" i="2"/>
  <c r="F32" i="2"/>
  <c r="G32" i="2"/>
  <c r="G30" i="2"/>
  <c r="G28" i="2"/>
  <c r="F31" i="2"/>
  <c r="G29" i="2"/>
  <c r="F29" i="2"/>
  <c r="F8" i="2"/>
  <c r="F7" i="2"/>
  <c r="G7" i="2"/>
  <c r="G6" i="2"/>
  <c r="F4" i="2"/>
  <c r="D19" i="2" s="1"/>
  <c r="G4" i="2"/>
  <c r="F5" i="2"/>
  <c r="E19" i="2" s="1"/>
  <c r="G8" i="2"/>
  <c r="F9" i="2"/>
  <c r="C21" i="2" s="1"/>
  <c r="C12" i="2"/>
  <c r="C13" i="2" s="1"/>
  <c r="F6" i="2"/>
  <c r="F10" i="2"/>
  <c r="D21" i="2" s="1"/>
  <c r="D12" i="2"/>
  <c r="D13" i="2" s="1"/>
  <c r="F3" i="2"/>
  <c r="C19" i="2" s="1"/>
  <c r="F11" i="2"/>
  <c r="E21" i="2" s="1"/>
  <c r="E12" i="2"/>
  <c r="E13" i="2" s="1"/>
  <c r="F4" i="4"/>
  <c r="D19" i="4" s="1"/>
  <c r="D22" i="4" s="1"/>
  <c r="D23" i="4" s="1"/>
  <c r="G8" i="4"/>
  <c r="F11" i="4"/>
  <c r="E21" i="4" s="1"/>
  <c r="F8" i="4"/>
  <c r="E20" i="4" s="1"/>
  <c r="F3" i="4"/>
  <c r="F5" i="4"/>
  <c r="E19" i="4" s="1"/>
  <c r="G4" i="4"/>
  <c r="G7" i="4"/>
  <c r="G11" i="4"/>
  <c r="F9" i="4"/>
  <c r="C21" i="4" s="1"/>
  <c r="C12" i="4"/>
  <c r="G3" i="4"/>
  <c r="F6" i="4"/>
  <c r="C20" i="4" s="1"/>
  <c r="D12" i="4"/>
  <c r="D13" i="4" s="1"/>
  <c r="E12" i="4"/>
  <c r="E13" i="4" s="1"/>
  <c r="P33" i="10"/>
  <c r="S33" i="10"/>
  <c r="Q33" i="10"/>
  <c r="T33" i="10"/>
  <c r="O33" i="10"/>
  <c r="G4" i="5"/>
  <c r="G5" i="5"/>
  <c r="G6" i="5"/>
  <c r="G7" i="5"/>
  <c r="G8" i="5"/>
  <c r="G9" i="5"/>
  <c r="G10" i="5"/>
  <c r="G11" i="5"/>
  <c r="G3" i="5"/>
  <c r="G31" i="5"/>
  <c r="G30" i="5"/>
  <c r="H31" i="5"/>
  <c r="H30" i="5"/>
  <c r="H29" i="5"/>
  <c r="H28" i="5"/>
  <c r="H27" i="5"/>
  <c r="E14" i="3" l="1"/>
  <c r="G30" i="3"/>
  <c r="E13" i="12"/>
  <c r="F12" i="12"/>
  <c r="B15" i="12" s="1"/>
  <c r="G29" i="12"/>
  <c r="G28" i="12"/>
  <c r="F30" i="12"/>
  <c r="G31" i="12"/>
  <c r="F31" i="12"/>
  <c r="F29" i="12"/>
  <c r="E21" i="12"/>
  <c r="F21" i="4"/>
  <c r="G21" i="4" s="1"/>
  <c r="D20" i="12"/>
  <c r="D19" i="12"/>
  <c r="F22" i="3"/>
  <c r="G22" i="3" s="1"/>
  <c r="R38" i="9"/>
  <c r="T45" i="9"/>
  <c r="E22" i="2"/>
  <c r="E23" i="2" s="1"/>
  <c r="D22" i="2"/>
  <c r="D23" i="2" s="1"/>
  <c r="F21" i="2"/>
  <c r="G21" i="2" s="1"/>
  <c r="F19" i="2"/>
  <c r="G19" i="2" s="1"/>
  <c r="C22" i="2"/>
  <c r="C23" i="2" s="1"/>
  <c r="C20" i="12"/>
  <c r="T47" i="7"/>
  <c r="C38" i="7"/>
  <c r="B39" i="7"/>
  <c r="D40" i="7" s="1"/>
  <c r="C39" i="9"/>
  <c r="B40" i="9"/>
  <c r="D41" i="9" s="1"/>
  <c r="C39" i="10"/>
  <c r="B40" i="10"/>
  <c r="D41" i="10" s="1"/>
  <c r="F9" i="3"/>
  <c r="E21" i="3" s="1"/>
  <c r="F21" i="3" s="1"/>
  <c r="G21" i="3" s="1"/>
  <c r="C13" i="3"/>
  <c r="F14" i="3" s="1"/>
  <c r="V14" i="3"/>
  <c r="V13" i="3"/>
  <c r="S14" i="3"/>
  <c r="C23" i="3"/>
  <c r="C24" i="3" s="1"/>
  <c r="F20" i="3"/>
  <c r="G20" i="3" s="1"/>
  <c r="D23" i="3"/>
  <c r="D24" i="3" s="1"/>
  <c r="F13" i="12"/>
  <c r="C13" i="12"/>
  <c r="F12" i="2"/>
  <c r="B15" i="2" s="1"/>
  <c r="F13" i="2"/>
  <c r="F20" i="4"/>
  <c r="G20" i="4" s="1"/>
  <c r="E22" i="4"/>
  <c r="E23" i="4" s="1"/>
  <c r="C19" i="4"/>
  <c r="F13" i="4"/>
  <c r="C13" i="4"/>
  <c r="F12" i="4"/>
  <c r="B15" i="4" s="1"/>
  <c r="C34" i="12" l="1"/>
  <c r="C29" i="12"/>
  <c r="F21" i="12"/>
  <c r="G21" i="12" s="1"/>
  <c r="E22" i="12"/>
  <c r="C34" i="4"/>
  <c r="C28" i="4"/>
  <c r="D28" i="4" s="1"/>
  <c r="D22" i="12"/>
  <c r="D23" i="12" s="1"/>
  <c r="F20" i="12"/>
  <c r="G20" i="12" s="1"/>
  <c r="C34" i="2"/>
  <c r="D28" i="2"/>
  <c r="D30" i="2"/>
  <c r="D31" i="2"/>
  <c r="C28" i="12"/>
  <c r="C14" i="3"/>
  <c r="E23" i="3"/>
  <c r="E24" i="3" s="1"/>
  <c r="F13" i="3"/>
  <c r="B16" i="3" s="1"/>
  <c r="C22" i="12"/>
  <c r="F19" i="12"/>
  <c r="G19" i="12" s="1"/>
  <c r="C22" i="4"/>
  <c r="F19" i="4"/>
  <c r="C30" i="4" s="1"/>
  <c r="C29" i="4"/>
  <c r="D29" i="4" s="1"/>
  <c r="C35" i="3" l="1"/>
  <c r="C30" i="3"/>
  <c r="D30" i="3" s="1"/>
  <c r="C29" i="3"/>
  <c r="D29" i="3" s="1"/>
  <c r="E23" i="12"/>
  <c r="C31" i="12"/>
  <c r="D31" i="12" s="1"/>
  <c r="C23" i="12"/>
  <c r="D33" i="2"/>
  <c r="D29" i="2"/>
  <c r="D32" i="2"/>
  <c r="C33" i="12"/>
  <c r="D33" i="12" s="1"/>
  <c r="J2" i="12" s="1"/>
  <c r="L2" i="12" s="1"/>
  <c r="D28" i="12"/>
  <c r="C31" i="3"/>
  <c r="D31" i="3" s="1"/>
  <c r="C32" i="3"/>
  <c r="D32" i="3" s="1"/>
  <c r="D29" i="12"/>
  <c r="C30" i="12"/>
  <c r="D30" i="12" s="1"/>
  <c r="C33" i="4"/>
  <c r="D33" i="4" s="1"/>
  <c r="E29" i="4" s="1"/>
  <c r="G19" i="4"/>
  <c r="D30" i="4"/>
  <c r="C23" i="4"/>
  <c r="C31" i="4"/>
  <c r="D31" i="4" s="1"/>
  <c r="C33" i="5"/>
  <c r="C31" i="5"/>
  <c r="C30" i="5"/>
  <c r="C29" i="5"/>
  <c r="C28" i="5"/>
  <c r="C27" i="5"/>
  <c r="C34" i="3" l="1"/>
  <c r="D34" i="3" s="1"/>
  <c r="J3" i="3" s="1"/>
  <c r="L3" i="3" s="1"/>
  <c r="E31" i="12"/>
  <c r="E31" i="2"/>
  <c r="E30" i="2"/>
  <c r="E28" i="2"/>
  <c r="E32" i="2"/>
  <c r="E29" i="2"/>
  <c r="C33" i="3"/>
  <c r="D33" i="3" s="1"/>
  <c r="E29" i="12"/>
  <c r="E28" i="12"/>
  <c r="E30" i="12"/>
  <c r="C32" i="12"/>
  <c r="D32" i="12" s="1"/>
  <c r="E32" i="12" s="1"/>
  <c r="E31" i="4"/>
  <c r="E28" i="4"/>
  <c r="E30" i="4"/>
  <c r="C32" i="4"/>
  <c r="D32" i="4" s="1"/>
  <c r="E32" i="4" s="1"/>
  <c r="C32" i="5"/>
  <c r="D12" i="5"/>
  <c r="L7" i="3" l="1"/>
  <c r="E32" i="3"/>
  <c r="E33" i="3"/>
  <c r="E31" i="3"/>
  <c r="E30" i="3"/>
  <c r="E29" i="3"/>
  <c r="C12" i="5"/>
  <c r="F4" i="5"/>
  <c r="D18" i="5" s="1"/>
  <c r="F5" i="5"/>
  <c r="F6" i="5"/>
  <c r="C19" i="5" s="1"/>
  <c r="F7" i="5"/>
  <c r="D19" i="5" s="1"/>
  <c r="F8" i="5"/>
  <c r="E19" i="5" s="1"/>
  <c r="F9" i="5"/>
  <c r="C20" i="5" s="1"/>
  <c r="F10" i="5"/>
  <c r="D20" i="5" s="1"/>
  <c r="F11" i="5"/>
  <c r="E20" i="5" s="1"/>
  <c r="F3" i="5"/>
  <c r="C18" i="5" s="1"/>
  <c r="E4" i="6"/>
  <c r="E10" i="6"/>
  <c r="E9" i="6"/>
  <c r="E8" i="6"/>
  <c r="E6" i="6"/>
  <c r="E5" i="6"/>
  <c r="D10" i="6"/>
  <c r="D9" i="6"/>
  <c r="D8" i="6"/>
  <c r="D6" i="6"/>
  <c r="D5" i="6"/>
  <c r="D3" i="6"/>
  <c r="C10" i="6"/>
  <c r="C9" i="6"/>
  <c r="C8" i="6"/>
  <c r="C6" i="6"/>
  <c r="C12" i="6" l="1"/>
  <c r="E18" i="5"/>
  <c r="E21" i="5" s="1"/>
  <c r="E22" i="5" s="1"/>
  <c r="F19" i="5"/>
  <c r="G19" i="5" s="1"/>
  <c r="C21" i="5"/>
  <c r="C22" i="5" s="1"/>
  <c r="D21" i="5"/>
  <c r="D22" i="5" s="1"/>
  <c r="F20" i="5"/>
  <c r="G20" i="5" s="1"/>
  <c r="F12" i="5"/>
  <c r="D12" i="6"/>
  <c r="D13" i="6" s="1"/>
  <c r="F7" i="6"/>
  <c r="D20" i="6" s="1"/>
  <c r="F20" i="6" s="1"/>
  <c r="G20" i="6" s="1"/>
  <c r="F11" i="6"/>
  <c r="E21" i="6" s="1"/>
  <c r="F5" i="6"/>
  <c r="E19" i="6" s="1"/>
  <c r="F9" i="6"/>
  <c r="F8" i="6"/>
  <c r="F6" i="6"/>
  <c r="F10" i="6"/>
  <c r="F3" i="6"/>
  <c r="E12" i="6"/>
  <c r="F4" i="6"/>
  <c r="D19" i="6" s="1"/>
  <c r="P5" i="1"/>
  <c r="P4" i="1"/>
  <c r="B11" i="1"/>
  <c r="P7" i="1"/>
  <c r="P13" i="1" s="1"/>
  <c r="M3" i="1"/>
  <c r="U6" i="1"/>
  <c r="U5" i="1"/>
  <c r="U4" i="1"/>
  <c r="P6" i="1"/>
  <c r="P12" i="1" s="1"/>
  <c r="P8" i="1"/>
  <c r="P3" i="1"/>
  <c r="P11" i="1" s="1"/>
  <c r="C9" i="1"/>
  <c r="D9" i="1"/>
  <c r="E9" i="1"/>
  <c r="F9" i="1"/>
  <c r="G9" i="1"/>
  <c r="H9" i="1"/>
  <c r="I9" i="1"/>
  <c r="J9" i="1"/>
  <c r="B9" i="1"/>
  <c r="K4" i="1"/>
  <c r="M4" i="1" s="1"/>
  <c r="K5" i="1"/>
  <c r="M5" i="1" s="1"/>
  <c r="K6" i="1"/>
  <c r="M6" i="1" s="1"/>
  <c r="K7" i="1"/>
  <c r="M7" i="1" s="1"/>
  <c r="K8" i="1"/>
  <c r="M8" i="1" s="1"/>
  <c r="K3" i="1"/>
  <c r="C14" i="5" l="1"/>
  <c r="D22" i="6"/>
  <c r="D23" i="6" s="1"/>
  <c r="F12" i="6"/>
  <c r="F13" i="6"/>
  <c r="C15" i="6" s="1"/>
  <c r="D28" i="6" s="1"/>
  <c r="E28" i="6" s="1"/>
  <c r="F21" i="6"/>
  <c r="G21" i="6" s="1"/>
  <c r="E22" i="6"/>
  <c r="E23" i="6" s="1"/>
  <c r="C19" i="6"/>
  <c r="E13" i="6"/>
  <c r="C13" i="6"/>
  <c r="F18" i="5"/>
  <c r="G18" i="5" s="1"/>
  <c r="P14" i="1"/>
  <c r="P15" i="1" s="1"/>
  <c r="P9" i="1"/>
  <c r="P16" i="1" s="1"/>
  <c r="K9" i="1"/>
  <c r="U7" i="1"/>
  <c r="D27" i="5" l="1"/>
  <c r="E27" i="5" s="1"/>
  <c r="D33" i="5"/>
  <c r="D30" i="5"/>
  <c r="E30" i="5" s="1"/>
  <c r="D29" i="5"/>
  <c r="E29" i="5" s="1"/>
  <c r="D28" i="5"/>
  <c r="E28" i="5" s="1"/>
  <c r="D29" i="6"/>
  <c r="E29" i="6" s="1"/>
  <c r="D34" i="6"/>
  <c r="F19" i="6"/>
  <c r="D30" i="6" s="1"/>
  <c r="C22" i="6"/>
  <c r="D31" i="6" s="1"/>
  <c r="D32" i="5" l="1"/>
  <c r="E32" i="5" s="1"/>
  <c r="J2" i="5" s="1"/>
  <c r="D31" i="5"/>
  <c r="E31" i="5" s="1"/>
  <c r="D33" i="6"/>
  <c r="E33" i="6" s="1"/>
  <c r="J2" i="6" s="1"/>
  <c r="D32" i="6"/>
  <c r="C23" i="6"/>
  <c r="G19" i="6"/>
  <c r="F27" i="5" l="1"/>
  <c r="F29" i="6"/>
  <c r="H28" i="6"/>
  <c r="H29" i="6"/>
  <c r="F28" i="6"/>
  <c r="H32" i="6"/>
  <c r="E32" i="6"/>
  <c r="F32" i="6" s="1"/>
  <c r="E31" i="6"/>
  <c r="F31" i="6" s="1"/>
  <c r="H31" i="6"/>
  <c r="H30" i="6"/>
  <c r="E30" i="6"/>
  <c r="F30" i="6" s="1"/>
  <c r="F31" i="5"/>
  <c r="F30" i="5"/>
  <c r="F28" i="5"/>
  <c r="F29" i="5"/>
</calcChain>
</file>

<file path=xl/sharedStrings.xml><?xml version="1.0" encoding="utf-8"?>
<sst xmlns="http://schemas.openxmlformats.org/spreadsheetml/2006/main" count="1415" uniqueCount="277">
  <si>
    <t>sari/bubur buah naga</t>
  </si>
  <si>
    <t>sari lemon</t>
  </si>
  <si>
    <t>gula pasir</t>
  </si>
  <si>
    <t>sirup glukosa</t>
  </si>
  <si>
    <t>gelatin</t>
  </si>
  <si>
    <t>tepung maizena</t>
  </si>
  <si>
    <t>G1L1</t>
  </si>
  <si>
    <t>G1L2</t>
  </si>
  <si>
    <t>G1L3</t>
  </si>
  <si>
    <t>G2L1</t>
  </si>
  <si>
    <t>G2L2</t>
  </si>
  <si>
    <t>G2L3</t>
  </si>
  <si>
    <t>G3L1</t>
  </si>
  <si>
    <t>G3L3</t>
  </si>
  <si>
    <t>G3L2</t>
  </si>
  <si>
    <t>komposisi</t>
  </si>
  <si>
    <t xml:space="preserve">total </t>
  </si>
  <si>
    <t>ulangan</t>
  </si>
  <si>
    <t>harga</t>
  </si>
  <si>
    <t>total</t>
  </si>
  <si>
    <t>grand harga</t>
  </si>
  <si>
    <t>grand total (gr)</t>
  </si>
  <si>
    <t>dalam bentuk (kg)</t>
  </si>
  <si>
    <t xml:space="preserve">BIAYA PENGUJIAN </t>
  </si>
  <si>
    <t>BIAYA PEMBUATAN DAN JUMLAH YANG DIPAKAI</t>
  </si>
  <si>
    <t>UJI ORGANOLEPTIK</t>
  </si>
  <si>
    <t>KEBUTUHAN</t>
  </si>
  <si>
    <t>PANELIS</t>
  </si>
  <si>
    <t>HARGA</t>
  </si>
  <si>
    <t>air minum</t>
  </si>
  <si>
    <t>wadah sambal</t>
  </si>
  <si>
    <t>makan</t>
  </si>
  <si>
    <t>TOTAL</t>
  </si>
  <si>
    <t>UJI GULA REDUKSI</t>
  </si>
  <si>
    <t>YANG DIPAKAI</t>
  </si>
  <si>
    <t>JUMLAH SAMPEL</t>
  </si>
  <si>
    <t>aquades</t>
  </si>
  <si>
    <t>DNS</t>
  </si>
  <si>
    <t>NaOH</t>
  </si>
  <si>
    <t>K Na Tartate</t>
  </si>
  <si>
    <t>Glukosa</t>
  </si>
  <si>
    <t>UJI VITAMIN C</t>
  </si>
  <si>
    <t>pati</t>
  </si>
  <si>
    <t>reagen</t>
  </si>
  <si>
    <t>UJI WARNA COLOUR READER</t>
  </si>
  <si>
    <t>UJI TEXTURE ANALYZER</t>
  </si>
  <si>
    <t>UJI KADAR AIR</t>
  </si>
  <si>
    <t>GRAND TOTAL</t>
  </si>
  <si>
    <t>aquades sampel</t>
  </si>
  <si>
    <t>aquades pelarut</t>
  </si>
  <si>
    <t>grand total</t>
  </si>
  <si>
    <t>GP1SL1</t>
  </si>
  <si>
    <t>GP2SL2</t>
  </si>
  <si>
    <t>GP1SL2</t>
  </si>
  <si>
    <t>GP1SL3</t>
  </si>
  <si>
    <t>GP2SL1</t>
  </si>
  <si>
    <t>GP2SL3</t>
  </si>
  <si>
    <t>GP3SL1</t>
  </si>
  <si>
    <t>GP3SL2</t>
  </si>
  <si>
    <t>GP3SL3</t>
  </si>
  <si>
    <t>PERLAKUAN</t>
  </si>
  <si>
    <t>arek ayu pacare lucas</t>
  </si>
  <si>
    <t>NO</t>
  </si>
  <si>
    <t>amel</t>
  </si>
  <si>
    <t>anisa fitriya</t>
  </si>
  <si>
    <t>ara</t>
  </si>
  <si>
    <t>amaliya</t>
  </si>
  <si>
    <t xml:space="preserve">irma </t>
  </si>
  <si>
    <t>vanara</t>
  </si>
  <si>
    <t>puput</t>
  </si>
  <si>
    <t>indah kiyowo</t>
  </si>
  <si>
    <t>fadin</t>
  </si>
  <si>
    <t>eka sabela</t>
  </si>
  <si>
    <t>erika cantik</t>
  </si>
  <si>
    <t>anon</t>
  </si>
  <si>
    <t>illon</t>
  </si>
  <si>
    <t>affan</t>
  </si>
  <si>
    <t>berinda</t>
  </si>
  <si>
    <t>nur cantik nan comel</t>
  </si>
  <si>
    <t>pala yang comel</t>
  </si>
  <si>
    <t>masayu</t>
  </si>
  <si>
    <t>alya</t>
  </si>
  <si>
    <t>aisyah</t>
  </si>
  <si>
    <t>yuyun</t>
  </si>
  <si>
    <t>ibnaty</t>
  </si>
  <si>
    <t>septiya</t>
  </si>
  <si>
    <t>dinda</t>
  </si>
  <si>
    <t>hanip</t>
  </si>
  <si>
    <t>widia</t>
  </si>
  <si>
    <t>dharma</t>
  </si>
  <si>
    <t>zidan</t>
  </si>
  <si>
    <t>yogi</t>
  </si>
  <si>
    <t>ULANGAN</t>
  </si>
  <si>
    <t>rata"</t>
  </si>
  <si>
    <t>jumlah</t>
  </si>
  <si>
    <t>sempel</t>
  </si>
  <si>
    <t>GP1SL1(1)</t>
  </si>
  <si>
    <t>GP1SL1(2)</t>
  </si>
  <si>
    <t>GP1SL1(3)</t>
  </si>
  <si>
    <t>GP1SL2(1)</t>
  </si>
  <si>
    <t>GP1SL2(2)</t>
  </si>
  <si>
    <t>GP1SL2(3)</t>
  </si>
  <si>
    <t>GP1SL3(1)</t>
  </si>
  <si>
    <t>GP1SL3(2)</t>
  </si>
  <si>
    <t>GP1SL3(3)</t>
  </si>
  <si>
    <t>GP2SL1(1)</t>
  </si>
  <si>
    <t>GP2SL1(2)</t>
  </si>
  <si>
    <t>GP2SL1(3)</t>
  </si>
  <si>
    <t>GP2SL2(1)</t>
  </si>
  <si>
    <t>GP2SL2(2)</t>
  </si>
  <si>
    <t>GP2SL2(3)</t>
  </si>
  <si>
    <t>GP2SL3(1)</t>
  </si>
  <si>
    <t>GP2SL3(2)</t>
  </si>
  <si>
    <t>GP2SL3(3)</t>
  </si>
  <si>
    <t>GP3SL1(1)</t>
  </si>
  <si>
    <t>GP3SL1(2)</t>
  </si>
  <si>
    <t>GP3SL1(3)</t>
  </si>
  <si>
    <t>GP3SL2(1)</t>
  </si>
  <si>
    <t>GP3SL2(2)</t>
  </si>
  <si>
    <t>GP3SL2(3)</t>
  </si>
  <si>
    <t>GP</t>
  </si>
  <si>
    <t>GP3SL3(1)</t>
  </si>
  <si>
    <t>GP3SL3(2)</t>
  </si>
  <si>
    <t>GP3SL3(3)</t>
  </si>
  <si>
    <t>tpa</t>
  </si>
  <si>
    <t>color reader</t>
  </si>
  <si>
    <t>organoleptik</t>
  </si>
  <si>
    <t>kadar air</t>
  </si>
  <si>
    <t>vit c</t>
  </si>
  <si>
    <t>gula total</t>
  </si>
  <si>
    <t>abu</t>
  </si>
  <si>
    <t>perlakuan</t>
  </si>
  <si>
    <t>FK</t>
  </si>
  <si>
    <t>tabel dua arah</t>
  </si>
  <si>
    <t>GP1</t>
  </si>
  <si>
    <t>GP2</t>
  </si>
  <si>
    <t>GP3</t>
  </si>
  <si>
    <t>SL1</t>
  </si>
  <si>
    <t>SL2</t>
  </si>
  <si>
    <t>SL3</t>
  </si>
  <si>
    <t>tabel anova</t>
  </si>
  <si>
    <t>sumber variasi</t>
  </si>
  <si>
    <t>kelompok</t>
  </si>
  <si>
    <t>galat</t>
  </si>
  <si>
    <t>d.b</t>
  </si>
  <si>
    <t>J.K</t>
  </si>
  <si>
    <t>K.T</t>
  </si>
  <si>
    <t>F hitung</t>
  </si>
  <si>
    <t>notasi</t>
  </si>
  <si>
    <t>fhitung kurang dari f tabel itu tidak nyata</t>
  </si>
  <si>
    <t>SL</t>
  </si>
  <si>
    <t>a</t>
  </si>
  <si>
    <t>b</t>
  </si>
  <si>
    <t>olah data</t>
  </si>
  <si>
    <t>GP X SL</t>
  </si>
  <si>
    <t>warna</t>
  </si>
  <si>
    <t>sampel</t>
  </si>
  <si>
    <t>l</t>
  </si>
  <si>
    <t>terkstur</t>
  </si>
  <si>
    <t>titrasi</t>
  </si>
  <si>
    <t>berat sampel</t>
  </si>
  <si>
    <t>b. bahan</t>
  </si>
  <si>
    <t>b. total</t>
  </si>
  <si>
    <t>b. krus</t>
  </si>
  <si>
    <t>b.akhir</t>
  </si>
  <si>
    <t>kadar abu</t>
  </si>
  <si>
    <t>b. cawan</t>
  </si>
  <si>
    <t>b. sampel</t>
  </si>
  <si>
    <t>abs</t>
  </si>
  <si>
    <t>blanko</t>
  </si>
  <si>
    <t>f tabel</t>
  </si>
  <si>
    <t>ket</t>
  </si>
  <si>
    <t>TN</t>
  </si>
  <si>
    <t>**</t>
  </si>
  <si>
    <t>KTG/r</t>
  </si>
  <si>
    <t>SD</t>
  </si>
  <si>
    <t>BNJ HITUNG</t>
  </si>
  <si>
    <t xml:space="preserve"> </t>
  </si>
  <si>
    <t>BNJ TABEL</t>
  </si>
  <si>
    <t>hitung</t>
  </si>
  <si>
    <t>ab</t>
  </si>
  <si>
    <t>done</t>
  </si>
  <si>
    <t>RANKING</t>
  </si>
  <si>
    <t>n</t>
  </si>
  <si>
    <t>k</t>
  </si>
  <si>
    <t>chi square</t>
  </si>
  <si>
    <t>chi square table</t>
  </si>
  <si>
    <t>rumus uji friedman</t>
  </si>
  <si>
    <t>F tabel</t>
  </si>
  <si>
    <t>abc</t>
  </si>
  <si>
    <t>bc</t>
  </si>
  <si>
    <t>c</t>
  </si>
  <si>
    <t>no</t>
  </si>
  <si>
    <t>konsentrasi</t>
  </si>
  <si>
    <t>T</t>
  </si>
  <si>
    <t>X2</t>
  </si>
  <si>
    <t>T&lt;X2</t>
  </si>
  <si>
    <t>Terima H0</t>
  </si>
  <si>
    <t>T&gt;X2</t>
  </si>
  <si>
    <t>(terdapat perbedaan nyata antar perlakuan terhadap warna marshmallow kulit buah naga)</t>
  </si>
  <si>
    <t>Perlakuan</t>
  </si>
  <si>
    <t>Rata-rata</t>
  </si>
  <si>
    <t>Total rangking</t>
  </si>
  <si>
    <t>Titik Kritis</t>
  </si>
  <si>
    <t>Rata rata</t>
  </si>
  <si>
    <t>Total Rangking</t>
  </si>
  <si>
    <t xml:space="preserve">Notasi </t>
  </si>
  <si>
    <t>tn</t>
  </si>
  <si>
    <t>(tidak terdapat perbedaan nyata antar perlakuan terhadap warna marshmallow kulit buah naga)</t>
  </si>
  <si>
    <t>minus titik kritis</t>
  </si>
  <si>
    <t>tanya bu rima</t>
  </si>
  <si>
    <t>data awal</t>
  </si>
  <si>
    <t>cd</t>
  </si>
  <si>
    <t>d</t>
  </si>
  <si>
    <t>Vaktor SL</t>
  </si>
  <si>
    <t>Vaktor GP</t>
  </si>
  <si>
    <t>sumq</t>
  </si>
  <si>
    <t>*</t>
  </si>
  <si>
    <t>tidak berbeda nyata</t>
  </si>
  <si>
    <t>rerata</t>
  </si>
  <si>
    <t>y = 0,8216x + 0,1628</t>
  </si>
  <si>
    <t>R² = 0,9891</t>
  </si>
  <si>
    <t>1. pencarian nilai x (absorbansi sampel)</t>
  </si>
  <si>
    <t>nilai abs kurva</t>
  </si>
  <si>
    <t>2. mencari kadar gula total (mg/g)</t>
  </si>
  <si>
    <t>4. mencari kadar gula total bahan kering %</t>
  </si>
  <si>
    <t xml:space="preserve">kadar air </t>
  </si>
  <si>
    <t>3. mencari kadar gula total bahan basah %</t>
  </si>
  <si>
    <t>parameter</t>
  </si>
  <si>
    <t>panelis</t>
  </si>
  <si>
    <t xml:space="preserve">AUFI LANA KARIMA </t>
  </si>
  <si>
    <t>Andhika ganteng</t>
  </si>
  <si>
    <t>Vanara</t>
  </si>
  <si>
    <t>moja kiyowo beut btw ucul bingits bentuk tobeli</t>
  </si>
  <si>
    <t>Erika Puspita Sari</t>
  </si>
  <si>
    <t xml:space="preserve">Aisyah Nurkhaliza </t>
  </si>
  <si>
    <t>Fitriyah Nur Indahsari</t>
  </si>
  <si>
    <t>Dharma Ekita P.F</t>
  </si>
  <si>
    <t>zulfa</t>
  </si>
  <si>
    <t>Indah Sugistina</t>
  </si>
  <si>
    <t>Irma</t>
  </si>
  <si>
    <t>Hanif Ramadhan</t>
  </si>
  <si>
    <t xml:space="preserve">Mariah </t>
  </si>
  <si>
    <t>Pale</t>
  </si>
  <si>
    <t>z</t>
  </si>
  <si>
    <t>haechan</t>
  </si>
  <si>
    <t xml:space="preserve">Binti Rosyidatul </t>
  </si>
  <si>
    <t>amel comel</t>
  </si>
  <si>
    <t>Shinta Safa Rannya Bachris</t>
  </si>
  <si>
    <t xml:space="preserve">Dwi Rahmawati Anjani </t>
  </si>
  <si>
    <t>Fia</t>
  </si>
  <si>
    <t>ahmad fajar z</t>
  </si>
  <si>
    <t>Laila Tasnima Sofiyah</t>
  </si>
  <si>
    <t>dinda syakina</t>
  </si>
  <si>
    <t>sasya selo</t>
  </si>
  <si>
    <t>Widia cantik</t>
  </si>
  <si>
    <t>silmi</t>
  </si>
  <si>
    <t>Kadar Air</t>
  </si>
  <si>
    <t>Kadar Abu</t>
  </si>
  <si>
    <t>Kadar Vitamin C</t>
  </si>
  <si>
    <t>Kadar Gula</t>
  </si>
  <si>
    <t>Tekstur</t>
  </si>
  <si>
    <t>Warna kecerahan</t>
  </si>
  <si>
    <t>Organoleptik Rasa</t>
  </si>
  <si>
    <t>Organoleptik Warna</t>
  </si>
  <si>
    <t>Organoleptik Aroma</t>
  </si>
  <si>
    <t>Organoleptik Tekstur</t>
  </si>
  <si>
    <t>bobot</t>
  </si>
  <si>
    <t>rerata terbaik</t>
  </si>
  <si>
    <t>rerata terburuk</t>
  </si>
  <si>
    <t>selisih</t>
  </si>
  <si>
    <t>NE</t>
  </si>
  <si>
    <t>NP</t>
  </si>
  <si>
    <t>1 tabel aja</t>
  </si>
  <si>
    <t>pengaruh</t>
  </si>
  <si>
    <t>KTG/ ulangan</t>
  </si>
  <si>
    <t>perhitungan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</si>
</sst>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(&quot;IDR&quot;* #,##0_);_(&quot;IDR&quot;* \(#,##0\);_(&quot;IDR&quot;* &quot;-&quot;_);_(@_)"/>
    <numFmt numFmtId="164" formatCode="0.0"/>
    <numFmt numFmtId="165" formatCode="0.000"/>
    <numFmt numFmtId="166" formatCode="0.00000"/>
    <numFmt numFmtId="167" formatCode="0.000000"/>
    <numFmt numFmtId="168" formatCode="0.0000000%"/>
    <numFmt numFmtId="169" formatCode="0.0000"/>
  </numFmts>
  <fonts count="1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9"/>
      <color rgb="FF595959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9"/>
      <color rgb="FF595959"/>
      <name val="Times New Roman"/>
      <family val="1"/>
    </font>
    <font>
      <sz val="12"/>
      <color rgb="FF595959"/>
      <name val="Times New Roman"/>
      <family val="1"/>
    </font>
    <font>
      <b/>
      <sz val="9"/>
      <color rgb="FF595959"/>
      <name val="Times New Roman"/>
      <family val="1"/>
    </font>
    <font>
      <sz val="10"/>
      <color theme="1"/>
      <name val="Times New Roman"/>
      <family val="1"/>
    </font>
    <font>
      <sz val="12"/>
      <color rgb="FFFF0000"/>
      <name val="Times New Roman"/>
      <family val="1"/>
    </font>
  </fonts>
  <fills count="2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5">
    <xf numFmtId="0" fontId="0" fillId="0" borderId="0" xfId="0"/>
    <xf numFmtId="42" fontId="0" fillId="0" borderId="0" xfId="1" applyFont="1"/>
    <xf numFmtId="0" fontId="0" fillId="0" borderId="1" xfId="0" applyBorder="1"/>
    <xf numFmtId="42" fontId="0" fillId="0" borderId="1" xfId="1" applyFont="1" applyBorder="1"/>
    <xf numFmtId="164" fontId="0" fillId="0" borderId="1" xfId="0" applyNumberFormat="1" applyBorder="1"/>
    <xf numFmtId="1" fontId="0" fillId="0" borderId="1" xfId="0" applyNumberFormat="1" applyBorder="1"/>
    <xf numFmtId="42" fontId="0" fillId="0" borderId="1" xfId="0" applyNumberFormat="1" applyBorder="1"/>
    <xf numFmtId="42" fontId="0" fillId="2" borderId="1" xfId="0" applyNumberFormat="1" applyFill="1" applyBorder="1"/>
    <xf numFmtId="0" fontId="0" fillId="3" borderId="1" xfId="0" applyFill="1" applyBorder="1"/>
    <xf numFmtId="42" fontId="0" fillId="3" borderId="1" xfId="1" applyFont="1" applyFill="1" applyBorder="1"/>
    <xf numFmtId="0" fontId="0" fillId="4" borderId="1" xfId="0" applyFill="1" applyBorder="1"/>
    <xf numFmtId="1" fontId="0" fillId="0" borderId="0" xfId="0" applyNumberFormat="1"/>
    <xf numFmtId="42" fontId="0" fillId="0" borderId="0" xfId="1" applyFont="1" applyBorder="1"/>
    <xf numFmtId="42" fontId="0" fillId="0" borderId="0" xfId="0" applyNumberFormat="1"/>
    <xf numFmtId="0" fontId="0" fillId="2" borderId="1" xfId="0" applyFill="1" applyBorder="1"/>
    <xf numFmtId="0" fontId="0" fillId="6" borderId="1" xfId="0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2" xfId="0" applyBorder="1"/>
    <xf numFmtId="0" fontId="0" fillId="0" borderId="1" xfId="0" applyBorder="1" applyAlignment="1">
      <alignment horizontal="center"/>
    </xf>
    <xf numFmtId="0" fontId="0" fillId="8" borderId="1" xfId="0" applyFill="1" applyBorder="1" applyAlignment="1">
      <alignment horizontal="center" vertical="center"/>
    </xf>
    <xf numFmtId="0" fontId="0" fillId="9" borderId="1" xfId="0" applyFill="1" applyBorder="1"/>
    <xf numFmtId="0" fontId="2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0" fillId="10" borderId="1" xfId="0" applyFill="1" applyBorder="1"/>
    <xf numFmtId="0" fontId="0" fillId="0" borderId="12" xfId="0" applyBorder="1"/>
    <xf numFmtId="0" fontId="3" fillId="14" borderId="0" xfId="0" applyFont="1" applyFill="1"/>
    <xf numFmtId="2" fontId="3" fillId="13" borderId="0" xfId="0" applyNumberFormat="1" applyFont="1" applyFill="1"/>
    <xf numFmtId="0" fontId="3" fillId="13" borderId="0" xfId="0" applyFont="1" applyFill="1"/>
    <xf numFmtId="0" fontId="3" fillId="0" borderId="0" xfId="0" applyFont="1"/>
    <xf numFmtId="0" fontId="4" fillId="10" borderId="14" xfId="0" applyFont="1" applyFill="1" applyBorder="1" applyAlignment="1">
      <alignment horizontal="center"/>
    </xf>
    <xf numFmtId="2" fontId="5" fillId="0" borderId="0" xfId="0" applyNumberFormat="1" applyFont="1" applyAlignment="1">
      <alignment horizontal="center"/>
    </xf>
    <xf numFmtId="2" fontId="5" fillId="0" borderId="14" xfId="0" applyNumberFormat="1" applyFont="1" applyBorder="1" applyAlignment="1">
      <alignment horizontal="center"/>
    </xf>
    <xf numFmtId="0" fontId="6" fillId="1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2" fontId="5" fillId="0" borderId="16" xfId="0" applyNumberFormat="1" applyFont="1" applyBorder="1"/>
    <xf numFmtId="2" fontId="5" fillId="0" borderId="0" xfId="0" applyNumberFormat="1" applyFont="1"/>
    <xf numFmtId="2" fontId="5" fillId="0" borderId="17" xfId="0" applyNumberFormat="1" applyFont="1" applyBorder="1"/>
    <xf numFmtId="0" fontId="7" fillId="15" borderId="0" xfId="0" applyFont="1" applyFill="1"/>
    <xf numFmtId="2" fontId="7" fillId="16" borderId="0" xfId="0" applyNumberFormat="1" applyFont="1" applyFill="1"/>
    <xf numFmtId="0" fontId="7" fillId="0" borderId="0" xfId="0" applyFont="1"/>
    <xf numFmtId="0" fontId="6" fillId="10" borderId="1" xfId="0" applyFont="1" applyFill="1" applyBorder="1" applyAlignment="1">
      <alignment horizontal="center"/>
    </xf>
    <xf numFmtId="2" fontId="0" fillId="0" borderId="1" xfId="0" applyNumberFormat="1" applyBorder="1"/>
    <xf numFmtId="3" fontId="0" fillId="0" borderId="0" xfId="0" applyNumberFormat="1"/>
    <xf numFmtId="2" fontId="0" fillId="0" borderId="0" xfId="0" applyNumberFormat="1"/>
    <xf numFmtId="0" fontId="8" fillId="0" borderId="0" xfId="0" applyFont="1" applyAlignment="1">
      <alignment horizontal="center" vertical="center" readingOrder="1"/>
    </xf>
    <xf numFmtId="0" fontId="9" fillId="0" borderId="0" xfId="0" applyFont="1"/>
    <xf numFmtId="0" fontId="9" fillId="7" borderId="1" xfId="0" applyFont="1" applyFill="1" applyBorder="1"/>
    <xf numFmtId="2" fontId="9" fillId="0" borderId="0" xfId="0" applyNumberFormat="1" applyFont="1"/>
    <xf numFmtId="0" fontId="9" fillId="0" borderId="1" xfId="0" applyFont="1" applyBorder="1"/>
    <xf numFmtId="2" fontId="9" fillId="0" borderId="1" xfId="0" applyNumberFormat="1" applyFont="1" applyBorder="1"/>
    <xf numFmtId="0" fontId="10" fillId="0" borderId="0" xfId="0" applyFont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9" fillId="2" borderId="1" xfId="0" applyFont="1" applyFill="1" applyBorder="1"/>
    <xf numFmtId="0" fontId="9" fillId="0" borderId="3" xfId="0" applyFont="1" applyBorder="1"/>
    <xf numFmtId="0" fontId="9" fillId="10" borderId="0" xfId="0" applyFont="1" applyFill="1"/>
    <xf numFmtId="0" fontId="9" fillId="10" borderId="1" xfId="0" applyFont="1" applyFill="1" applyBorder="1"/>
    <xf numFmtId="2" fontId="9" fillId="0" borderId="1" xfId="0" applyNumberFormat="1" applyFont="1" applyBorder="1" applyAlignment="1">
      <alignment horizontal="center"/>
    </xf>
    <xf numFmtId="167" fontId="9" fillId="0" borderId="1" xfId="0" applyNumberFormat="1" applyFont="1" applyBorder="1"/>
    <xf numFmtId="0" fontId="9" fillId="0" borderId="0" xfId="0" applyFont="1" applyAlignment="1">
      <alignment horizontal="center"/>
    </xf>
    <xf numFmtId="166" fontId="9" fillId="0" borderId="1" xfId="0" applyNumberFormat="1" applyFont="1" applyBorder="1"/>
    <xf numFmtId="165" fontId="0" fillId="0" borderId="0" xfId="0" applyNumberFormat="1"/>
    <xf numFmtId="0" fontId="9" fillId="6" borderId="0" xfId="0" applyFont="1" applyFill="1"/>
    <xf numFmtId="165" fontId="9" fillId="0" borderId="1" xfId="0" applyNumberFormat="1" applyFont="1" applyBorder="1"/>
    <xf numFmtId="0" fontId="9" fillId="6" borderId="1" xfId="0" applyFont="1" applyFill="1" applyBorder="1"/>
    <xf numFmtId="165" fontId="9" fillId="0" borderId="3" xfId="0" applyNumberFormat="1" applyFont="1" applyBorder="1"/>
    <xf numFmtId="0" fontId="9" fillId="0" borderId="2" xfId="0" applyFont="1" applyBorder="1"/>
    <xf numFmtId="165" fontId="9" fillId="0" borderId="0" xfId="0" applyNumberFormat="1" applyFont="1"/>
    <xf numFmtId="0" fontId="0" fillId="0" borderId="0" xfId="0" applyAlignment="1">
      <alignment horizontal="right"/>
    </xf>
    <xf numFmtId="0" fontId="9" fillId="6" borderId="1" xfId="0" applyFont="1" applyFill="1" applyBorder="1" applyAlignment="1">
      <alignment horizontal="center"/>
    </xf>
    <xf numFmtId="0" fontId="11" fillId="0" borderId="0" xfId="0" applyFont="1" applyAlignment="1">
      <alignment horizontal="center" vertical="center" readingOrder="1"/>
    </xf>
    <xf numFmtId="0" fontId="12" fillId="0" borderId="0" xfId="0" applyFont="1" applyAlignment="1">
      <alignment horizontal="center" vertical="center" readingOrder="1"/>
    </xf>
    <xf numFmtId="165" fontId="9" fillId="0" borderId="13" xfId="0" applyNumberFormat="1" applyFont="1" applyBorder="1"/>
    <xf numFmtId="0" fontId="9" fillId="0" borderId="8" xfId="0" applyFont="1" applyBorder="1"/>
    <xf numFmtId="0" fontId="9" fillId="0" borderId="13" xfId="0" applyFont="1" applyBorder="1"/>
    <xf numFmtId="2" fontId="9" fillId="0" borderId="0" xfId="0" applyNumberFormat="1" applyFont="1" applyAlignment="1">
      <alignment horizontal="center"/>
    </xf>
    <xf numFmtId="0" fontId="13" fillId="0" borderId="0" xfId="0" applyFont="1" applyAlignment="1">
      <alignment horizontal="center" vertical="center" readingOrder="1"/>
    </xf>
    <xf numFmtId="1" fontId="9" fillId="6" borderId="1" xfId="0" applyNumberFormat="1" applyFont="1" applyFill="1" applyBorder="1" applyAlignment="1">
      <alignment horizontal="center"/>
    </xf>
    <xf numFmtId="0" fontId="9" fillId="0" borderId="1" xfId="2" applyNumberFormat="1" applyFont="1" applyBorder="1"/>
    <xf numFmtId="0" fontId="9" fillId="0" borderId="0" xfId="2" applyNumberFormat="1" applyFont="1"/>
    <xf numFmtId="0" fontId="9" fillId="13" borderId="1" xfId="0" applyFont="1" applyFill="1" applyBorder="1"/>
    <xf numFmtId="167" fontId="9" fillId="13" borderId="1" xfId="0" applyNumberFormat="1" applyFont="1" applyFill="1" applyBorder="1"/>
    <xf numFmtId="165" fontId="9" fillId="13" borderId="1" xfId="0" applyNumberFormat="1" applyFont="1" applyFill="1" applyBorder="1"/>
    <xf numFmtId="0" fontId="9" fillId="0" borderId="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12" xfId="0" applyFont="1" applyBorder="1"/>
    <xf numFmtId="3" fontId="14" fillId="0" borderId="0" xfId="0" applyNumberFormat="1" applyFont="1"/>
    <xf numFmtId="168" fontId="9" fillId="0" borderId="0" xfId="0" applyNumberFormat="1" applyFont="1"/>
    <xf numFmtId="0" fontId="9" fillId="4" borderId="1" xfId="0" applyFont="1" applyFill="1" applyBorder="1"/>
    <xf numFmtId="0" fontId="9" fillId="17" borderId="1" xfId="0" applyFont="1" applyFill="1" applyBorder="1"/>
    <xf numFmtId="165" fontId="9" fillId="17" borderId="1" xfId="0" applyNumberFormat="1" applyFont="1" applyFill="1" applyBorder="1"/>
    <xf numFmtId="165" fontId="9" fillId="14" borderId="1" xfId="0" applyNumberFormat="1" applyFont="1" applyFill="1" applyBorder="1"/>
    <xf numFmtId="2" fontId="9" fillId="17" borderId="1" xfId="0" applyNumberFormat="1" applyFont="1" applyFill="1" applyBorder="1"/>
    <xf numFmtId="2" fontId="9" fillId="14" borderId="1" xfId="0" applyNumberFormat="1" applyFont="1" applyFill="1" applyBorder="1"/>
    <xf numFmtId="0" fontId="9" fillId="18" borderId="1" xfId="2" applyNumberFormat="1" applyFont="1" applyFill="1" applyBorder="1"/>
    <xf numFmtId="0" fontId="9" fillId="19" borderId="1" xfId="2" applyNumberFormat="1" applyFont="1" applyFill="1" applyBorder="1"/>
    <xf numFmtId="0" fontId="9" fillId="8" borderId="1" xfId="2" applyNumberFormat="1" applyFont="1" applyFill="1" applyBorder="1"/>
    <xf numFmtId="165" fontId="9" fillId="0" borderId="2" xfId="0" applyNumberFormat="1" applyFont="1" applyBorder="1"/>
    <xf numFmtId="2" fontId="9" fillId="0" borderId="2" xfId="0" applyNumberFormat="1" applyFont="1" applyBorder="1"/>
    <xf numFmtId="2" fontId="9" fillId="0" borderId="1" xfId="2" applyNumberFormat="1" applyFont="1" applyBorder="1"/>
    <xf numFmtId="169" fontId="9" fillId="18" borderId="1" xfId="2" applyNumberFormat="1" applyFont="1" applyFill="1" applyBorder="1"/>
    <xf numFmtId="169" fontId="9" fillId="19" borderId="1" xfId="2" applyNumberFormat="1" applyFont="1" applyFill="1" applyBorder="1"/>
    <xf numFmtId="169" fontId="9" fillId="8" borderId="1" xfId="2" applyNumberFormat="1" applyFont="1" applyFill="1" applyBorder="1"/>
    <xf numFmtId="2" fontId="9" fillId="0" borderId="3" xfId="0" applyNumberFormat="1" applyFont="1" applyBorder="1"/>
    <xf numFmtId="2" fontId="15" fillId="0" borderId="3" xfId="0" applyNumberFormat="1" applyFont="1" applyBorder="1"/>
    <xf numFmtId="165" fontId="9" fillId="0" borderId="1" xfId="2" applyNumberFormat="1" applyFont="1" applyBorder="1"/>
    <xf numFmtId="165" fontId="9" fillId="7" borderId="1" xfId="2" applyNumberFormat="1" applyFont="1" applyFill="1" applyBorder="1"/>
    <xf numFmtId="0" fontId="0" fillId="3" borderId="1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5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9" fillId="7" borderId="1" xfId="0" applyFont="1" applyFill="1" applyBorder="1" applyAlignment="1">
      <alignment horizontal="center"/>
    </xf>
    <xf numFmtId="0" fontId="10" fillId="7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/>
    </xf>
    <xf numFmtId="0" fontId="9" fillId="10" borderId="1" xfId="0" applyFont="1" applyFill="1" applyBorder="1" applyAlignment="1">
      <alignment horizontal="center"/>
    </xf>
    <xf numFmtId="0" fontId="10" fillId="10" borderId="1" xfId="0" applyFont="1" applyFill="1" applyBorder="1" applyAlignment="1">
      <alignment horizontal="center"/>
    </xf>
    <xf numFmtId="0" fontId="2" fillId="12" borderId="2" xfId="0" applyFont="1" applyFill="1" applyBorder="1" applyAlignment="1">
      <alignment horizontal="center"/>
    </xf>
    <xf numFmtId="0" fontId="2" fillId="12" borderId="0" xfId="0" applyFont="1" applyFill="1" applyAlignment="1">
      <alignment horizontal="center"/>
    </xf>
    <xf numFmtId="0" fontId="0" fillId="0" borderId="1" xfId="0" applyBorder="1" applyAlignment="1">
      <alignment horizontal="center" wrapText="1"/>
    </xf>
    <xf numFmtId="0" fontId="2" fillId="10" borderId="1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10" fillId="10" borderId="3" xfId="0" applyFont="1" applyFill="1" applyBorder="1" applyAlignment="1">
      <alignment horizontal="center"/>
    </xf>
    <xf numFmtId="0" fontId="10" fillId="10" borderId="7" xfId="0" applyFont="1" applyFill="1" applyBorder="1" applyAlignment="1">
      <alignment horizontal="center"/>
    </xf>
    <xf numFmtId="0" fontId="10" fillId="10" borderId="8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0" fillId="10" borderId="4" xfId="0" applyFill="1" applyBorder="1" applyAlignment="1">
      <alignment horizontal="center"/>
    </xf>
    <xf numFmtId="0" fontId="0" fillId="10" borderId="9" xfId="0" applyFill="1" applyBorder="1" applyAlignment="1">
      <alignment horizontal="center"/>
    </xf>
    <xf numFmtId="0" fontId="2" fillId="10" borderId="10" xfId="0" applyFont="1" applyFill="1" applyBorder="1" applyAlignment="1">
      <alignment horizontal="center"/>
    </xf>
    <xf numFmtId="0" fontId="2" fillId="10" borderId="11" xfId="0" applyFont="1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2" fillId="10" borderId="3" xfId="0" applyFont="1" applyFill="1" applyBorder="1" applyAlignment="1">
      <alignment horizontal="left"/>
    </xf>
    <xf numFmtId="0" fontId="2" fillId="10" borderId="7" xfId="0" applyFont="1" applyFill="1" applyBorder="1" applyAlignment="1">
      <alignment horizontal="left"/>
    </xf>
    <xf numFmtId="0" fontId="2" fillId="10" borderId="8" xfId="0" applyFont="1" applyFill="1" applyBorder="1" applyAlignment="1">
      <alignment horizontal="left"/>
    </xf>
    <xf numFmtId="0" fontId="9" fillId="6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6" borderId="9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6" borderId="7" xfId="0" applyFont="1" applyFill="1" applyBorder="1" applyAlignment="1">
      <alignment horizontal="center"/>
    </xf>
    <xf numFmtId="0" fontId="9" fillId="6" borderId="8" xfId="0" applyFont="1" applyFill="1" applyBorder="1" applyAlignment="1">
      <alignment horizontal="center"/>
    </xf>
    <xf numFmtId="0" fontId="9" fillId="6" borderId="11" xfId="0" applyFont="1" applyFill="1" applyBorder="1" applyAlignment="1">
      <alignment horizontal="center"/>
    </xf>
    <xf numFmtId="0" fontId="9" fillId="6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8" xfId="0" applyFont="1" applyBorder="1" applyAlignment="1">
      <alignment horizontal="center"/>
    </xf>
    <xf numFmtId="0" fontId="10" fillId="6" borderId="1" xfId="0" applyFont="1" applyFill="1" applyBorder="1" applyAlignment="1">
      <alignment horizontal="center"/>
    </xf>
    <xf numFmtId="2" fontId="5" fillId="0" borderId="0" xfId="0" applyNumberFormat="1" applyFont="1" applyAlignment="1">
      <alignment horizontal="center"/>
    </xf>
    <xf numFmtId="2" fontId="5" fillId="0" borderId="17" xfId="0" applyNumberFormat="1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2" fontId="5" fillId="0" borderId="16" xfId="0" applyNumberFormat="1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7" xfId="0" applyFont="1" applyBorder="1"/>
    <xf numFmtId="0" fontId="9" fillId="0" borderId="1" xfId="0" applyFont="1" applyBorder="1" applyAlignment="1">
      <alignment horizontal="center" vertical="center"/>
    </xf>
    <xf numFmtId="0" fontId="4" fillId="10" borderId="15" xfId="0" applyFont="1" applyFill="1" applyBorder="1" applyAlignment="1">
      <alignment horizontal="center" vertical="center"/>
    </xf>
    <xf numFmtId="0" fontId="4" fillId="10" borderId="15" xfId="0" applyFont="1" applyFill="1" applyBorder="1"/>
    <xf numFmtId="0" fontId="4" fillId="10" borderId="14" xfId="0" applyFont="1" applyFill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4" borderId="1" xfId="0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/>
    </xf>
    <xf numFmtId="0" fontId="9" fillId="4" borderId="7" xfId="0" applyFont="1" applyFill="1" applyBorder="1" applyAlignment="1">
      <alignment horizontal="center"/>
    </xf>
    <xf numFmtId="0" fontId="9" fillId="4" borderId="8" xfId="0" applyFont="1" applyFill="1" applyBorder="1" applyAlignment="1">
      <alignment horizontal="center"/>
    </xf>
    <xf numFmtId="0" fontId="0" fillId="11" borderId="4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9" fillId="0" borderId="0" xfId="0" applyFont="1" applyBorder="1"/>
    <xf numFmtId="2" fontId="9" fillId="0" borderId="0" xfId="0" applyNumberFormat="1" applyFont="1" applyBorder="1"/>
    <xf numFmtId="0" fontId="9" fillId="0" borderId="0" xfId="0" applyFont="1" applyBorder="1" applyAlignment="1">
      <alignment horizontal="center"/>
    </xf>
    <xf numFmtId="0" fontId="9" fillId="0" borderId="0" xfId="0" applyFont="1" applyFill="1" applyBorder="1"/>
    <xf numFmtId="2" fontId="9" fillId="0" borderId="0" xfId="0" applyNumberFormat="1" applyFont="1" applyFill="1" applyBorder="1"/>
    <xf numFmtId="0" fontId="9" fillId="0" borderId="0" xfId="0" applyFont="1" applyFill="1" applyBorder="1" applyAlignment="1">
      <alignment horizontal="center"/>
    </xf>
    <xf numFmtId="165" fontId="9" fillId="0" borderId="0" xfId="0" applyNumberFormat="1" applyFont="1" applyFill="1" applyBorder="1"/>
    <xf numFmtId="0" fontId="0" fillId="0" borderId="0" xfId="0" applyFill="1" applyBorder="1"/>
    <xf numFmtId="0" fontId="9" fillId="0" borderId="0" xfId="0" applyFont="1" applyFill="1" applyBorder="1" applyAlignment="1">
      <alignment horizontal="center"/>
    </xf>
    <xf numFmtId="0" fontId="9" fillId="6" borderId="1" xfId="0" applyFont="1" applyFill="1" applyBorder="1" applyAlignment="1">
      <alignment wrapText="1"/>
    </xf>
    <xf numFmtId="0" fontId="9" fillId="0" borderId="1" xfId="0" applyFont="1" applyFill="1" applyBorder="1"/>
    <xf numFmtId="0" fontId="10" fillId="0" borderId="0" xfId="0" applyFont="1" applyFill="1" applyBorder="1"/>
    <xf numFmtId="0" fontId="9" fillId="0" borderId="0" xfId="0" applyFont="1" applyAlignment="1">
      <alignment wrapText="1"/>
    </xf>
    <xf numFmtId="2" fontId="9" fillId="0" borderId="0" xfId="0" applyNumberFormat="1" applyFont="1" applyFill="1" applyBorder="1" applyAlignment="1">
      <alignment horizontal="center"/>
    </xf>
    <xf numFmtId="0" fontId="9" fillId="0" borderId="0" xfId="0" applyFont="1" applyBorder="1" applyAlignment="1"/>
    <xf numFmtId="2" fontId="9" fillId="0" borderId="0" xfId="0" applyNumberFormat="1" applyFont="1" applyBorder="1" applyAlignment="1"/>
    <xf numFmtId="0" fontId="9" fillId="0" borderId="0" xfId="0" applyFont="1" applyBorder="1" applyAlignment="1">
      <alignment wrapText="1"/>
    </xf>
    <xf numFmtId="0" fontId="9" fillId="0" borderId="1" xfId="0" applyFont="1" applyFill="1" applyBorder="1" applyAlignment="1">
      <alignment horizontal="center"/>
    </xf>
    <xf numFmtId="2" fontId="9" fillId="0" borderId="1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wrapText="1"/>
    </xf>
  </cellXfs>
  <cellStyles count="3">
    <cellStyle name="Currency [0]" xfId="1" builtinId="7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kurva standar gula total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'kurva standar'!$C$1</c:f>
              <c:strCache>
                <c:ptCount val="1"/>
                <c:pt idx="0">
                  <c:v>abs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'kurva standar'!$B$2:$B$7</c:f>
              <c:numCache>
                <c:formatCode>General</c:formatCode>
                <c:ptCount val="6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</c:numCache>
            </c:numRef>
          </c:xVal>
          <c:yVal>
            <c:numRef>
              <c:f>'kurva standar'!$C$2:$C$7</c:f>
              <c:numCache>
                <c:formatCode>General</c:formatCode>
                <c:ptCount val="6"/>
                <c:pt idx="0">
                  <c:v>0.124</c:v>
                </c:pt>
                <c:pt idx="1">
                  <c:v>0.36599999999999999</c:v>
                </c:pt>
                <c:pt idx="2">
                  <c:v>0.52600000000000002</c:v>
                </c:pt>
                <c:pt idx="3">
                  <c:v>0.63300000000000001</c:v>
                </c:pt>
                <c:pt idx="4">
                  <c:v>0.8</c:v>
                </c:pt>
                <c:pt idx="5">
                  <c:v>0.99250000000000005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F0-C44D-93DB-32E04103A1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1268688"/>
        <c:axId val="1921279152"/>
      </c:scatterChart>
      <c:valAx>
        <c:axId val="1921268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1279152"/>
        <c:crosses val="autoZero"/>
        <c:crossBetween val="midCat"/>
      </c:valAx>
      <c:valAx>
        <c:axId val="1921279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12686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203200</xdr:colOff>
      <xdr:row>0</xdr:row>
      <xdr:rowOff>12700</xdr:rowOff>
    </xdr:from>
    <xdr:to>
      <xdr:col>8</xdr:col>
      <xdr:colOff>626533</xdr:colOff>
      <xdr:row>13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F741476-D240-ECCC-283E-FED9739740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37</xdr:row>
      <xdr:rowOff>0</xdr:rowOff>
    </xdr:from>
    <xdr:ext cx="4857750" cy="752475"/>
    <xdr:pic>
      <xdr:nvPicPr>
        <xdr:cNvPr id="2" name="image25.png">
          <a:extLst>
            <a:ext uri="{FF2B5EF4-FFF2-40B4-BE49-F238E27FC236}">
              <a16:creationId xmlns:a16="http://schemas.microsoft.com/office/drawing/2014/main" id="{242FF89A-96C4-5B44-8ED2-D92DE84AB85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200769" y="7745604"/>
          <a:ext cx="4857750" cy="75247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DBFC1-A1BB-3E46-AE88-C9C83D9F42AF}">
  <dimension ref="A1:V35"/>
  <sheetViews>
    <sheetView workbookViewId="0">
      <selection activeCell="O8" sqref="O8"/>
    </sheetView>
  </sheetViews>
  <sheetFormatPr baseColWidth="10" defaultRowHeight="16" x14ac:dyDescent="0.2"/>
  <cols>
    <col min="1" max="1" width="18.83203125" bestFit="1" customWidth="1"/>
    <col min="2" max="2" width="5.6640625" bestFit="1" customWidth="1"/>
    <col min="3" max="3" width="5.33203125" bestFit="1" customWidth="1"/>
    <col min="4" max="4" width="6.6640625" bestFit="1" customWidth="1"/>
    <col min="5" max="5" width="5.33203125" bestFit="1" customWidth="1"/>
    <col min="6" max="6" width="5.6640625" bestFit="1" customWidth="1"/>
    <col min="7" max="10" width="5.33203125" bestFit="1" customWidth="1"/>
    <col min="11" max="11" width="5.6640625" bestFit="1" customWidth="1"/>
    <col min="12" max="12" width="7.6640625" bestFit="1" customWidth="1"/>
    <col min="13" max="13" width="13.6640625" bestFit="1" customWidth="1"/>
    <col min="14" max="14" width="16" bestFit="1" customWidth="1"/>
    <col min="15" max="15" width="10.83203125" style="1"/>
    <col min="16" max="16" width="11.83203125" bestFit="1" customWidth="1"/>
    <col min="18" max="18" width="14.5" bestFit="1" customWidth="1"/>
    <col min="19" max="19" width="13" bestFit="1" customWidth="1"/>
    <col min="20" max="20" width="15.1640625" bestFit="1" customWidth="1"/>
    <col min="21" max="21" width="11.83203125" bestFit="1" customWidth="1"/>
    <col min="22" max="22" width="6.5" bestFit="1" customWidth="1"/>
  </cols>
  <sheetData>
    <row r="1" spans="1:22" x14ac:dyDescent="0.2">
      <c r="A1" s="115" t="s">
        <v>24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R1" s="115" t="s">
        <v>23</v>
      </c>
      <c r="S1" s="115"/>
      <c r="T1" s="115"/>
      <c r="U1" s="115"/>
      <c r="V1" s="115"/>
    </row>
    <row r="2" spans="1:22" x14ac:dyDescent="0.2">
      <c r="A2" s="8" t="s">
        <v>15</v>
      </c>
      <c r="B2" s="8" t="s">
        <v>6</v>
      </c>
      <c r="C2" s="8" t="s">
        <v>7</v>
      </c>
      <c r="D2" s="8" t="s">
        <v>8</v>
      </c>
      <c r="E2" s="8" t="s">
        <v>9</v>
      </c>
      <c r="F2" s="8" t="s">
        <v>10</v>
      </c>
      <c r="G2" s="8" t="s">
        <v>11</v>
      </c>
      <c r="H2" s="8" t="s">
        <v>12</v>
      </c>
      <c r="I2" s="8" t="s">
        <v>14</v>
      </c>
      <c r="J2" s="8" t="s">
        <v>13</v>
      </c>
      <c r="K2" s="8" t="s">
        <v>16</v>
      </c>
      <c r="L2" s="8" t="s">
        <v>17</v>
      </c>
      <c r="M2" s="8" t="s">
        <v>21</v>
      </c>
      <c r="N2" s="8" t="s">
        <v>22</v>
      </c>
      <c r="O2" s="9" t="s">
        <v>18</v>
      </c>
      <c r="P2" s="8" t="s">
        <v>20</v>
      </c>
      <c r="R2" s="113" t="s">
        <v>25</v>
      </c>
      <c r="S2" s="113"/>
      <c r="T2" s="113"/>
      <c r="U2" s="113"/>
      <c r="V2" s="113"/>
    </row>
    <row r="3" spans="1:22" x14ac:dyDescent="0.2">
      <c r="A3" s="10" t="s">
        <v>0</v>
      </c>
      <c r="B3" s="4">
        <v>117.5</v>
      </c>
      <c r="C3" s="2">
        <v>115</v>
      </c>
      <c r="D3" s="4">
        <v>112.5</v>
      </c>
      <c r="E3" s="2">
        <v>105</v>
      </c>
      <c r="F3" s="4">
        <v>102.5</v>
      </c>
      <c r="G3" s="2">
        <v>100</v>
      </c>
      <c r="H3" s="4">
        <v>92.5</v>
      </c>
      <c r="I3" s="2">
        <v>90</v>
      </c>
      <c r="J3" s="4">
        <v>87.5</v>
      </c>
      <c r="K3" s="4">
        <f>SUM(B3:J3)</f>
        <v>922.5</v>
      </c>
      <c r="L3" s="5">
        <v>3</v>
      </c>
      <c r="M3" s="2">
        <f>K3*L3</f>
        <v>2767.5</v>
      </c>
      <c r="N3" s="2">
        <v>8.5</v>
      </c>
      <c r="O3" s="3">
        <v>10000</v>
      </c>
      <c r="P3" s="6">
        <f>O3*N3</f>
        <v>85000</v>
      </c>
      <c r="R3" s="10" t="s">
        <v>26</v>
      </c>
      <c r="S3" s="2" t="s">
        <v>27</v>
      </c>
      <c r="T3" s="2" t="s">
        <v>28</v>
      </c>
      <c r="U3" s="2" t="s">
        <v>32</v>
      </c>
      <c r="V3" s="2"/>
    </row>
    <row r="4" spans="1:22" x14ac:dyDescent="0.2">
      <c r="A4" s="10" t="s">
        <v>1</v>
      </c>
      <c r="B4" s="2">
        <v>2.5</v>
      </c>
      <c r="C4" s="2">
        <v>5</v>
      </c>
      <c r="D4" s="2">
        <v>7.5</v>
      </c>
      <c r="E4" s="2">
        <v>2.5</v>
      </c>
      <c r="F4" s="2">
        <v>5</v>
      </c>
      <c r="G4" s="2">
        <v>7.5</v>
      </c>
      <c r="H4" s="2">
        <v>2.5</v>
      </c>
      <c r="I4" s="2">
        <v>5</v>
      </c>
      <c r="J4" s="2">
        <v>7.5</v>
      </c>
      <c r="K4" s="5">
        <f t="shared" ref="K4:K8" si="0">SUM(B4:J4)</f>
        <v>45</v>
      </c>
      <c r="L4" s="5">
        <v>3</v>
      </c>
      <c r="M4" s="2">
        <f t="shared" ref="M4:M8" si="1">K4*L4</f>
        <v>135</v>
      </c>
      <c r="N4" s="2">
        <v>1</v>
      </c>
      <c r="O4" s="3">
        <v>10000</v>
      </c>
      <c r="P4" s="6">
        <f>O4</f>
        <v>10000</v>
      </c>
      <c r="R4" s="10" t="s">
        <v>29</v>
      </c>
      <c r="S4" s="2"/>
      <c r="T4" s="3">
        <v>20000</v>
      </c>
      <c r="U4" s="6">
        <f>T4</f>
        <v>20000</v>
      </c>
      <c r="V4" s="2"/>
    </row>
    <row r="5" spans="1:22" x14ac:dyDescent="0.2">
      <c r="A5" s="10" t="s">
        <v>2</v>
      </c>
      <c r="B5" s="2">
        <v>50</v>
      </c>
      <c r="C5" s="2">
        <v>50</v>
      </c>
      <c r="D5" s="2">
        <v>50</v>
      </c>
      <c r="E5" s="2">
        <v>62.5</v>
      </c>
      <c r="F5" s="2">
        <v>62.5</v>
      </c>
      <c r="G5" s="2">
        <v>62.5</v>
      </c>
      <c r="H5" s="2">
        <v>75</v>
      </c>
      <c r="I5" s="2">
        <v>75</v>
      </c>
      <c r="J5" s="2">
        <v>75</v>
      </c>
      <c r="K5" s="4">
        <f t="shared" si="0"/>
        <v>562.5</v>
      </c>
      <c r="L5" s="5">
        <v>3</v>
      </c>
      <c r="M5" s="2">
        <f t="shared" si="1"/>
        <v>1687.5</v>
      </c>
      <c r="N5" s="2">
        <v>2</v>
      </c>
      <c r="O5" s="3">
        <v>0</v>
      </c>
      <c r="P5" s="6">
        <f>O5*N5</f>
        <v>0</v>
      </c>
      <c r="R5" s="10" t="s">
        <v>30</v>
      </c>
      <c r="S5" s="2"/>
      <c r="T5" s="3">
        <v>10000</v>
      </c>
      <c r="U5" s="6">
        <f>T5</f>
        <v>10000</v>
      </c>
      <c r="V5" s="2"/>
    </row>
    <row r="6" spans="1:22" x14ac:dyDescent="0.2">
      <c r="A6" s="10" t="s">
        <v>3</v>
      </c>
      <c r="B6" s="2">
        <v>50</v>
      </c>
      <c r="C6" s="2">
        <v>50</v>
      </c>
      <c r="D6" s="2">
        <v>50</v>
      </c>
      <c r="E6" s="2">
        <v>50</v>
      </c>
      <c r="F6" s="2">
        <v>50</v>
      </c>
      <c r="G6" s="2">
        <v>50</v>
      </c>
      <c r="H6" s="2">
        <v>50</v>
      </c>
      <c r="I6" s="2">
        <v>50</v>
      </c>
      <c r="J6" s="2">
        <v>50</v>
      </c>
      <c r="K6" s="5">
        <f t="shared" si="0"/>
        <v>450</v>
      </c>
      <c r="L6" s="5">
        <v>3</v>
      </c>
      <c r="M6" s="2">
        <f t="shared" si="1"/>
        <v>1350</v>
      </c>
      <c r="N6" s="2">
        <v>2</v>
      </c>
      <c r="O6" s="3">
        <v>21000</v>
      </c>
      <c r="P6" s="6">
        <f t="shared" ref="P6:P8" si="2">O6*N6</f>
        <v>42000</v>
      </c>
      <c r="R6" s="10" t="s">
        <v>31</v>
      </c>
      <c r="S6" s="2">
        <v>40</v>
      </c>
      <c r="T6" s="3">
        <v>1500</v>
      </c>
      <c r="U6" s="6">
        <f>T6*S6</f>
        <v>60000</v>
      </c>
      <c r="V6" s="2"/>
    </row>
    <row r="7" spans="1:22" x14ac:dyDescent="0.2">
      <c r="A7" s="10" t="s">
        <v>4</v>
      </c>
      <c r="B7" s="2">
        <v>20</v>
      </c>
      <c r="C7" s="2">
        <v>20</v>
      </c>
      <c r="D7" s="2">
        <v>20</v>
      </c>
      <c r="E7" s="2">
        <v>20</v>
      </c>
      <c r="F7" s="2">
        <v>20</v>
      </c>
      <c r="G7" s="2">
        <v>20</v>
      </c>
      <c r="H7" s="2">
        <v>20</v>
      </c>
      <c r="I7" s="2">
        <v>20</v>
      </c>
      <c r="J7" s="2">
        <v>20</v>
      </c>
      <c r="K7" s="5">
        <f t="shared" si="0"/>
        <v>180</v>
      </c>
      <c r="L7" s="5">
        <v>3</v>
      </c>
      <c r="M7" s="2">
        <f t="shared" si="1"/>
        <v>540</v>
      </c>
      <c r="N7" s="2">
        <v>9</v>
      </c>
      <c r="O7" s="3">
        <v>10000</v>
      </c>
      <c r="P7" s="6">
        <f t="shared" si="2"/>
        <v>90000</v>
      </c>
      <c r="R7" s="14" t="s">
        <v>32</v>
      </c>
      <c r="S7" s="2"/>
      <c r="T7" s="2"/>
      <c r="U7" s="6">
        <f>SUM(U4:U6)</f>
        <v>90000</v>
      </c>
      <c r="V7" s="14"/>
    </row>
    <row r="8" spans="1:22" x14ac:dyDescent="0.2">
      <c r="A8" s="10" t="s">
        <v>5</v>
      </c>
      <c r="B8" s="2">
        <v>10</v>
      </c>
      <c r="C8" s="2">
        <v>10</v>
      </c>
      <c r="D8" s="2">
        <v>10</v>
      </c>
      <c r="E8" s="2">
        <v>10</v>
      </c>
      <c r="F8" s="2">
        <v>10</v>
      </c>
      <c r="G8" s="2">
        <v>10</v>
      </c>
      <c r="H8" s="2">
        <v>10</v>
      </c>
      <c r="I8" s="2">
        <v>10</v>
      </c>
      <c r="J8" s="2">
        <v>10</v>
      </c>
      <c r="K8" s="5">
        <f t="shared" si="0"/>
        <v>90</v>
      </c>
      <c r="L8" s="5">
        <v>3</v>
      </c>
      <c r="M8" s="2">
        <f t="shared" si="1"/>
        <v>270</v>
      </c>
      <c r="N8" s="2">
        <v>1</v>
      </c>
      <c r="O8" s="3">
        <v>10000</v>
      </c>
      <c r="P8" s="6">
        <f t="shared" si="2"/>
        <v>10000</v>
      </c>
      <c r="R8" s="113" t="s">
        <v>33</v>
      </c>
      <c r="S8" s="113"/>
      <c r="T8" s="113"/>
      <c r="U8" s="113"/>
      <c r="V8" s="113"/>
    </row>
    <row r="9" spans="1:22" x14ac:dyDescent="0.2">
      <c r="A9" s="2" t="s">
        <v>19</v>
      </c>
      <c r="B9" s="5">
        <f>SUM(B3:B8)</f>
        <v>250</v>
      </c>
      <c r="C9" s="5">
        <f t="shared" ref="C9:K9" si="3">SUM(C3:C8)</f>
        <v>250</v>
      </c>
      <c r="D9" s="5">
        <f t="shared" si="3"/>
        <v>250</v>
      </c>
      <c r="E9" s="5">
        <f t="shared" si="3"/>
        <v>250</v>
      </c>
      <c r="F9" s="5">
        <f t="shared" si="3"/>
        <v>250</v>
      </c>
      <c r="G9" s="5">
        <f t="shared" si="3"/>
        <v>250</v>
      </c>
      <c r="H9" s="5">
        <f t="shared" si="3"/>
        <v>250</v>
      </c>
      <c r="I9" s="5">
        <f t="shared" si="3"/>
        <v>250</v>
      </c>
      <c r="J9" s="5">
        <f t="shared" si="3"/>
        <v>250</v>
      </c>
      <c r="K9" s="5">
        <f t="shared" si="3"/>
        <v>2250</v>
      </c>
      <c r="L9" s="2"/>
      <c r="M9" s="2"/>
      <c r="N9" s="2"/>
      <c r="O9" s="3"/>
      <c r="P9" s="7">
        <f>SUM(P3:P8)</f>
        <v>237000</v>
      </c>
      <c r="R9" s="10" t="s">
        <v>26</v>
      </c>
      <c r="S9" s="2" t="s">
        <v>34</v>
      </c>
      <c r="T9" s="2" t="s">
        <v>35</v>
      </c>
      <c r="U9" s="2" t="s">
        <v>28</v>
      </c>
      <c r="V9" s="2" t="s">
        <v>32</v>
      </c>
    </row>
    <row r="10" spans="1:22" x14ac:dyDescent="0.2">
      <c r="B10" s="11"/>
      <c r="C10" s="11"/>
      <c r="D10" s="11"/>
      <c r="E10" s="11"/>
      <c r="F10" s="11"/>
      <c r="G10" s="11"/>
      <c r="H10" s="11"/>
      <c r="I10" s="11"/>
      <c r="J10" s="11"/>
      <c r="K10" s="11"/>
      <c r="O10" s="12"/>
      <c r="P10" s="13"/>
      <c r="R10" s="10" t="s">
        <v>48</v>
      </c>
      <c r="S10" s="2"/>
      <c r="T10" s="2"/>
      <c r="U10" s="2"/>
      <c r="V10" s="2"/>
    </row>
    <row r="11" spans="1:22" x14ac:dyDescent="0.2">
      <c r="B11">
        <f>SUM(B7:J7)*3</f>
        <v>540</v>
      </c>
      <c r="P11" s="13">
        <f>P3</f>
        <v>85000</v>
      </c>
      <c r="R11" s="10" t="s">
        <v>49</v>
      </c>
      <c r="S11" s="2"/>
      <c r="T11" s="2"/>
      <c r="U11" s="2"/>
      <c r="V11" s="2"/>
    </row>
    <row r="12" spans="1:22" x14ac:dyDescent="0.2">
      <c r="P12" s="13">
        <f>P6</f>
        <v>42000</v>
      </c>
      <c r="R12" s="10" t="s">
        <v>37</v>
      </c>
      <c r="S12" s="2"/>
      <c r="T12" s="2"/>
      <c r="U12" s="2"/>
      <c r="V12" s="2"/>
    </row>
    <row r="13" spans="1:22" x14ac:dyDescent="0.2">
      <c r="P13" s="13">
        <f>P7</f>
        <v>90000</v>
      </c>
      <c r="R13" s="10" t="s">
        <v>38</v>
      </c>
      <c r="S13" s="2"/>
      <c r="T13" s="2"/>
      <c r="U13" s="2"/>
      <c r="V13" s="2"/>
    </row>
    <row r="14" spans="1:22" x14ac:dyDescent="0.2">
      <c r="O14" s="1" t="s">
        <v>19</v>
      </c>
      <c r="P14" s="13">
        <f>SUM(P11:P13)</f>
        <v>217000</v>
      </c>
      <c r="R14" s="10" t="s">
        <v>39</v>
      </c>
      <c r="S14" s="2"/>
      <c r="T14" s="2"/>
      <c r="U14" s="2"/>
      <c r="V14" s="2"/>
    </row>
    <row r="15" spans="1:22" x14ac:dyDescent="0.2">
      <c r="O15" s="1" t="s">
        <v>16</v>
      </c>
      <c r="P15" s="13">
        <f>P14+U7+P4</f>
        <v>317000</v>
      </c>
      <c r="R15" s="10" t="s">
        <v>40</v>
      </c>
      <c r="S15" s="2"/>
      <c r="T15" s="2"/>
      <c r="U15" s="2"/>
      <c r="V15" s="2"/>
    </row>
    <row r="16" spans="1:22" x14ac:dyDescent="0.2">
      <c r="O16" s="1" t="s">
        <v>50</v>
      </c>
      <c r="P16" s="13">
        <f>P9+U7</f>
        <v>327000</v>
      </c>
      <c r="R16" s="14" t="s">
        <v>32</v>
      </c>
      <c r="S16" s="2"/>
      <c r="T16" s="2"/>
      <c r="U16" s="2"/>
      <c r="V16" s="14"/>
    </row>
    <row r="17" spans="18:22" x14ac:dyDescent="0.2">
      <c r="R17" s="113" t="s">
        <v>41</v>
      </c>
      <c r="S17" s="113"/>
      <c r="T17" s="113"/>
      <c r="U17" s="113"/>
      <c r="V17" s="113"/>
    </row>
    <row r="18" spans="18:22" x14ac:dyDescent="0.2">
      <c r="R18" s="10" t="s">
        <v>26</v>
      </c>
      <c r="S18" s="2" t="s">
        <v>34</v>
      </c>
      <c r="T18" s="2" t="s">
        <v>35</v>
      </c>
      <c r="U18" s="2" t="s">
        <v>28</v>
      </c>
      <c r="V18" s="2" t="s">
        <v>32</v>
      </c>
    </row>
    <row r="19" spans="18:22" x14ac:dyDescent="0.2">
      <c r="R19" s="10" t="s">
        <v>42</v>
      </c>
      <c r="S19" s="2"/>
      <c r="T19" s="2"/>
      <c r="U19" s="2"/>
      <c r="V19" s="2"/>
    </row>
    <row r="20" spans="18:22" x14ac:dyDescent="0.2">
      <c r="R20" s="10" t="s">
        <v>36</v>
      </c>
      <c r="S20" s="2"/>
      <c r="T20" s="2"/>
      <c r="U20" s="2"/>
      <c r="V20" s="2"/>
    </row>
    <row r="21" spans="18:22" x14ac:dyDescent="0.2">
      <c r="R21" s="10" t="s">
        <v>43</v>
      </c>
      <c r="S21" s="2"/>
      <c r="T21" s="2"/>
      <c r="U21" s="2"/>
      <c r="V21" s="2"/>
    </row>
    <row r="22" spans="18:22" x14ac:dyDescent="0.2">
      <c r="R22" s="14" t="s">
        <v>32</v>
      </c>
      <c r="S22" s="2"/>
      <c r="T22" s="2"/>
      <c r="U22" s="2"/>
      <c r="V22" s="14"/>
    </row>
    <row r="23" spans="18:22" x14ac:dyDescent="0.2">
      <c r="R23" s="113" t="s">
        <v>44</v>
      </c>
      <c r="S23" s="113"/>
      <c r="T23" s="113"/>
      <c r="U23" s="113"/>
      <c r="V23" s="113"/>
    </row>
    <row r="24" spans="18:22" x14ac:dyDescent="0.2">
      <c r="R24" s="10" t="s">
        <v>26</v>
      </c>
      <c r="S24" s="2" t="s">
        <v>34</v>
      </c>
      <c r="T24" s="2" t="s">
        <v>35</v>
      </c>
      <c r="U24" s="2" t="s">
        <v>28</v>
      </c>
      <c r="V24" s="2" t="s">
        <v>32</v>
      </c>
    </row>
    <row r="25" spans="18:22" x14ac:dyDescent="0.2">
      <c r="R25" s="10"/>
      <c r="S25" s="2"/>
      <c r="T25" s="2"/>
      <c r="U25" s="2"/>
      <c r="V25" s="2"/>
    </row>
    <row r="26" spans="18:22" x14ac:dyDescent="0.2">
      <c r="R26" s="14" t="s">
        <v>32</v>
      </c>
      <c r="S26" s="2"/>
      <c r="T26" s="2"/>
      <c r="U26" s="2"/>
      <c r="V26" s="14"/>
    </row>
    <row r="27" spans="18:22" x14ac:dyDescent="0.2">
      <c r="R27" s="113" t="s">
        <v>45</v>
      </c>
      <c r="S27" s="113"/>
      <c r="T27" s="113"/>
      <c r="U27" s="113"/>
      <c r="V27" s="113"/>
    </row>
    <row r="28" spans="18:22" x14ac:dyDescent="0.2">
      <c r="R28" s="10" t="s">
        <v>26</v>
      </c>
      <c r="S28" s="2" t="s">
        <v>34</v>
      </c>
      <c r="T28" s="2" t="s">
        <v>35</v>
      </c>
      <c r="U28" s="2" t="s">
        <v>28</v>
      </c>
      <c r="V28" s="2" t="s">
        <v>32</v>
      </c>
    </row>
    <row r="29" spans="18:22" x14ac:dyDescent="0.2">
      <c r="R29" s="10"/>
      <c r="S29" s="2"/>
      <c r="T29" s="2"/>
      <c r="U29" s="2"/>
      <c r="V29" s="2"/>
    </row>
    <row r="30" spans="18:22" x14ac:dyDescent="0.2">
      <c r="R30" s="14" t="s">
        <v>32</v>
      </c>
      <c r="S30" s="2"/>
      <c r="T30" s="2"/>
      <c r="U30" s="2"/>
      <c r="V30" s="14"/>
    </row>
    <row r="31" spans="18:22" x14ac:dyDescent="0.2">
      <c r="R31" s="113" t="s">
        <v>46</v>
      </c>
      <c r="S31" s="113"/>
      <c r="T31" s="113"/>
      <c r="U31" s="113"/>
      <c r="V31" s="113"/>
    </row>
    <row r="32" spans="18:22" x14ac:dyDescent="0.2">
      <c r="R32" s="10" t="s">
        <v>26</v>
      </c>
      <c r="S32" s="2" t="s">
        <v>34</v>
      </c>
      <c r="T32" s="2" t="s">
        <v>35</v>
      </c>
      <c r="U32" s="2" t="s">
        <v>28</v>
      </c>
      <c r="V32" s="2" t="s">
        <v>32</v>
      </c>
    </row>
    <row r="33" spans="18:22" x14ac:dyDescent="0.2">
      <c r="R33" s="10"/>
      <c r="S33" s="2"/>
      <c r="T33" s="2"/>
      <c r="U33" s="2"/>
      <c r="V33" s="2"/>
    </row>
    <row r="34" spans="18:22" x14ac:dyDescent="0.2">
      <c r="R34" s="14" t="s">
        <v>32</v>
      </c>
      <c r="S34" s="2"/>
      <c r="T34" s="2"/>
      <c r="U34" s="2"/>
      <c r="V34" s="14"/>
    </row>
    <row r="35" spans="18:22" x14ac:dyDescent="0.2">
      <c r="R35" s="114" t="s">
        <v>47</v>
      </c>
      <c r="S35" s="114"/>
      <c r="T35" s="114"/>
      <c r="U35" s="114"/>
      <c r="V35" s="14"/>
    </row>
  </sheetData>
  <mergeCells count="9">
    <mergeCell ref="R27:V27"/>
    <mergeCell ref="R31:V31"/>
    <mergeCell ref="R35:U35"/>
    <mergeCell ref="R23:V23"/>
    <mergeCell ref="A1:P1"/>
    <mergeCell ref="R2:V2"/>
    <mergeCell ref="R1:V1"/>
    <mergeCell ref="R8:V8"/>
    <mergeCell ref="R17:V17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FA12A6-61D2-7043-92A6-366508C38AF0}">
  <dimension ref="A1:AD50"/>
  <sheetViews>
    <sheetView topLeftCell="F1" zoomScale="156" workbookViewId="0">
      <selection activeCell="N4" sqref="N4:O12"/>
    </sheetView>
  </sheetViews>
  <sheetFormatPr baseColWidth="10" defaultRowHeight="16" x14ac:dyDescent="0.2"/>
  <cols>
    <col min="1" max="1" width="10.83203125" style="51"/>
    <col min="2" max="2" width="13.83203125" style="51" customWidth="1"/>
    <col min="3" max="3" width="13.1640625" style="51" bestFit="1" customWidth="1"/>
    <col min="4" max="5" width="10.83203125" style="51"/>
    <col min="6" max="7" width="12.83203125" style="51" bestFit="1" customWidth="1"/>
    <col min="8" max="10" width="10.83203125" style="51"/>
    <col min="11" max="12" width="13.33203125" style="51" customWidth="1"/>
    <col min="13" max="13" width="12.1640625" style="51" customWidth="1"/>
    <col min="14" max="14" width="12.1640625" style="51" bestFit="1" customWidth="1"/>
    <col min="15" max="17" width="10.83203125" style="51"/>
    <col min="18" max="18" width="13.33203125" style="51" customWidth="1"/>
    <col min="19" max="24" width="10.83203125" style="51"/>
    <col min="25" max="25" width="14.33203125" style="51" customWidth="1"/>
    <col min="26" max="26" width="10.83203125" style="51"/>
    <col min="27" max="27" width="11.33203125" style="51" bestFit="1" customWidth="1"/>
    <col min="28" max="16384" width="10.83203125" style="51"/>
  </cols>
  <sheetData>
    <row r="1" spans="1:30" x14ac:dyDescent="0.2">
      <c r="A1" s="149" t="s">
        <v>225</v>
      </c>
      <c r="B1" s="149"/>
      <c r="C1" s="149"/>
      <c r="D1" s="149"/>
      <c r="E1" s="149"/>
      <c r="F1" s="149"/>
      <c r="G1" s="149"/>
      <c r="Q1" s="149" t="s">
        <v>222</v>
      </c>
      <c r="R1" s="149"/>
      <c r="S1" s="149"/>
      <c r="T1" s="149"/>
      <c r="U1" s="149"/>
      <c r="V1" s="149"/>
      <c r="W1" s="149"/>
      <c r="Y1" s="51" t="s">
        <v>223</v>
      </c>
      <c r="AA1" s="143"/>
      <c r="AB1" s="143"/>
      <c r="AC1" s="143"/>
      <c r="AD1" s="143"/>
    </row>
    <row r="2" spans="1:30" x14ac:dyDescent="0.2">
      <c r="A2" s="142" t="s">
        <v>62</v>
      </c>
      <c r="B2" s="142" t="s">
        <v>60</v>
      </c>
      <c r="C2" s="142" t="s">
        <v>92</v>
      </c>
      <c r="D2" s="142"/>
      <c r="E2" s="142"/>
      <c r="F2" s="142" t="s">
        <v>94</v>
      </c>
      <c r="G2" s="142" t="s">
        <v>93</v>
      </c>
      <c r="K2" s="68" t="s">
        <v>178</v>
      </c>
      <c r="L2" s="68" t="s">
        <v>176</v>
      </c>
      <c r="Q2" s="150" t="s">
        <v>62</v>
      </c>
      <c r="R2" s="150" t="s">
        <v>60</v>
      </c>
      <c r="S2" s="142" t="s">
        <v>92</v>
      </c>
      <c r="T2" s="142"/>
      <c r="U2" s="142"/>
      <c r="V2" s="150" t="s">
        <v>19</v>
      </c>
      <c r="W2" s="150" t="s">
        <v>93</v>
      </c>
      <c r="Y2" s="82" t="s">
        <v>220</v>
      </c>
      <c r="AA2" s="76"/>
    </row>
    <row r="3" spans="1:30" x14ac:dyDescent="0.2">
      <c r="A3" s="142"/>
      <c r="B3" s="142"/>
      <c r="C3" s="70">
        <v>1</v>
      </c>
      <c r="D3" s="70">
        <v>2</v>
      </c>
      <c r="E3" s="70">
        <v>3</v>
      </c>
      <c r="F3" s="142"/>
      <c r="G3" s="142"/>
      <c r="I3" s="51" t="s">
        <v>174</v>
      </c>
      <c r="J3" s="51">
        <f>SQRT(D34/3)</f>
        <v>0.86915364417678287</v>
      </c>
      <c r="K3" s="51">
        <v>5.03</v>
      </c>
      <c r="L3" s="53">
        <f>J3*K3</f>
        <v>4.3718428302092178</v>
      </c>
      <c r="O3" s="53"/>
      <c r="Q3" s="150"/>
      <c r="R3" s="150"/>
      <c r="S3" s="70">
        <v>1</v>
      </c>
      <c r="T3" s="70">
        <v>2</v>
      </c>
      <c r="U3" s="70">
        <v>3</v>
      </c>
      <c r="V3" s="150"/>
      <c r="W3" s="150"/>
      <c r="Y3" s="82" t="s">
        <v>221</v>
      </c>
      <c r="AA3" s="76"/>
    </row>
    <row r="4" spans="1:30" x14ac:dyDescent="0.2">
      <c r="A4" s="70">
        <v>1</v>
      </c>
      <c r="B4" s="70" t="s">
        <v>51</v>
      </c>
      <c r="C4" s="100">
        <f t="shared" ref="C4:E12" si="0">(S32/(100-L21))*100</f>
        <v>50.390219022475399</v>
      </c>
      <c r="D4" s="100">
        <f t="shared" ref="D4:E4" si="1">(T32/(100-M21))*100</f>
        <v>51.280042099863856</v>
      </c>
      <c r="E4" s="100">
        <f t="shared" si="1"/>
        <v>51.345904012438758</v>
      </c>
      <c r="F4" s="84">
        <f>SUM(C4:E4)</f>
        <v>153.01616513477802</v>
      </c>
      <c r="G4" s="106">
        <f>AVERAGE(C4:E4)</f>
        <v>51.00538837825934</v>
      </c>
      <c r="N4" s="132" t="s">
        <v>274</v>
      </c>
      <c r="O4" s="132"/>
      <c r="Q4" s="54">
        <v>1</v>
      </c>
      <c r="R4" s="54" t="s">
        <v>51</v>
      </c>
      <c r="S4" s="54">
        <f>((2.038)-0.1628)/0.8216</f>
        <v>2.2823758519961048</v>
      </c>
      <c r="T4" s="54">
        <f>((2.03)-0.1628)/0.8216</f>
        <v>2.2726387536514117</v>
      </c>
      <c r="U4" s="54">
        <f>((2.035)-0.1628)/0.8216</f>
        <v>2.2787244401168452</v>
      </c>
      <c r="V4" s="54">
        <f>SUM(S4:U4)</f>
        <v>6.8337390457643608</v>
      </c>
      <c r="W4" s="54">
        <f>AVERAGE(S4:U4)</f>
        <v>2.2779130152547871</v>
      </c>
      <c r="Y4" s="76"/>
    </row>
    <row r="5" spans="1:30" x14ac:dyDescent="0.2">
      <c r="A5" s="70">
        <v>2</v>
      </c>
      <c r="B5" s="70" t="s">
        <v>53</v>
      </c>
      <c r="C5" s="100">
        <f t="shared" ref="C5:C12" si="2">(S33/(100-L22))*100</f>
        <v>51.943169827918346</v>
      </c>
      <c r="D5" s="100">
        <f t="shared" ref="D5:D12" si="3">(T33/(100-M22))*100</f>
        <v>51.413635771165112</v>
      </c>
      <c r="E5" s="100">
        <f t="shared" si="0"/>
        <v>52.930083676850693</v>
      </c>
      <c r="F5" s="84">
        <f t="shared" ref="F5:F12" si="4">SUM(C5:E5)</f>
        <v>156.28688927593416</v>
      </c>
      <c r="G5" s="106">
        <f t="shared" ref="G5:G12" si="5">AVERAGE(C5:E5)</f>
        <v>52.095629758644719</v>
      </c>
      <c r="M5" s="56"/>
      <c r="N5" s="59" t="s">
        <v>131</v>
      </c>
      <c r="O5" s="59" t="s">
        <v>219</v>
      </c>
      <c r="Q5" s="54">
        <v>2</v>
      </c>
      <c r="R5" s="54" t="s">
        <v>53</v>
      </c>
      <c r="S5" s="54">
        <f>((2.152)-0.1628)/0.8216</f>
        <v>2.4211295034079847</v>
      </c>
      <c r="T5" s="54">
        <f>((2.155)-0.1628)/0.8216</f>
        <v>2.4247809152872439</v>
      </c>
      <c r="U5" s="54">
        <f>((2.154)-0.1628)/0.8216</f>
        <v>2.4235637779941577</v>
      </c>
      <c r="V5" s="54">
        <f t="shared" ref="V5:V12" si="6">SUM(S5:U5)</f>
        <v>7.2694741966893863</v>
      </c>
      <c r="W5" s="54">
        <f t="shared" ref="W5:W12" si="7">AVERAGE(S5:U5)</f>
        <v>2.4231580655631286</v>
      </c>
      <c r="Y5" s="50"/>
      <c r="Z5" s="76"/>
      <c r="AA5" s="85"/>
    </row>
    <row r="6" spans="1:30" x14ac:dyDescent="0.2">
      <c r="A6" s="70">
        <v>3</v>
      </c>
      <c r="B6" s="70" t="s">
        <v>54</v>
      </c>
      <c r="C6" s="100">
        <f t="shared" si="2"/>
        <v>54.120360378015931</v>
      </c>
      <c r="D6" s="100">
        <f t="shared" si="3"/>
        <v>48.009103031906008</v>
      </c>
      <c r="E6" s="100">
        <f>(U34/(100-N23))*100</f>
        <v>55.438117324654414</v>
      </c>
      <c r="F6" s="84">
        <f t="shared" si="4"/>
        <v>157.56758073457635</v>
      </c>
      <c r="G6" s="106">
        <f t="shared" si="5"/>
        <v>52.522526911525453</v>
      </c>
      <c r="I6" s="70" t="s">
        <v>131</v>
      </c>
      <c r="J6" s="70" t="s">
        <v>93</v>
      </c>
      <c r="K6" s="70" t="s">
        <v>148</v>
      </c>
      <c r="L6" s="70" t="s">
        <v>179</v>
      </c>
      <c r="N6" s="54" t="s">
        <v>134</v>
      </c>
      <c r="O6" s="55">
        <f>AVERAGE(C4:E6)</f>
        <v>51.874515016143171</v>
      </c>
      <c r="P6" s="73"/>
      <c r="Q6" s="54">
        <v>3</v>
      </c>
      <c r="R6" s="54" t="s">
        <v>54</v>
      </c>
      <c r="S6" s="54">
        <f>((2.186)-0.1628)/0.8216</f>
        <v>2.4625121713729312</v>
      </c>
      <c r="T6" s="54">
        <f>((2.18)-0.1628)/0.8216</f>
        <v>2.4552093476144115</v>
      </c>
      <c r="U6" s="54">
        <f>((2.189)-0.1628)/0.8216</f>
        <v>2.4661635832521913</v>
      </c>
      <c r="V6" s="54">
        <f t="shared" si="6"/>
        <v>7.3838851022395335</v>
      </c>
      <c r="W6" s="54">
        <f t="shared" si="7"/>
        <v>2.4612950340798445</v>
      </c>
      <c r="Y6" s="77"/>
      <c r="Z6" s="76"/>
      <c r="AB6" s="76"/>
    </row>
    <row r="7" spans="1:30" x14ac:dyDescent="0.2">
      <c r="A7" s="70">
        <v>4</v>
      </c>
      <c r="B7" s="70" t="s">
        <v>55</v>
      </c>
      <c r="C7" s="101">
        <f t="shared" si="2"/>
        <v>54.322306797184503</v>
      </c>
      <c r="D7" s="101">
        <f t="shared" si="3"/>
        <v>54.595990932957463</v>
      </c>
      <c r="E7" s="101">
        <f t="shared" si="0"/>
        <v>55.836673821569939</v>
      </c>
      <c r="F7" s="84">
        <f t="shared" si="4"/>
        <v>164.75497155171192</v>
      </c>
      <c r="G7" s="107">
        <f t="shared" si="5"/>
        <v>54.918323850570637</v>
      </c>
      <c r="I7" s="54" t="s">
        <v>51</v>
      </c>
      <c r="J7" s="105">
        <v>51.00538837825934</v>
      </c>
      <c r="K7" s="57" t="s">
        <v>151</v>
      </c>
      <c r="L7" s="109">
        <f>J7+L3</f>
        <v>55.377231208468558</v>
      </c>
      <c r="M7" s="72"/>
      <c r="N7" s="69" t="s">
        <v>135</v>
      </c>
      <c r="O7" s="69">
        <f>AVERAGE(C7:E9)</f>
        <v>55.551719031265208</v>
      </c>
      <c r="P7" s="78"/>
      <c r="Q7" s="79">
        <v>4</v>
      </c>
      <c r="R7" s="54" t="s">
        <v>55</v>
      </c>
      <c r="S7" s="54">
        <f>((2.21)-0.1628)/0.8216</f>
        <v>2.4917234664070107</v>
      </c>
      <c r="T7" s="54">
        <f>((2.215)-0.1628)/0.8216</f>
        <v>2.4978091528724442</v>
      </c>
      <c r="U7" s="54">
        <f>((2.213)-0.1628)/0.8216</f>
        <v>2.4953748782862708</v>
      </c>
      <c r="V7" s="54">
        <f t="shared" si="6"/>
        <v>7.4849074975657253</v>
      </c>
      <c r="W7" s="54">
        <f t="shared" si="7"/>
        <v>2.4949691658552418</v>
      </c>
      <c r="Z7" s="76"/>
      <c r="AB7" s="76"/>
    </row>
    <row r="8" spans="1:30" x14ac:dyDescent="0.2">
      <c r="A8" s="70">
        <v>5</v>
      </c>
      <c r="B8" s="70" t="s">
        <v>52</v>
      </c>
      <c r="C8" s="101">
        <f t="shared" si="2"/>
        <v>55.044096879812358</v>
      </c>
      <c r="D8" s="101">
        <f t="shared" si="3"/>
        <v>56.575570299352307</v>
      </c>
      <c r="E8" s="101">
        <f t="shared" si="0"/>
        <v>55.382090909452209</v>
      </c>
      <c r="F8" s="84">
        <f t="shared" si="4"/>
        <v>167.00175808861687</v>
      </c>
      <c r="G8" s="107">
        <f t="shared" si="5"/>
        <v>55.667252696205622</v>
      </c>
      <c r="I8" s="54" t="s">
        <v>53</v>
      </c>
      <c r="J8" s="105">
        <v>52.095629758644719</v>
      </c>
      <c r="K8" s="57" t="s">
        <v>151</v>
      </c>
      <c r="L8" s="109"/>
      <c r="M8" s="72"/>
      <c r="N8" s="69" t="s">
        <v>136</v>
      </c>
      <c r="O8" s="69">
        <f>AVERAGE(C10:E12)</f>
        <v>60.741450014131615</v>
      </c>
      <c r="P8" s="78"/>
      <c r="Q8" s="79">
        <v>5</v>
      </c>
      <c r="R8" s="54" t="s">
        <v>52</v>
      </c>
      <c r="S8" s="54">
        <f>((2.25)-0.1628)/0.8216</f>
        <v>2.5404089581304774</v>
      </c>
      <c r="T8" s="54">
        <f>((2.248)-0.1628)/0.8216</f>
        <v>2.5379746835443044</v>
      </c>
      <c r="U8" s="54">
        <f>((2.252)-0.1628)/0.8216</f>
        <v>2.5428432327166504</v>
      </c>
      <c r="V8" s="54">
        <f t="shared" si="6"/>
        <v>7.6212268743914322</v>
      </c>
      <c r="W8" s="54">
        <f t="shared" si="7"/>
        <v>2.5404089581304774</v>
      </c>
      <c r="Z8" s="76"/>
    </row>
    <row r="9" spans="1:30" x14ac:dyDescent="0.2">
      <c r="A9" s="70">
        <v>6</v>
      </c>
      <c r="B9" s="70" t="s">
        <v>56</v>
      </c>
      <c r="C9" s="101">
        <f t="shared" si="2"/>
        <v>55.824559550378169</v>
      </c>
      <c r="D9" s="101">
        <f>(T37/(100-M26))*100</f>
        <v>56.864474950344921</v>
      </c>
      <c r="E9" s="101">
        <f>(U37/(100-N26))*100</f>
        <v>55.519707140335008</v>
      </c>
      <c r="F9" s="84">
        <f t="shared" si="4"/>
        <v>168.20874164105811</v>
      </c>
      <c r="G9" s="107">
        <f t="shared" si="5"/>
        <v>56.06958054701937</v>
      </c>
      <c r="I9" s="54" t="s">
        <v>54</v>
      </c>
      <c r="J9" s="105">
        <v>52.522526911525453</v>
      </c>
      <c r="K9" s="57" t="s">
        <v>151</v>
      </c>
      <c r="L9" s="110"/>
      <c r="M9" s="72"/>
      <c r="N9" s="69"/>
      <c r="O9" s="69"/>
      <c r="P9" s="80"/>
      <c r="Q9" s="79">
        <v>6</v>
      </c>
      <c r="R9" s="54" t="s">
        <v>56</v>
      </c>
      <c r="S9" s="54">
        <f>((2.288)-0.1628)/0.8216</f>
        <v>2.5866601752677703</v>
      </c>
      <c r="T9" s="54">
        <f>((2.29)-0.1628)/0.8216</f>
        <v>2.5890944498539437</v>
      </c>
      <c r="U9" s="54">
        <f>((2.283)-0.1628)/0.8216</f>
        <v>2.5805744888023372</v>
      </c>
      <c r="V9" s="54">
        <f t="shared" si="6"/>
        <v>7.7563291139240516</v>
      </c>
      <c r="W9" s="54">
        <f t="shared" si="7"/>
        <v>2.585443037974684</v>
      </c>
      <c r="Y9" s="76"/>
    </row>
    <row r="10" spans="1:30" x14ac:dyDescent="0.2">
      <c r="A10" s="70">
        <v>7</v>
      </c>
      <c r="B10" s="70" t="s">
        <v>57</v>
      </c>
      <c r="C10" s="102">
        <f t="shared" si="2"/>
        <v>60.084099174311902</v>
      </c>
      <c r="D10" s="102">
        <f t="shared" si="3"/>
        <v>59.539147873450027</v>
      </c>
      <c r="E10" s="102">
        <f t="shared" si="0"/>
        <v>58.865582566893174</v>
      </c>
      <c r="F10" s="84">
        <f t="shared" si="4"/>
        <v>178.48882961465512</v>
      </c>
      <c r="G10" s="108">
        <f t="shared" si="5"/>
        <v>59.496276538218375</v>
      </c>
      <c r="I10" s="54" t="s">
        <v>55</v>
      </c>
      <c r="J10" s="105">
        <v>54.918323850570637</v>
      </c>
      <c r="K10" s="57" t="s">
        <v>180</v>
      </c>
      <c r="L10" s="109">
        <f>J10+L3</f>
        <v>59.290166680779855</v>
      </c>
      <c r="M10" s="72"/>
      <c r="N10" s="69" t="s">
        <v>137</v>
      </c>
      <c r="O10" s="69">
        <f>AVERAGE(C4:E4,C7:E7,C10:E10)</f>
        <v>55.139996255682782</v>
      </c>
      <c r="P10" s="78"/>
      <c r="Q10" s="79">
        <v>7</v>
      </c>
      <c r="R10" s="54" t="s">
        <v>57</v>
      </c>
      <c r="S10" s="54">
        <f>((2.438)-0.1628)/0.8216</f>
        <v>2.7692307692307696</v>
      </c>
      <c r="T10" s="54">
        <f>((2.43)-0.1628)/0.8216</f>
        <v>2.7594936708860764</v>
      </c>
      <c r="U10" s="54">
        <f>((2.434)-0.1628)/0.8216</f>
        <v>2.7643622200584228</v>
      </c>
      <c r="V10" s="54">
        <f>SUM(S10:U10)</f>
        <v>8.2930866601752697</v>
      </c>
      <c r="W10" s="54">
        <f>AVERAGE(S10:U10)</f>
        <v>2.7643622200584232</v>
      </c>
      <c r="Y10" s="76"/>
      <c r="AB10" s="76"/>
    </row>
    <row r="11" spans="1:30" x14ac:dyDescent="0.2">
      <c r="A11" s="70">
        <v>8</v>
      </c>
      <c r="B11" s="70" t="s">
        <v>58</v>
      </c>
      <c r="C11" s="102">
        <f t="shared" si="2"/>
        <v>61.239411547103408</v>
      </c>
      <c r="D11" s="102">
        <f t="shared" si="3"/>
        <v>60.888775465233479</v>
      </c>
      <c r="E11" s="102">
        <f t="shared" si="0"/>
        <v>59.977311364779354</v>
      </c>
      <c r="F11" s="84">
        <f t="shared" si="4"/>
        <v>182.10549837711625</v>
      </c>
      <c r="G11" s="108">
        <f t="shared" si="5"/>
        <v>60.70183279237208</v>
      </c>
      <c r="I11" s="54" t="s">
        <v>52</v>
      </c>
      <c r="J11" s="105">
        <v>55.667252696205622</v>
      </c>
      <c r="K11" s="57" t="s">
        <v>152</v>
      </c>
      <c r="L11" s="110"/>
      <c r="M11" s="72"/>
      <c r="N11" s="69" t="s">
        <v>138</v>
      </c>
      <c r="O11" s="69">
        <f>AVERAGE(C5:E5,C8:E8,C11:E11)</f>
        <v>56.154905082407481</v>
      </c>
      <c r="P11" s="78"/>
      <c r="Q11" s="79">
        <v>8</v>
      </c>
      <c r="R11" s="54" t="s">
        <v>58</v>
      </c>
      <c r="S11" s="54">
        <f>((2.47)-0.1628)/0.8216</f>
        <v>2.8081791626095427</v>
      </c>
      <c r="T11" s="54">
        <f>((2.48)-0.1628)/0.8216</f>
        <v>2.8203505355404093</v>
      </c>
      <c r="U11" s="54">
        <f>((2.475)-0.1628)/0.8216</f>
        <v>2.8142648490749758</v>
      </c>
      <c r="V11" s="54">
        <f t="shared" si="6"/>
        <v>8.4427945472249277</v>
      </c>
      <c r="W11" s="54">
        <f t="shared" si="7"/>
        <v>2.8142648490749758</v>
      </c>
      <c r="AB11" s="76"/>
    </row>
    <row r="12" spans="1:30" x14ac:dyDescent="0.2">
      <c r="A12" s="70">
        <v>9</v>
      </c>
      <c r="B12" s="70" t="s">
        <v>59</v>
      </c>
      <c r="C12" s="102">
        <f t="shared" si="2"/>
        <v>61.764686706080063</v>
      </c>
      <c r="D12" s="102">
        <f t="shared" si="3"/>
        <v>62.064096860428322</v>
      </c>
      <c r="E12" s="102">
        <f t="shared" si="0"/>
        <v>62.249938568904739</v>
      </c>
      <c r="F12" s="84">
        <f t="shared" si="4"/>
        <v>186.0787221354131</v>
      </c>
      <c r="G12" s="108">
        <f t="shared" si="5"/>
        <v>62.02624071180437</v>
      </c>
      <c r="I12" s="54" t="s">
        <v>56</v>
      </c>
      <c r="J12" s="105">
        <v>56.06958054701937</v>
      </c>
      <c r="K12" s="57" t="s">
        <v>190</v>
      </c>
      <c r="L12" s="109">
        <f>J12+L3</f>
        <v>60.441423377228588</v>
      </c>
      <c r="M12" s="103"/>
      <c r="N12" s="69" t="s">
        <v>139</v>
      </c>
      <c r="O12" s="69">
        <f>AVERAGE(C6:E6,C9:E9,C12:E12)</f>
        <v>56.872782723449724</v>
      </c>
      <c r="P12" s="80"/>
      <c r="Q12" s="79">
        <v>9</v>
      </c>
      <c r="R12" s="54" t="s">
        <v>59</v>
      </c>
      <c r="S12" s="54">
        <f>((2.537)-0.1628)/0.8216</f>
        <v>2.8897273612463485</v>
      </c>
      <c r="T12" s="54">
        <f>((2.54)-0.1628)/0.8216</f>
        <v>2.8933787731256086</v>
      </c>
      <c r="U12" s="54">
        <f>((2.543)-0.1628)/0.8216</f>
        <v>2.8970301850048688</v>
      </c>
      <c r="V12" s="54">
        <f t="shared" si="6"/>
        <v>8.6801363193768264</v>
      </c>
      <c r="W12" s="54">
        <f t="shared" si="7"/>
        <v>2.8933787731256086</v>
      </c>
      <c r="Y12" s="77"/>
    </row>
    <row r="13" spans="1:30" x14ac:dyDescent="0.2">
      <c r="A13" s="142" t="s">
        <v>50</v>
      </c>
      <c r="B13" s="142"/>
      <c r="C13" s="54">
        <f>SUM(C4:C12)</f>
        <v>504.73290988328012</v>
      </c>
      <c r="D13" s="54">
        <f t="shared" ref="D13:E13" si="8">SUM(D4:D12)</f>
        <v>501.23083728470152</v>
      </c>
      <c r="E13" s="54">
        <f t="shared" si="8"/>
        <v>507.54540938587826</v>
      </c>
      <c r="F13" s="54">
        <f>SUM(F4:F12)</f>
        <v>1513.5091565538598</v>
      </c>
      <c r="G13" s="54"/>
      <c r="I13" s="54" t="s">
        <v>57</v>
      </c>
      <c r="J13" s="105">
        <v>59.496276538218375</v>
      </c>
      <c r="K13" s="57" t="s">
        <v>212</v>
      </c>
      <c r="L13" s="109">
        <f>J13+L3</f>
        <v>63.868119368427593</v>
      </c>
      <c r="M13" s="104"/>
      <c r="N13" s="73"/>
      <c r="O13" s="73"/>
      <c r="P13" s="78"/>
      <c r="Q13" s="152" t="s">
        <v>50</v>
      </c>
      <c r="R13" s="121"/>
      <c r="S13" s="54">
        <f>SUM(S4:S12)</f>
        <v>23.251947419668941</v>
      </c>
      <c r="T13" s="54">
        <f t="shared" ref="T13:U13" si="9">SUM(T4:T12)</f>
        <v>23.250730282375855</v>
      </c>
      <c r="U13" s="54">
        <f t="shared" si="9"/>
        <v>23.26290165530672</v>
      </c>
      <c r="V13" s="54">
        <f>SUM(V4:V12)</f>
        <v>69.765579357351513</v>
      </c>
      <c r="W13" s="54"/>
      <c r="Y13" s="77"/>
    </row>
    <row r="14" spans="1:30" x14ac:dyDescent="0.2">
      <c r="A14" s="142" t="s">
        <v>93</v>
      </c>
      <c r="B14" s="142"/>
      <c r="C14" s="54">
        <f>SUM(C4:C13)/9</f>
        <v>112.16286886295114</v>
      </c>
      <c r="D14" s="54">
        <f t="shared" ref="D14:E14" si="10">SUM(D4:D13)/9</f>
        <v>111.38463050771145</v>
      </c>
      <c r="E14" s="54">
        <f t="shared" si="10"/>
        <v>112.7878687524174</v>
      </c>
      <c r="F14" s="54">
        <f>SUM(C13:E13)</f>
        <v>1513.5091565538598</v>
      </c>
      <c r="G14" s="54"/>
      <c r="I14" s="54" t="s">
        <v>58</v>
      </c>
      <c r="J14" s="105">
        <v>60.70183279237208</v>
      </c>
      <c r="K14" s="57" t="s">
        <v>213</v>
      </c>
      <c r="L14" s="55"/>
      <c r="M14" s="73"/>
      <c r="N14" s="73"/>
      <c r="Q14" s="121" t="s">
        <v>93</v>
      </c>
      <c r="R14" s="121"/>
      <c r="S14" s="54">
        <f>SUM(S4:S13)/9</f>
        <v>5.1670994265930981</v>
      </c>
      <c r="T14" s="54">
        <f t="shared" ref="T14:U14" si="11">SUM(T4:T13)/9</f>
        <v>5.1668289516390793</v>
      </c>
      <c r="U14" s="54">
        <f t="shared" si="11"/>
        <v>5.1695337011792715</v>
      </c>
      <c r="V14" s="54">
        <f>SUM(S13:U13)</f>
        <v>69.765579357351513</v>
      </c>
      <c r="W14" s="54"/>
      <c r="AB14" s="76"/>
    </row>
    <row r="15" spans="1:30" x14ac:dyDescent="0.2">
      <c r="I15" s="54" t="s">
        <v>59</v>
      </c>
      <c r="J15" s="105">
        <v>62.02624071180437</v>
      </c>
      <c r="K15" s="57" t="s">
        <v>213</v>
      </c>
      <c r="L15" s="54"/>
      <c r="M15" s="73"/>
      <c r="N15" s="73"/>
      <c r="O15" s="73"/>
      <c r="AB15" s="76"/>
    </row>
    <row r="16" spans="1:30" x14ac:dyDescent="0.2">
      <c r="A16" s="68" t="s">
        <v>132</v>
      </c>
      <c r="B16" s="51">
        <f>F13^2/27</f>
        <v>84841.109887865779</v>
      </c>
      <c r="O16" s="73"/>
      <c r="Q16" s="142" t="s">
        <v>224</v>
      </c>
      <c r="R16" s="142"/>
      <c r="S16" s="142"/>
      <c r="T16" s="142"/>
      <c r="U16" s="142"/>
      <c r="V16" s="142"/>
      <c r="X16" s="51">
        <f>0.2067*25</f>
        <v>5.1674999999999995</v>
      </c>
    </row>
    <row r="17" spans="1:25" x14ac:dyDescent="0.2">
      <c r="O17" s="73"/>
      <c r="Q17" s="150" t="s">
        <v>62</v>
      </c>
      <c r="R17" s="150" t="s">
        <v>60</v>
      </c>
      <c r="S17" s="142" t="s">
        <v>92</v>
      </c>
      <c r="T17" s="142"/>
      <c r="U17" s="142"/>
      <c r="V17" s="150" t="s">
        <v>219</v>
      </c>
      <c r="W17" s="151"/>
      <c r="Y17" s="76"/>
    </row>
    <row r="18" spans="1:25" x14ac:dyDescent="0.2">
      <c r="A18" s="153" t="s">
        <v>133</v>
      </c>
      <c r="B18" s="153"/>
      <c r="C18" s="153"/>
      <c r="D18" s="153"/>
      <c r="E18" s="153"/>
      <c r="F18" s="153"/>
      <c r="G18" s="153"/>
      <c r="J18" s="146" t="s">
        <v>226</v>
      </c>
      <c r="K18" s="147"/>
      <c r="L18" s="147"/>
      <c r="M18" s="147"/>
      <c r="N18" s="148"/>
      <c r="Q18" s="150"/>
      <c r="R18" s="150"/>
      <c r="S18" s="70">
        <v>1</v>
      </c>
      <c r="T18" s="70">
        <v>2</v>
      </c>
      <c r="U18" s="70">
        <v>3</v>
      </c>
      <c r="V18" s="150"/>
      <c r="W18" s="151"/>
      <c r="Y18" s="76"/>
    </row>
    <row r="19" spans="1:25" x14ac:dyDescent="0.2">
      <c r="A19" s="54"/>
      <c r="B19" s="54"/>
      <c r="C19" s="54" t="s">
        <v>137</v>
      </c>
      <c r="D19" s="54" t="s">
        <v>138</v>
      </c>
      <c r="E19" s="54" t="s">
        <v>139</v>
      </c>
      <c r="F19" s="54" t="s">
        <v>19</v>
      </c>
      <c r="G19" s="60" t="s">
        <v>93</v>
      </c>
      <c r="J19" s="144" t="s">
        <v>62</v>
      </c>
      <c r="K19" s="144" t="s">
        <v>60</v>
      </c>
      <c r="L19" s="146" t="s">
        <v>92</v>
      </c>
      <c r="M19" s="147"/>
      <c r="N19" s="148"/>
      <c r="Q19" s="54">
        <v>1</v>
      </c>
      <c r="R19" s="54" t="s">
        <v>51</v>
      </c>
      <c r="S19" s="54">
        <f>S4*200*5/5.0006</f>
        <v>456.42039995122678</v>
      </c>
      <c r="T19" s="54">
        <f>T4*200*(5/5.02)</f>
        <v>452.71688319749239</v>
      </c>
      <c r="U19" s="54">
        <f>(U4*200)*(5/(5.0015))</f>
        <v>455.60820556170052</v>
      </c>
      <c r="V19" s="55">
        <f>AVERAGE(S19:U19)</f>
        <v>454.91516290347323</v>
      </c>
    </row>
    <row r="20" spans="1:25" x14ac:dyDescent="0.2">
      <c r="A20" s="54"/>
      <c r="B20" s="54" t="s">
        <v>134</v>
      </c>
      <c r="C20" s="54">
        <f>F4</f>
        <v>153.01616513477802</v>
      </c>
      <c r="D20" s="54">
        <f>F5</f>
        <v>156.28688927593416</v>
      </c>
      <c r="E20" s="54">
        <f>F6</f>
        <v>157.56758073457635</v>
      </c>
      <c r="F20" s="54">
        <f>SUM(C20:E20)</f>
        <v>466.87063514528859</v>
      </c>
      <c r="G20" s="54">
        <f>F20/9</f>
        <v>51.874515016143178</v>
      </c>
      <c r="J20" s="145"/>
      <c r="K20" s="145"/>
      <c r="L20" s="75">
        <v>1</v>
      </c>
      <c r="M20" s="83">
        <v>2</v>
      </c>
      <c r="N20" s="83">
        <v>3</v>
      </c>
      <c r="Q20" s="54">
        <v>2</v>
      </c>
      <c r="R20" s="54" t="s">
        <v>53</v>
      </c>
      <c r="S20" s="54">
        <f>(S5*200)*(5/5.1132)</f>
        <v>473.50573093326778</v>
      </c>
      <c r="T20" s="54">
        <f>(T5*200)*(5/5.185)</f>
        <v>467.65302127044248</v>
      </c>
      <c r="U20" s="54">
        <f>(U5*200)*(5/5.155)</f>
        <v>470.1384632384399</v>
      </c>
      <c r="V20" s="55">
        <f t="shared" ref="V20:V27" si="12">AVERAGE(S20:U20)</f>
        <v>470.43240514738341</v>
      </c>
    </row>
    <row r="21" spans="1:25" x14ac:dyDescent="0.2">
      <c r="A21" s="54"/>
      <c r="B21" s="54" t="s">
        <v>135</v>
      </c>
      <c r="C21" s="54">
        <f>F7</f>
        <v>164.75497155171192</v>
      </c>
      <c r="D21" s="54">
        <f>F8</f>
        <v>167.00175808861687</v>
      </c>
      <c r="E21" s="54">
        <f>F9</f>
        <v>168.20874164105811</v>
      </c>
      <c r="F21" s="54">
        <f t="shared" ref="F21:F22" si="13">SUM(C21:E21)</f>
        <v>499.9654712813869</v>
      </c>
      <c r="G21" s="54">
        <f t="shared" ref="G21:G22" si="14">F21/9</f>
        <v>55.551719031265208</v>
      </c>
      <c r="J21" s="70">
        <v>1</v>
      </c>
      <c r="K21" s="70" t="s">
        <v>51</v>
      </c>
      <c r="L21" s="63">
        <v>9.422818791946316</v>
      </c>
      <c r="M21" s="63">
        <v>11.716748922346481</v>
      </c>
      <c r="N21" s="63">
        <v>11.266884024219827</v>
      </c>
      <c r="Q21" s="54">
        <v>3</v>
      </c>
      <c r="R21" s="54" t="s">
        <v>54</v>
      </c>
      <c r="S21" s="54">
        <f>(S6*200)*(5/5.0003)</f>
        <v>492.47288590143211</v>
      </c>
      <c r="T21" s="54">
        <f>(T6*200)*(5/5.8)</f>
        <v>423.3119564852434</v>
      </c>
      <c r="U21" s="54">
        <f>(U6*200)*(5/5.086)</f>
        <v>484.89256454034427</v>
      </c>
      <c r="V21" s="55">
        <f t="shared" si="12"/>
        <v>466.89246897567324</v>
      </c>
    </row>
    <row r="22" spans="1:25" x14ac:dyDescent="0.2">
      <c r="A22" s="54"/>
      <c r="B22" s="54" t="s">
        <v>136</v>
      </c>
      <c r="C22" s="54">
        <f>F10</f>
        <v>178.48882961465512</v>
      </c>
      <c r="D22" s="54">
        <f>F11</f>
        <v>182.10549837711625</v>
      </c>
      <c r="E22" s="54">
        <f>F12</f>
        <v>186.0787221354131</v>
      </c>
      <c r="F22" s="54">
        <f t="shared" si="13"/>
        <v>546.67305012718452</v>
      </c>
      <c r="G22" s="54">
        <f t="shared" si="14"/>
        <v>60.741450014131615</v>
      </c>
      <c r="J22" s="70">
        <v>2</v>
      </c>
      <c r="K22" s="70" t="s">
        <v>53</v>
      </c>
      <c r="L22" s="63">
        <v>8.8415796529289565</v>
      </c>
      <c r="M22" s="63">
        <v>9.0410521924766112</v>
      </c>
      <c r="N22" s="63">
        <v>11.177457018822368</v>
      </c>
      <c r="Q22" s="54">
        <v>4</v>
      </c>
      <c r="R22" s="54" t="s">
        <v>55</v>
      </c>
      <c r="S22" s="54">
        <f>(S7*200)*(5/5.0167)</f>
        <v>496.68576283353809</v>
      </c>
      <c r="T22" s="54">
        <f>(T7*200)*(5/5.0115)</f>
        <v>498.41547498203016</v>
      </c>
      <c r="U22" s="54">
        <f>(U7*200)*(5/5.0215)</f>
        <v>496.93814164816712</v>
      </c>
      <c r="V22" s="55">
        <f t="shared" si="12"/>
        <v>497.34645982124516</v>
      </c>
    </row>
    <row r="23" spans="1:25" x14ac:dyDescent="0.2">
      <c r="A23" s="54"/>
      <c r="B23" s="54" t="s">
        <v>50</v>
      </c>
      <c r="C23" s="54">
        <f>SUM(C20:C22)</f>
        <v>496.25996630114508</v>
      </c>
      <c r="D23" s="54">
        <f t="shared" ref="D23:E23" si="15">SUM(D20:D22)</f>
        <v>505.39414574166727</v>
      </c>
      <c r="E23" s="54">
        <f t="shared" si="15"/>
        <v>511.85504451104754</v>
      </c>
      <c r="F23" s="54"/>
      <c r="G23" s="54"/>
      <c r="J23" s="70">
        <v>3</v>
      </c>
      <c r="K23" s="70" t="s">
        <v>54</v>
      </c>
      <c r="L23" s="63">
        <v>9.0041377290092672</v>
      </c>
      <c r="M23" s="63">
        <v>11.82673081729568</v>
      </c>
      <c r="N23" s="63">
        <v>12.534445984026396</v>
      </c>
      <c r="Q23" s="54">
        <v>5</v>
      </c>
      <c r="R23" s="54" t="s">
        <v>52</v>
      </c>
      <c r="S23" s="54">
        <f>(S8*200)*(5/5.0172)</f>
        <v>506.33998208771379</v>
      </c>
      <c r="T23" s="54">
        <f>(T8*200)*(5/5.0197)</f>
        <v>505.60286143480772</v>
      </c>
      <c r="U23" s="54">
        <f>(U8*200)*(5/5.0102)</f>
        <v>507.53327865487415</v>
      </c>
      <c r="V23" s="55">
        <f t="shared" si="12"/>
        <v>506.49204072579852</v>
      </c>
    </row>
    <row r="24" spans="1:25" x14ac:dyDescent="0.2">
      <c r="A24" s="54"/>
      <c r="B24" s="54" t="s">
        <v>93</v>
      </c>
      <c r="C24" s="54">
        <f>C23/9</f>
        <v>55.139996255682789</v>
      </c>
      <c r="D24" s="54">
        <f t="shared" ref="D24:E24" si="16">D23/9</f>
        <v>56.154905082407474</v>
      </c>
      <c r="E24" s="54">
        <f t="shared" si="16"/>
        <v>56.872782723449724</v>
      </c>
      <c r="F24" s="54"/>
      <c r="G24" s="54"/>
      <c r="J24" s="70">
        <v>4</v>
      </c>
      <c r="K24" s="70" t="s">
        <v>55</v>
      </c>
      <c r="L24" s="63">
        <v>8.5668867693812718</v>
      </c>
      <c r="M24" s="63">
        <v>8.708411283518581</v>
      </c>
      <c r="N24" s="63">
        <v>11.001478484164657</v>
      </c>
      <c r="Q24" s="54">
        <v>6</v>
      </c>
      <c r="R24" s="54" t="s">
        <v>56</v>
      </c>
      <c r="S24" s="54">
        <f>(S9*200)*(5/5.0237)</f>
        <v>514.8914495825328</v>
      </c>
      <c r="T24" s="54">
        <f>(T9*200)*(5/5.0225)</f>
        <v>515.49914382358259</v>
      </c>
      <c r="U24" s="54">
        <f>(U9*200)*(5/5.0235)</f>
        <v>513.70050538515716</v>
      </c>
      <c r="V24" s="55">
        <f t="shared" si="12"/>
        <v>514.69703293042414</v>
      </c>
    </row>
    <row r="25" spans="1:25" x14ac:dyDescent="0.2">
      <c r="J25" s="70">
        <v>5</v>
      </c>
      <c r="K25" s="70" t="s">
        <v>52</v>
      </c>
      <c r="L25" s="63">
        <v>8.011937557392093</v>
      </c>
      <c r="M25" s="63">
        <v>10.632299637535239</v>
      </c>
      <c r="N25" s="63">
        <v>8.3578697877851198</v>
      </c>
      <c r="Q25" s="54">
        <v>7</v>
      </c>
      <c r="R25" s="54" t="s">
        <v>57</v>
      </c>
      <c r="S25" s="54">
        <f>(S10*200)*(5/5.0235)</f>
        <v>551.25525415164122</v>
      </c>
      <c r="T25" s="54">
        <f>(T10*200)*(5/5.0235)</f>
        <v>549.31694453788714</v>
      </c>
      <c r="U25" s="54">
        <f>(U10*200)*(5/5.0115)</f>
        <v>551.60375537432367</v>
      </c>
      <c r="V25" s="55">
        <f t="shared" si="12"/>
        <v>550.7253180212839</v>
      </c>
    </row>
    <row r="26" spans="1:25" x14ac:dyDescent="0.2">
      <c r="A26" s="153" t="s">
        <v>140</v>
      </c>
      <c r="B26" s="153"/>
      <c r="C26" s="153"/>
      <c r="D26" s="153"/>
      <c r="E26" s="153"/>
      <c r="F26" s="153"/>
      <c r="G26" s="153"/>
      <c r="H26" s="153"/>
      <c r="J26" s="70">
        <v>6</v>
      </c>
      <c r="K26" s="70" t="s">
        <v>56</v>
      </c>
      <c r="L26" s="63">
        <v>7.7661420475918854</v>
      </c>
      <c r="M26" s="63">
        <v>9.3460118512083898</v>
      </c>
      <c r="N26" s="63">
        <v>7.4742047744062612</v>
      </c>
      <c r="Q26" s="54">
        <v>8</v>
      </c>
      <c r="R26" s="54" t="s">
        <v>58</v>
      </c>
      <c r="S26" s="54">
        <f>(S11*200)*(5/5.0145)</f>
        <v>560.01179830681883</v>
      </c>
      <c r="T26" s="54">
        <f>(T11*200)*(5/5.0012)</f>
        <v>563.93476276501826</v>
      </c>
      <c r="U26" s="54">
        <f>(U11*200)*(5/5.0045)</f>
        <v>562.34685764311632</v>
      </c>
      <c r="V26" s="55">
        <f t="shared" si="12"/>
        <v>562.09780623831784</v>
      </c>
    </row>
    <row r="27" spans="1:25" x14ac:dyDescent="0.2">
      <c r="A27" s="120" t="s">
        <v>141</v>
      </c>
      <c r="B27" s="121" t="s">
        <v>144</v>
      </c>
      <c r="C27" s="121" t="s">
        <v>145</v>
      </c>
      <c r="D27" s="121" t="s">
        <v>146</v>
      </c>
      <c r="E27" s="121" t="s">
        <v>147</v>
      </c>
      <c r="F27" s="121" t="s">
        <v>188</v>
      </c>
      <c r="G27" s="121"/>
      <c r="H27" s="121" t="s">
        <v>171</v>
      </c>
      <c r="J27" s="70">
        <v>7</v>
      </c>
      <c r="K27" s="70" t="s">
        <v>57</v>
      </c>
      <c r="L27" s="63">
        <v>8.2527221466070504</v>
      </c>
      <c r="M27" s="63">
        <v>7.7385276481524672</v>
      </c>
      <c r="N27" s="63">
        <v>6.2943520948770271</v>
      </c>
      <c r="Q27" s="54">
        <v>9</v>
      </c>
      <c r="R27" s="54" t="s">
        <v>59</v>
      </c>
      <c r="S27" s="54">
        <f>(S12*200)*(5/5.0075)</f>
        <v>577.07985247056388</v>
      </c>
      <c r="T27" s="54">
        <f>(T12*200)*(5/5.0115)</f>
        <v>577.34785455963458</v>
      </c>
      <c r="U27" s="54">
        <f>(U12*200)*(5/5.0125)</f>
        <v>577.96113416555977</v>
      </c>
      <c r="V27" s="55">
        <f t="shared" si="12"/>
        <v>577.46294706525271</v>
      </c>
    </row>
    <row r="28" spans="1:25" x14ac:dyDescent="0.2">
      <c r="A28" s="120"/>
      <c r="B28" s="121"/>
      <c r="C28" s="121"/>
      <c r="D28" s="121"/>
      <c r="E28" s="121"/>
      <c r="F28" s="59">
        <v>0.05</v>
      </c>
      <c r="G28" s="54">
        <v>0.01</v>
      </c>
      <c r="H28" s="121"/>
      <c r="J28" s="70">
        <v>8</v>
      </c>
      <c r="K28" s="70" t="s">
        <v>58</v>
      </c>
      <c r="L28" s="63">
        <v>8.5536937473548935</v>
      </c>
      <c r="M28" s="63">
        <v>7.3828043910956929</v>
      </c>
      <c r="N28" s="63">
        <v>6.2400689782595169</v>
      </c>
      <c r="Q28" s="128"/>
      <c r="R28" s="128"/>
    </row>
    <row r="29" spans="1:25" x14ac:dyDescent="0.2">
      <c r="A29" s="54" t="s">
        <v>142</v>
      </c>
      <c r="B29" s="57">
        <f>3-1</f>
        <v>2</v>
      </c>
      <c r="C29" s="54">
        <f>SUMSQ(C13:E13)/9-B16</f>
        <v>2.2240180281223729</v>
      </c>
      <c r="D29" s="54">
        <f>C29/B29</f>
        <v>1.1120090140611865</v>
      </c>
      <c r="E29" s="54">
        <f>D29/$D$34</f>
        <v>0.49067501243546002</v>
      </c>
      <c r="F29" s="59">
        <f>FINV($F$28,B29,$B$34)</f>
        <v>3.6337234675916301</v>
      </c>
      <c r="G29" s="54">
        <f>FINV($G$28,B29,$B$34)</f>
        <v>6.2262352803113821</v>
      </c>
      <c r="H29" s="54" t="s">
        <v>172</v>
      </c>
      <c r="J29" s="70">
        <v>9</v>
      </c>
      <c r="K29" s="70" t="s">
        <v>59</v>
      </c>
      <c r="L29" s="63">
        <v>6.5679948776042991</v>
      </c>
      <c r="M29" s="63">
        <v>6.9755488655554769</v>
      </c>
      <c r="N29" s="63">
        <v>7.1547462611851564</v>
      </c>
      <c r="Q29" s="142" t="s">
        <v>227</v>
      </c>
      <c r="R29" s="142"/>
      <c r="S29" s="142"/>
      <c r="T29" s="142"/>
      <c r="U29" s="142"/>
      <c r="V29" s="142"/>
    </row>
    <row r="30" spans="1:25" x14ac:dyDescent="0.2">
      <c r="A30" s="54" t="s">
        <v>131</v>
      </c>
      <c r="B30" s="57">
        <f>3*3-1</f>
        <v>8</v>
      </c>
      <c r="C30" s="54">
        <f>SUMSQ(F4:F12)/3-B16</f>
        <v>372.5618917165848</v>
      </c>
      <c r="D30" s="54">
        <f>C30/B30</f>
        <v>46.5702364645731</v>
      </c>
      <c r="E30" s="54">
        <f t="shared" ref="E30:E33" si="17">D30/$D$34</f>
        <v>20.549160184343066</v>
      </c>
      <c r="F30" s="59">
        <f t="shared" ref="F30:F33" si="18">FINV($F$28,B30,$B$34)</f>
        <v>2.5910961798744014</v>
      </c>
      <c r="G30" s="54">
        <f>FINV($G$28,B30,$B$34)</f>
        <v>3.8895721399261927</v>
      </c>
      <c r="H30" s="54" t="s">
        <v>217</v>
      </c>
      <c r="Q30" s="150" t="s">
        <v>62</v>
      </c>
      <c r="R30" s="150" t="s">
        <v>60</v>
      </c>
      <c r="S30" s="142" t="s">
        <v>92</v>
      </c>
      <c r="T30" s="142"/>
      <c r="U30" s="142"/>
      <c r="V30" s="150" t="s">
        <v>219</v>
      </c>
    </row>
    <row r="31" spans="1:25" x14ac:dyDescent="0.2">
      <c r="A31" s="54" t="s">
        <v>120</v>
      </c>
      <c r="B31" s="57">
        <f>3-1</f>
        <v>2</v>
      </c>
      <c r="C31" s="54">
        <f>SUMSQ(F20:F22)/9-B16</f>
        <v>357.23301990574691</v>
      </c>
      <c r="D31" s="54">
        <f>C31/B31</f>
        <v>178.61650995287346</v>
      </c>
      <c r="E31" s="54">
        <f t="shared" si="17"/>
        <v>78.814701260580122</v>
      </c>
      <c r="F31" s="59">
        <f t="shared" si="18"/>
        <v>3.6337234675916301</v>
      </c>
      <c r="G31" s="54">
        <f t="shared" ref="G31:G33" si="19">FINV($G$28,B31,$B$34)</f>
        <v>6.2262352803113821</v>
      </c>
      <c r="H31" s="54" t="s">
        <v>217</v>
      </c>
      <c r="Q31" s="150"/>
      <c r="R31" s="150"/>
      <c r="S31" s="70">
        <v>1</v>
      </c>
      <c r="T31" s="70">
        <v>2</v>
      </c>
      <c r="U31" s="70">
        <v>3</v>
      </c>
      <c r="V31" s="150"/>
    </row>
    <row r="32" spans="1:25" x14ac:dyDescent="0.2">
      <c r="A32" s="54" t="s">
        <v>150</v>
      </c>
      <c r="B32" s="57">
        <f>3-1</f>
        <v>2</v>
      </c>
      <c r="C32" s="54">
        <f>SUMSQ(C23:E23)/9-B16</f>
        <v>13.643811530855601</v>
      </c>
      <c r="D32" s="54">
        <f>C32/B32</f>
        <v>6.8219057654278004</v>
      </c>
      <c r="E32" s="54">
        <f>D32/$D$34</f>
        <v>3.0101722683523504</v>
      </c>
      <c r="F32" s="59">
        <f t="shared" si="18"/>
        <v>3.6337234675916301</v>
      </c>
      <c r="G32" s="54">
        <f t="shared" si="19"/>
        <v>6.2262352803113821</v>
      </c>
      <c r="H32" s="54" t="s">
        <v>217</v>
      </c>
      <c r="K32" s="93"/>
      <c r="L32" s="53"/>
      <c r="Q32" s="54">
        <v>1</v>
      </c>
      <c r="R32" s="54" t="s">
        <v>51</v>
      </c>
      <c r="S32" s="54">
        <f>S19/10</f>
        <v>45.64203999512268</v>
      </c>
      <c r="T32" s="54">
        <f t="shared" ref="T32:U32" si="20">T19/10</f>
        <v>45.271688319749238</v>
      </c>
      <c r="U32" s="54">
        <f t="shared" si="20"/>
        <v>45.56082055617005</v>
      </c>
      <c r="V32" s="54">
        <f>AVERAGE(S32:U32)</f>
        <v>45.491516290347327</v>
      </c>
    </row>
    <row r="33" spans="1:22" x14ac:dyDescent="0.2">
      <c r="A33" s="54" t="s">
        <v>154</v>
      </c>
      <c r="B33" s="57">
        <f>(3-1)*(3-1)</f>
        <v>4</v>
      </c>
      <c r="C33" s="54">
        <f>C30-C31-C32</f>
        <v>1.6850602799822809</v>
      </c>
      <c r="D33" s="54">
        <f t="shared" ref="D33" si="21">C33/B33</f>
        <v>0.42126506999557023</v>
      </c>
      <c r="E33" s="54">
        <f t="shared" si="17"/>
        <v>0.1858836042198915</v>
      </c>
      <c r="F33" s="59">
        <f t="shared" si="18"/>
        <v>3.0069172799243447</v>
      </c>
      <c r="G33" s="54">
        <f t="shared" si="19"/>
        <v>4.772577999723211</v>
      </c>
      <c r="H33" s="54" t="s">
        <v>172</v>
      </c>
      <c r="K33" s="93"/>
      <c r="Q33" s="54">
        <v>2</v>
      </c>
      <c r="R33" s="54" t="s">
        <v>53</v>
      </c>
      <c r="S33" s="54">
        <f t="shared" ref="S33:U33" si="22">S20/10</f>
        <v>47.35057309332678</v>
      </c>
      <c r="T33" s="54">
        <f t="shared" si="22"/>
        <v>46.765302127044251</v>
      </c>
      <c r="U33" s="54">
        <f t="shared" si="22"/>
        <v>47.013846323843993</v>
      </c>
      <c r="V33" s="54">
        <f t="shared" ref="V33:V40" si="23">AVERAGE(S33:U33)</f>
        <v>47.043240514738351</v>
      </c>
    </row>
    <row r="34" spans="1:22" x14ac:dyDescent="0.2">
      <c r="A34" s="54" t="s">
        <v>143</v>
      </c>
      <c r="B34" s="57">
        <f>B35-B29-B30</f>
        <v>16</v>
      </c>
      <c r="C34" s="54">
        <f>C35-C29-C30</f>
        <v>36.260546744917519</v>
      </c>
      <c r="D34" s="54">
        <f>C34/B34</f>
        <v>2.266284171557345</v>
      </c>
      <c r="E34" s="54"/>
      <c r="F34" s="54"/>
      <c r="G34" s="54"/>
      <c r="H34" s="54"/>
      <c r="K34" s="93"/>
      <c r="Q34" s="54">
        <v>3</v>
      </c>
      <c r="R34" s="54" t="s">
        <v>54</v>
      </c>
      <c r="S34" s="54">
        <f t="shared" ref="S34:U34" si="24">S21/10</f>
        <v>49.247288590143214</v>
      </c>
      <c r="T34" s="54">
        <f t="shared" si="24"/>
        <v>42.331195648524343</v>
      </c>
      <c r="U34" s="54">
        <f t="shared" si="24"/>
        <v>48.489256454034425</v>
      </c>
      <c r="V34" s="54">
        <f t="shared" si="23"/>
        <v>46.68924689756733</v>
      </c>
    </row>
    <row r="35" spans="1:22" x14ac:dyDescent="0.2">
      <c r="A35" s="54" t="s">
        <v>19</v>
      </c>
      <c r="B35" s="57">
        <f>27-1</f>
        <v>26</v>
      </c>
      <c r="C35" s="54">
        <f>SUMSQ(C4:E12)-B16</f>
        <v>411.04645648962469</v>
      </c>
      <c r="D35" s="54"/>
      <c r="E35" s="54"/>
      <c r="F35" s="54"/>
      <c r="G35" s="54"/>
      <c r="H35" s="54"/>
      <c r="K35" s="93"/>
      <c r="L35" s="81"/>
      <c r="M35" s="53"/>
      <c r="Q35" s="54">
        <v>4</v>
      </c>
      <c r="R35" s="54" t="s">
        <v>55</v>
      </c>
      <c r="S35" s="54">
        <f t="shared" ref="S35:U35" si="25">S22/10</f>
        <v>49.668576283353808</v>
      </c>
      <c r="T35" s="54">
        <f t="shared" si="25"/>
        <v>49.841547498203013</v>
      </c>
      <c r="U35" s="54">
        <f t="shared" si="25"/>
        <v>49.693814164816715</v>
      </c>
      <c r="V35" s="54">
        <f t="shared" si="23"/>
        <v>49.734645982124505</v>
      </c>
    </row>
    <row r="36" spans="1:22" x14ac:dyDescent="0.2">
      <c r="K36" s="93"/>
      <c r="L36" s="81"/>
      <c r="M36" s="53"/>
      <c r="Q36" s="54">
        <v>5</v>
      </c>
      <c r="R36" s="54" t="s">
        <v>52</v>
      </c>
      <c r="S36" s="54">
        <f t="shared" ref="S36:U36" si="26">S23/10</f>
        <v>50.633998208771381</v>
      </c>
      <c r="T36" s="54">
        <f t="shared" si="26"/>
        <v>50.560286143480774</v>
      </c>
      <c r="U36" s="54">
        <f t="shared" si="26"/>
        <v>50.753327865487414</v>
      </c>
      <c r="V36" s="54">
        <f t="shared" si="23"/>
        <v>50.649204072579856</v>
      </c>
    </row>
    <row r="37" spans="1:22" x14ac:dyDescent="0.2">
      <c r="K37" s="93"/>
      <c r="L37" s="81"/>
      <c r="M37" s="53"/>
      <c r="Q37" s="54">
        <v>6</v>
      </c>
      <c r="R37" s="54" t="s">
        <v>56</v>
      </c>
      <c r="S37" s="54">
        <f t="shared" ref="S37:U37" si="27">S24/10</f>
        <v>51.489144958253277</v>
      </c>
      <c r="T37" s="54">
        <f t="shared" si="27"/>
        <v>51.54991438235826</v>
      </c>
      <c r="U37" s="54">
        <f t="shared" si="27"/>
        <v>51.370050538515713</v>
      </c>
      <c r="V37" s="54">
        <f t="shared" si="23"/>
        <v>51.469703293042414</v>
      </c>
    </row>
    <row r="38" spans="1:22" x14ac:dyDescent="0.2">
      <c r="K38" s="93"/>
      <c r="Q38" s="54">
        <v>7</v>
      </c>
      <c r="R38" s="54" t="s">
        <v>57</v>
      </c>
      <c r="S38" s="54">
        <f t="shared" ref="S38:U38" si="28">S25/10</f>
        <v>55.12552541516412</v>
      </c>
      <c r="T38" s="54">
        <f t="shared" si="28"/>
        <v>54.931694453788715</v>
      </c>
      <c r="U38" s="54">
        <f t="shared" si="28"/>
        <v>55.160375537432365</v>
      </c>
      <c r="V38" s="54">
        <f t="shared" si="23"/>
        <v>55.072531802128402</v>
      </c>
    </row>
    <row r="39" spans="1:22" x14ac:dyDescent="0.2">
      <c r="K39" s="93"/>
      <c r="Q39" s="54">
        <v>8</v>
      </c>
      <c r="R39" s="54" t="s">
        <v>58</v>
      </c>
      <c r="S39" s="54">
        <f t="shared" ref="S39:U39" si="29">S26/10</f>
        <v>56.001179830681885</v>
      </c>
      <c r="T39" s="54">
        <f t="shared" si="29"/>
        <v>56.393476276501829</v>
      </c>
      <c r="U39" s="54">
        <f t="shared" si="29"/>
        <v>56.234685764311635</v>
      </c>
      <c r="V39" s="54">
        <f t="shared" si="23"/>
        <v>56.209780623831783</v>
      </c>
    </row>
    <row r="40" spans="1:22" x14ac:dyDescent="0.2">
      <c r="K40" s="93"/>
      <c r="Q40" s="54">
        <v>9</v>
      </c>
      <c r="R40" s="54" t="s">
        <v>59</v>
      </c>
      <c r="S40" s="54">
        <f t="shared" ref="S40:U40" si="30">S27/10</f>
        <v>57.707985247056385</v>
      </c>
      <c r="T40" s="54">
        <f t="shared" si="30"/>
        <v>57.734785455963461</v>
      </c>
      <c r="U40" s="54">
        <f t="shared" si="30"/>
        <v>57.796113416555976</v>
      </c>
      <c r="V40" s="54">
        <f t="shared" si="23"/>
        <v>57.746294706525276</v>
      </c>
    </row>
    <row r="42" spans="1:22" x14ac:dyDescent="0.2">
      <c r="P42" s="53"/>
    </row>
    <row r="43" spans="1:22" ht="16" customHeight="1" x14ac:dyDescent="0.2">
      <c r="P43" s="53"/>
    </row>
    <row r="44" spans="1:22" x14ac:dyDescent="0.2">
      <c r="P44" s="53"/>
    </row>
    <row r="45" spans="1:22" x14ac:dyDescent="0.2">
      <c r="P45" s="53"/>
    </row>
    <row r="46" spans="1:22" x14ac:dyDescent="0.2">
      <c r="P46" s="53"/>
    </row>
    <row r="47" spans="1:22" x14ac:dyDescent="0.2">
      <c r="P47" s="53"/>
    </row>
    <row r="48" spans="1:22" x14ac:dyDescent="0.2">
      <c r="P48" s="53"/>
    </row>
    <row r="49" spans="16:16" x14ac:dyDescent="0.2">
      <c r="P49" s="53"/>
    </row>
    <row r="50" spans="16:16" x14ac:dyDescent="0.2">
      <c r="P50" s="53"/>
    </row>
  </sheetData>
  <sortState xmlns:xlrd2="http://schemas.microsoft.com/office/spreadsheetml/2017/richdata2" ref="S11:U12">
    <sortCondition ref="S10:S12"/>
  </sortState>
  <mergeCells count="43">
    <mergeCell ref="A26:H26"/>
    <mergeCell ref="A27:A28"/>
    <mergeCell ref="B27:B28"/>
    <mergeCell ref="C27:C28"/>
    <mergeCell ref="D27:D28"/>
    <mergeCell ref="E27:E28"/>
    <mergeCell ref="F27:G27"/>
    <mergeCell ref="H27:H28"/>
    <mergeCell ref="C2:E2"/>
    <mergeCell ref="F2:F3"/>
    <mergeCell ref="G2:G3"/>
    <mergeCell ref="A14:B14"/>
    <mergeCell ref="A18:G18"/>
    <mergeCell ref="A1:G1"/>
    <mergeCell ref="Q17:Q18"/>
    <mergeCell ref="V17:V18"/>
    <mergeCell ref="W17:W18"/>
    <mergeCell ref="W2:W3"/>
    <mergeCell ref="Q13:R13"/>
    <mergeCell ref="Q14:R14"/>
    <mergeCell ref="R17:R18"/>
    <mergeCell ref="S17:U17"/>
    <mergeCell ref="A13:B13"/>
    <mergeCell ref="Q2:Q3"/>
    <mergeCell ref="R2:R3"/>
    <mergeCell ref="S2:U2"/>
    <mergeCell ref="V2:V3"/>
    <mergeCell ref="A2:A3"/>
    <mergeCell ref="B2:B3"/>
    <mergeCell ref="Q30:Q31"/>
    <mergeCell ref="R30:R31"/>
    <mergeCell ref="S30:U30"/>
    <mergeCell ref="V30:V31"/>
    <mergeCell ref="Q28:R28"/>
    <mergeCell ref="Q29:V29"/>
    <mergeCell ref="Q16:V16"/>
    <mergeCell ref="AA1:AD1"/>
    <mergeCell ref="K19:K20"/>
    <mergeCell ref="J19:J20"/>
    <mergeCell ref="L19:N19"/>
    <mergeCell ref="J18:N18"/>
    <mergeCell ref="Q1:W1"/>
    <mergeCell ref="N4:O4"/>
  </mergeCells>
  <conditionalFormatting sqref="M7:M13">
    <cfRule type="colorScale" priority="1">
      <colorScale>
        <cfvo type="min"/>
        <cfvo type="max"/>
        <color rgb="FFFF7128"/>
        <color rgb="FFFFEF9C"/>
      </colorScale>
    </cfRule>
    <cfRule type="colorScale" priority="2">
      <colorScale>
        <cfvo type="min"/>
        <cfvo type="max"/>
        <color rgb="FFF8696B"/>
        <color rgb="FFFCFCFF"/>
      </colorScale>
    </cfRule>
  </conditionalFormatting>
  <pageMargins left="0.7" right="0.7" top="0.75" bottom="0.75" header="0.3" footer="0.3"/>
  <pageSetup paperSize="9" orientation="portrait" horizontalDpi="0" verticalDpi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82B15-5E70-EB4F-8ACE-98DE5AEEA9C0}">
  <dimension ref="A1:AH54"/>
  <sheetViews>
    <sheetView topLeftCell="A25" zoomScale="135" workbookViewId="0">
      <selection activeCell="C34" sqref="C34:K34"/>
    </sheetView>
  </sheetViews>
  <sheetFormatPr baseColWidth="10" defaultRowHeight="16" x14ac:dyDescent="0.2"/>
  <cols>
    <col min="1" max="1" width="3.83203125" bestFit="1" customWidth="1"/>
    <col min="2" max="2" width="18.83203125" bestFit="1" customWidth="1"/>
    <col min="3" max="3" width="10.5" customWidth="1"/>
    <col min="4" max="11" width="9.6640625" bestFit="1" customWidth="1"/>
    <col min="12" max="13" width="7.33203125" customWidth="1"/>
    <col min="14" max="14" width="7.33203125" bestFit="1" customWidth="1"/>
    <col min="15" max="15" width="9.6640625" bestFit="1" customWidth="1"/>
    <col min="16" max="17" width="7.33203125" bestFit="1" customWidth="1"/>
    <col min="18" max="18" width="9.83203125" customWidth="1"/>
    <col min="19" max="19" width="8.5" customWidth="1"/>
    <col min="20" max="20" width="7.33203125" customWidth="1"/>
    <col min="21" max="21" width="9.1640625" bestFit="1" customWidth="1"/>
    <col min="22" max="22" width="7.33203125" bestFit="1" customWidth="1"/>
    <col min="23" max="23" width="7.33203125" customWidth="1"/>
    <col min="24" max="24" width="9.5" bestFit="1" customWidth="1"/>
    <col min="25" max="25" width="9.1640625" bestFit="1" customWidth="1"/>
    <col min="26" max="26" width="13.83203125" bestFit="1" customWidth="1"/>
    <col min="27" max="27" width="6.83203125" bestFit="1" customWidth="1"/>
    <col min="28" max="28" width="6.6640625" bestFit="1" customWidth="1"/>
    <col min="29" max="29" width="11" bestFit="1" customWidth="1"/>
    <col min="30" max="30" width="12.83203125" bestFit="1" customWidth="1"/>
    <col min="31" max="31" width="9.5" bestFit="1" customWidth="1"/>
    <col min="32" max="32" width="13.33203125" bestFit="1" customWidth="1"/>
  </cols>
  <sheetData>
    <row r="1" spans="1:26" x14ac:dyDescent="0.2">
      <c r="A1" s="161" t="s">
        <v>62</v>
      </c>
      <c r="B1" s="161" t="s">
        <v>27</v>
      </c>
      <c r="C1" s="121" t="s">
        <v>60</v>
      </c>
      <c r="D1" s="121"/>
      <c r="E1" s="121"/>
      <c r="F1" s="121"/>
      <c r="G1" s="121"/>
      <c r="H1" s="121"/>
      <c r="I1" s="121"/>
      <c r="J1" s="121"/>
      <c r="K1" s="121"/>
      <c r="L1" s="57"/>
      <c r="M1" s="65"/>
      <c r="N1" s="121" t="s">
        <v>182</v>
      </c>
      <c r="O1" s="121"/>
      <c r="P1" s="121"/>
      <c r="Q1" s="121"/>
      <c r="R1" s="121"/>
      <c r="S1" s="121"/>
      <c r="T1" s="121"/>
      <c r="U1" s="121"/>
      <c r="V1" s="121"/>
      <c r="W1" s="57"/>
    </row>
    <row r="2" spans="1:26" x14ac:dyDescent="0.2">
      <c r="A2" s="161"/>
      <c r="B2" s="161"/>
      <c r="C2" s="54" t="s">
        <v>51</v>
      </c>
      <c r="D2" s="54" t="s">
        <v>53</v>
      </c>
      <c r="E2" s="54" t="s">
        <v>54</v>
      </c>
      <c r="F2" s="54" t="s">
        <v>55</v>
      </c>
      <c r="G2" s="54" t="s">
        <v>52</v>
      </c>
      <c r="H2" s="54" t="s">
        <v>56</v>
      </c>
      <c r="I2" s="54" t="s">
        <v>57</v>
      </c>
      <c r="J2" s="54" t="s">
        <v>58</v>
      </c>
      <c r="K2" s="54" t="s">
        <v>59</v>
      </c>
      <c r="L2" s="54"/>
      <c r="M2" s="51"/>
      <c r="N2" s="54" t="s">
        <v>51</v>
      </c>
      <c r="O2" s="54" t="s">
        <v>53</v>
      </c>
      <c r="P2" s="54" t="s">
        <v>54</v>
      </c>
      <c r="Q2" s="54" t="s">
        <v>55</v>
      </c>
      <c r="R2" s="54" t="s">
        <v>52</v>
      </c>
      <c r="S2" s="54" t="s">
        <v>56</v>
      </c>
      <c r="T2" s="54" t="s">
        <v>57</v>
      </c>
      <c r="U2" s="54" t="s">
        <v>58</v>
      </c>
      <c r="V2" s="54" t="s">
        <v>59</v>
      </c>
      <c r="W2" s="54"/>
      <c r="Y2" t="s">
        <v>183</v>
      </c>
      <c r="Z2">
        <v>30</v>
      </c>
    </row>
    <row r="3" spans="1:26" x14ac:dyDescent="0.2">
      <c r="A3" s="54">
        <v>1</v>
      </c>
      <c r="B3" s="54" t="s">
        <v>61</v>
      </c>
      <c r="C3" s="54">
        <v>4</v>
      </c>
      <c r="D3" s="54">
        <v>4</v>
      </c>
      <c r="E3" s="54">
        <v>4</v>
      </c>
      <c r="F3" s="54">
        <v>5</v>
      </c>
      <c r="G3" s="54">
        <v>5</v>
      </c>
      <c r="H3" s="54">
        <v>5</v>
      </c>
      <c r="I3" s="54">
        <v>2</v>
      </c>
      <c r="J3" s="54">
        <v>2</v>
      </c>
      <c r="K3" s="54">
        <v>3</v>
      </c>
      <c r="L3" s="54">
        <f>SUM(C3:K3)</f>
        <v>34</v>
      </c>
      <c r="M3" s="51"/>
      <c r="N3" s="54">
        <f t="shared" ref="N3:V3" si="0">_xlfn.RANK.AVG(C3,$C3:$K3,1)</f>
        <v>5</v>
      </c>
      <c r="O3" s="54">
        <f t="shared" si="0"/>
        <v>5</v>
      </c>
      <c r="P3" s="54">
        <f t="shared" si="0"/>
        <v>5</v>
      </c>
      <c r="Q3" s="54">
        <f t="shared" si="0"/>
        <v>8</v>
      </c>
      <c r="R3" s="54">
        <f t="shared" si="0"/>
        <v>8</v>
      </c>
      <c r="S3" s="54">
        <f t="shared" si="0"/>
        <v>8</v>
      </c>
      <c r="T3" s="54">
        <f t="shared" si="0"/>
        <v>1.5</v>
      </c>
      <c r="U3" s="54">
        <f t="shared" si="0"/>
        <v>1.5</v>
      </c>
      <c r="V3" s="54">
        <f t="shared" si="0"/>
        <v>3</v>
      </c>
      <c r="W3" s="54">
        <f>SUM(N3:V3)</f>
        <v>45</v>
      </c>
      <c r="Y3" t="s">
        <v>184</v>
      </c>
      <c r="Z3">
        <v>9</v>
      </c>
    </row>
    <row r="4" spans="1:26" x14ac:dyDescent="0.2">
      <c r="A4" s="54">
        <v>2</v>
      </c>
      <c r="B4" s="54" t="s">
        <v>63</v>
      </c>
      <c r="C4" s="54">
        <v>4</v>
      </c>
      <c r="D4" s="54">
        <v>4</v>
      </c>
      <c r="E4" s="54">
        <v>4</v>
      </c>
      <c r="F4" s="54">
        <v>4</v>
      </c>
      <c r="G4" s="54">
        <v>4</v>
      </c>
      <c r="H4" s="54">
        <v>4</v>
      </c>
      <c r="I4" s="54">
        <v>2</v>
      </c>
      <c r="J4" s="54">
        <v>2</v>
      </c>
      <c r="K4" s="54">
        <v>4</v>
      </c>
      <c r="L4" s="54">
        <f t="shared" ref="L4:L32" si="1">SUM(C4:K4)</f>
        <v>32</v>
      </c>
      <c r="M4" s="51"/>
      <c r="N4" s="54">
        <f t="shared" ref="N4:N32" si="2">_xlfn.RANK.AVG(C4,$C4:$K4,1)</f>
        <v>6</v>
      </c>
      <c r="O4" s="54">
        <f t="shared" ref="O4:O32" si="3">_xlfn.RANK.AVG(D4,$C4:$K4,1)</f>
        <v>6</v>
      </c>
      <c r="P4" s="54">
        <f t="shared" ref="P4:P32" si="4">_xlfn.RANK.AVG(E4,$C4:$K4,1)</f>
        <v>6</v>
      </c>
      <c r="Q4" s="54">
        <f t="shared" ref="Q4:Q32" si="5">_xlfn.RANK.AVG(F4,$C4:$K4,1)</f>
        <v>6</v>
      </c>
      <c r="R4" s="54">
        <f t="shared" ref="R4:R32" si="6">_xlfn.RANK.AVG(G4,$C4:$K4,1)</f>
        <v>6</v>
      </c>
      <c r="S4" s="54">
        <f t="shared" ref="S4:S32" si="7">_xlfn.RANK.AVG(H4,$C4:$K4,1)</f>
        <v>6</v>
      </c>
      <c r="T4" s="54">
        <f t="shared" ref="T4:T32" si="8">_xlfn.RANK.AVG(I4,$C4:$K4,1)</f>
        <v>1.5</v>
      </c>
      <c r="U4" s="54">
        <f t="shared" ref="U4:U32" si="9">_xlfn.RANK.AVG(J4,$C4:$K4,1)</f>
        <v>1.5</v>
      </c>
      <c r="V4" s="54">
        <f t="shared" ref="V4:V32" si="10">_xlfn.RANK.AVG(K4,$C4:$K4,1)</f>
        <v>6</v>
      </c>
      <c r="W4" s="54">
        <f t="shared" ref="W4:W32" si="11">SUM(N4:V4)</f>
        <v>45</v>
      </c>
    </row>
    <row r="5" spans="1:26" x14ac:dyDescent="0.2">
      <c r="A5" s="54">
        <v>3</v>
      </c>
      <c r="B5" s="54" t="s">
        <v>64</v>
      </c>
      <c r="C5" s="54">
        <v>5</v>
      </c>
      <c r="D5" s="54">
        <v>4</v>
      </c>
      <c r="E5" s="54">
        <v>2</v>
      </c>
      <c r="F5" s="54">
        <v>5</v>
      </c>
      <c r="G5" s="54">
        <v>5</v>
      </c>
      <c r="H5" s="54">
        <v>1</v>
      </c>
      <c r="I5" s="54">
        <v>2</v>
      </c>
      <c r="J5" s="54">
        <v>5</v>
      </c>
      <c r="K5" s="54">
        <v>5</v>
      </c>
      <c r="L5" s="54">
        <f t="shared" si="1"/>
        <v>34</v>
      </c>
      <c r="M5" s="51"/>
      <c r="N5" s="54">
        <f t="shared" si="2"/>
        <v>7</v>
      </c>
      <c r="O5" s="54">
        <f t="shared" si="3"/>
        <v>4</v>
      </c>
      <c r="P5" s="54">
        <f t="shared" si="4"/>
        <v>2.5</v>
      </c>
      <c r="Q5" s="54">
        <f t="shared" si="5"/>
        <v>7</v>
      </c>
      <c r="R5" s="54">
        <f t="shared" si="6"/>
        <v>7</v>
      </c>
      <c r="S5" s="54">
        <f t="shared" si="7"/>
        <v>1</v>
      </c>
      <c r="T5" s="54">
        <f t="shared" si="8"/>
        <v>2.5</v>
      </c>
      <c r="U5" s="54">
        <f t="shared" si="9"/>
        <v>7</v>
      </c>
      <c r="V5" s="54">
        <f t="shared" si="10"/>
        <v>7</v>
      </c>
      <c r="W5" s="54">
        <f t="shared" si="11"/>
        <v>45</v>
      </c>
    </row>
    <row r="6" spans="1:26" x14ac:dyDescent="0.2">
      <c r="A6" s="54">
        <v>4</v>
      </c>
      <c r="B6" s="54" t="s">
        <v>65</v>
      </c>
      <c r="C6" s="54">
        <v>5</v>
      </c>
      <c r="D6" s="54">
        <v>5</v>
      </c>
      <c r="E6" s="54">
        <v>5</v>
      </c>
      <c r="F6" s="54">
        <v>5</v>
      </c>
      <c r="G6" s="54">
        <v>5</v>
      </c>
      <c r="H6" s="54">
        <v>5</v>
      </c>
      <c r="I6" s="54">
        <v>5</v>
      </c>
      <c r="J6" s="54">
        <v>5</v>
      </c>
      <c r="K6" s="54">
        <v>5</v>
      </c>
      <c r="L6" s="54">
        <f t="shared" si="1"/>
        <v>45</v>
      </c>
      <c r="M6" s="51"/>
      <c r="N6" s="54">
        <f t="shared" si="2"/>
        <v>5</v>
      </c>
      <c r="O6" s="54">
        <f t="shared" si="3"/>
        <v>5</v>
      </c>
      <c r="P6" s="54">
        <f t="shared" si="4"/>
        <v>5</v>
      </c>
      <c r="Q6" s="54">
        <f t="shared" si="5"/>
        <v>5</v>
      </c>
      <c r="R6" s="54">
        <f t="shared" si="6"/>
        <v>5</v>
      </c>
      <c r="S6" s="54">
        <f t="shared" si="7"/>
        <v>5</v>
      </c>
      <c r="T6" s="54">
        <f t="shared" si="8"/>
        <v>5</v>
      </c>
      <c r="U6" s="54">
        <f t="shared" si="9"/>
        <v>5</v>
      </c>
      <c r="V6" s="54">
        <f t="shared" si="10"/>
        <v>5</v>
      </c>
      <c r="W6" s="54">
        <f t="shared" si="11"/>
        <v>45</v>
      </c>
    </row>
    <row r="7" spans="1:26" x14ac:dyDescent="0.2">
      <c r="A7" s="54">
        <v>5</v>
      </c>
      <c r="B7" s="54" t="s">
        <v>66</v>
      </c>
      <c r="C7" s="54">
        <v>3</v>
      </c>
      <c r="D7" s="54">
        <v>4</v>
      </c>
      <c r="E7" s="54">
        <v>4</v>
      </c>
      <c r="F7" s="54">
        <v>4</v>
      </c>
      <c r="G7" s="54">
        <v>4</v>
      </c>
      <c r="H7" s="54">
        <v>4</v>
      </c>
      <c r="I7" s="54">
        <v>4</v>
      </c>
      <c r="J7" s="54">
        <v>3</v>
      </c>
      <c r="K7" s="54">
        <v>4</v>
      </c>
      <c r="L7" s="54">
        <f t="shared" si="1"/>
        <v>34</v>
      </c>
      <c r="M7" s="51"/>
      <c r="N7" s="54">
        <f t="shared" si="2"/>
        <v>1.5</v>
      </c>
      <c r="O7" s="54">
        <f t="shared" si="3"/>
        <v>6</v>
      </c>
      <c r="P7" s="54">
        <f t="shared" si="4"/>
        <v>6</v>
      </c>
      <c r="Q7" s="54">
        <f t="shared" si="5"/>
        <v>6</v>
      </c>
      <c r="R7" s="54">
        <f t="shared" si="6"/>
        <v>6</v>
      </c>
      <c r="S7" s="54">
        <f t="shared" si="7"/>
        <v>6</v>
      </c>
      <c r="T7" s="54">
        <f t="shared" si="8"/>
        <v>6</v>
      </c>
      <c r="U7" s="54">
        <f t="shared" si="9"/>
        <v>1.5</v>
      </c>
      <c r="V7" s="54">
        <f t="shared" si="10"/>
        <v>6</v>
      </c>
      <c r="W7" s="54">
        <f t="shared" si="11"/>
        <v>45</v>
      </c>
    </row>
    <row r="8" spans="1:26" x14ac:dyDescent="0.2">
      <c r="A8" s="54">
        <v>6</v>
      </c>
      <c r="B8" s="54" t="s">
        <v>67</v>
      </c>
      <c r="C8" s="54">
        <v>4</v>
      </c>
      <c r="D8" s="54">
        <v>3</v>
      </c>
      <c r="E8" s="54">
        <v>3</v>
      </c>
      <c r="F8" s="54">
        <v>4</v>
      </c>
      <c r="G8" s="54">
        <v>3</v>
      </c>
      <c r="H8" s="54">
        <v>3</v>
      </c>
      <c r="I8" s="54">
        <v>3</v>
      </c>
      <c r="J8" s="54">
        <v>3</v>
      </c>
      <c r="K8" s="54">
        <v>4</v>
      </c>
      <c r="L8" s="54">
        <f t="shared" si="1"/>
        <v>30</v>
      </c>
      <c r="M8" s="51"/>
      <c r="N8" s="54">
        <f t="shared" si="2"/>
        <v>8</v>
      </c>
      <c r="O8" s="54">
        <f t="shared" si="3"/>
        <v>3.5</v>
      </c>
      <c r="P8" s="54">
        <f t="shared" si="4"/>
        <v>3.5</v>
      </c>
      <c r="Q8" s="54">
        <f t="shared" si="5"/>
        <v>8</v>
      </c>
      <c r="R8" s="54">
        <f t="shared" si="6"/>
        <v>3.5</v>
      </c>
      <c r="S8" s="54">
        <f t="shared" si="7"/>
        <v>3.5</v>
      </c>
      <c r="T8" s="54">
        <f t="shared" si="8"/>
        <v>3.5</v>
      </c>
      <c r="U8" s="54">
        <f t="shared" si="9"/>
        <v>3.5</v>
      </c>
      <c r="V8" s="54">
        <f t="shared" si="10"/>
        <v>8</v>
      </c>
      <c r="W8" s="54">
        <f t="shared" si="11"/>
        <v>45</v>
      </c>
    </row>
    <row r="9" spans="1:26" x14ac:dyDescent="0.2">
      <c r="A9" s="54">
        <v>7</v>
      </c>
      <c r="B9" s="54" t="s">
        <v>68</v>
      </c>
      <c r="C9" s="54">
        <v>4</v>
      </c>
      <c r="D9" s="54">
        <v>4</v>
      </c>
      <c r="E9" s="54">
        <v>2</v>
      </c>
      <c r="F9" s="54">
        <v>2</v>
      </c>
      <c r="G9" s="54">
        <v>4</v>
      </c>
      <c r="H9" s="54">
        <v>4</v>
      </c>
      <c r="I9" s="54">
        <v>4</v>
      </c>
      <c r="J9" s="54">
        <v>4</v>
      </c>
      <c r="K9" s="54">
        <v>5</v>
      </c>
      <c r="L9" s="54">
        <f t="shared" si="1"/>
        <v>33</v>
      </c>
      <c r="M9" s="51"/>
      <c r="N9" s="54">
        <f t="shared" si="2"/>
        <v>5.5</v>
      </c>
      <c r="O9" s="54">
        <f t="shared" si="3"/>
        <v>5.5</v>
      </c>
      <c r="P9" s="54">
        <f t="shared" si="4"/>
        <v>1.5</v>
      </c>
      <c r="Q9" s="54">
        <f t="shared" si="5"/>
        <v>1.5</v>
      </c>
      <c r="R9" s="54">
        <f t="shared" si="6"/>
        <v>5.5</v>
      </c>
      <c r="S9" s="54">
        <f t="shared" si="7"/>
        <v>5.5</v>
      </c>
      <c r="T9" s="54">
        <f t="shared" si="8"/>
        <v>5.5</v>
      </c>
      <c r="U9" s="54">
        <f t="shared" si="9"/>
        <v>5.5</v>
      </c>
      <c r="V9" s="54">
        <f t="shared" si="10"/>
        <v>9</v>
      </c>
      <c r="W9" s="54">
        <f t="shared" si="11"/>
        <v>45</v>
      </c>
    </row>
    <row r="10" spans="1:26" x14ac:dyDescent="0.2">
      <c r="A10" s="54">
        <v>8</v>
      </c>
      <c r="B10" s="54" t="s">
        <v>69</v>
      </c>
      <c r="C10" s="54">
        <v>3</v>
      </c>
      <c r="D10" s="54">
        <v>2</v>
      </c>
      <c r="E10" s="54">
        <v>3</v>
      </c>
      <c r="F10" s="54">
        <v>3</v>
      </c>
      <c r="G10" s="54">
        <v>4</v>
      </c>
      <c r="H10" s="54">
        <v>4</v>
      </c>
      <c r="I10" s="54">
        <v>3</v>
      </c>
      <c r="J10" s="54">
        <v>2</v>
      </c>
      <c r="K10" s="54">
        <v>2</v>
      </c>
      <c r="L10" s="54">
        <f t="shared" si="1"/>
        <v>26</v>
      </c>
      <c r="M10" s="51"/>
      <c r="N10" s="54">
        <f t="shared" si="2"/>
        <v>5.5</v>
      </c>
      <c r="O10" s="54">
        <f t="shared" si="3"/>
        <v>2</v>
      </c>
      <c r="P10" s="54">
        <f t="shared" si="4"/>
        <v>5.5</v>
      </c>
      <c r="Q10" s="54">
        <f t="shared" si="5"/>
        <v>5.5</v>
      </c>
      <c r="R10" s="54">
        <f t="shared" si="6"/>
        <v>8.5</v>
      </c>
      <c r="S10" s="54">
        <f t="shared" si="7"/>
        <v>8.5</v>
      </c>
      <c r="T10" s="54">
        <f t="shared" si="8"/>
        <v>5.5</v>
      </c>
      <c r="U10" s="54">
        <f t="shared" si="9"/>
        <v>2</v>
      </c>
      <c r="V10" s="54">
        <f t="shared" si="10"/>
        <v>2</v>
      </c>
      <c r="W10" s="54">
        <f t="shared" si="11"/>
        <v>45</v>
      </c>
    </row>
    <row r="11" spans="1:26" x14ac:dyDescent="0.2">
      <c r="A11" s="54">
        <v>9</v>
      </c>
      <c r="B11" s="54" t="s">
        <v>70</v>
      </c>
      <c r="C11" s="54">
        <v>2</v>
      </c>
      <c r="D11" s="54">
        <v>3</v>
      </c>
      <c r="E11" s="54">
        <v>3</v>
      </c>
      <c r="F11" s="54">
        <v>4</v>
      </c>
      <c r="G11" s="54">
        <v>5</v>
      </c>
      <c r="H11" s="54">
        <v>5</v>
      </c>
      <c r="I11" s="54">
        <v>2</v>
      </c>
      <c r="J11" s="54">
        <v>1</v>
      </c>
      <c r="K11" s="54">
        <v>1</v>
      </c>
      <c r="L11" s="54">
        <f t="shared" si="1"/>
        <v>26</v>
      </c>
      <c r="M11" s="51"/>
      <c r="N11" s="54">
        <f t="shared" si="2"/>
        <v>3.5</v>
      </c>
      <c r="O11" s="54">
        <f t="shared" si="3"/>
        <v>5.5</v>
      </c>
      <c r="P11" s="54">
        <f t="shared" si="4"/>
        <v>5.5</v>
      </c>
      <c r="Q11" s="54">
        <f t="shared" si="5"/>
        <v>7</v>
      </c>
      <c r="R11" s="54">
        <f t="shared" si="6"/>
        <v>8.5</v>
      </c>
      <c r="S11" s="54">
        <f t="shared" si="7"/>
        <v>8.5</v>
      </c>
      <c r="T11" s="54">
        <f t="shared" si="8"/>
        <v>3.5</v>
      </c>
      <c r="U11" s="54">
        <f t="shared" si="9"/>
        <v>1.5</v>
      </c>
      <c r="V11" s="54">
        <f t="shared" si="10"/>
        <v>1.5</v>
      </c>
      <c r="W11" s="54">
        <f t="shared" si="11"/>
        <v>45</v>
      </c>
    </row>
    <row r="12" spans="1:26" x14ac:dyDescent="0.2">
      <c r="A12" s="54">
        <v>10</v>
      </c>
      <c r="B12" s="54" t="s">
        <v>71</v>
      </c>
      <c r="C12" s="54">
        <v>3</v>
      </c>
      <c r="D12" s="54">
        <v>4</v>
      </c>
      <c r="E12" s="54">
        <v>4</v>
      </c>
      <c r="F12" s="54">
        <v>4</v>
      </c>
      <c r="G12" s="54">
        <v>3</v>
      </c>
      <c r="H12" s="54">
        <v>4</v>
      </c>
      <c r="I12" s="54">
        <v>3</v>
      </c>
      <c r="J12" s="54">
        <v>3</v>
      </c>
      <c r="K12" s="54">
        <v>3</v>
      </c>
      <c r="L12" s="54">
        <f t="shared" si="1"/>
        <v>31</v>
      </c>
      <c r="M12" s="51"/>
      <c r="N12" s="54">
        <f t="shared" si="2"/>
        <v>3</v>
      </c>
      <c r="O12" s="54">
        <f t="shared" si="3"/>
        <v>7.5</v>
      </c>
      <c r="P12" s="54">
        <f t="shared" si="4"/>
        <v>7.5</v>
      </c>
      <c r="Q12" s="54">
        <f t="shared" si="5"/>
        <v>7.5</v>
      </c>
      <c r="R12" s="54">
        <f t="shared" si="6"/>
        <v>3</v>
      </c>
      <c r="S12" s="54">
        <f t="shared" si="7"/>
        <v>7.5</v>
      </c>
      <c r="T12" s="54">
        <f t="shared" si="8"/>
        <v>3</v>
      </c>
      <c r="U12" s="54">
        <f t="shared" si="9"/>
        <v>3</v>
      </c>
      <c r="V12" s="54">
        <f t="shared" si="10"/>
        <v>3</v>
      </c>
      <c r="W12" s="54">
        <f t="shared" si="11"/>
        <v>45</v>
      </c>
    </row>
    <row r="13" spans="1:26" x14ac:dyDescent="0.2">
      <c r="A13" s="54">
        <v>11</v>
      </c>
      <c r="B13" s="54" t="s">
        <v>72</v>
      </c>
      <c r="C13" s="54">
        <v>5</v>
      </c>
      <c r="D13" s="54">
        <v>2</v>
      </c>
      <c r="E13" s="54">
        <v>4</v>
      </c>
      <c r="F13" s="54">
        <v>5</v>
      </c>
      <c r="G13" s="54">
        <v>5</v>
      </c>
      <c r="H13" s="54">
        <v>2</v>
      </c>
      <c r="I13" s="54">
        <v>2</v>
      </c>
      <c r="J13" s="54">
        <v>2</v>
      </c>
      <c r="K13" s="54">
        <v>2</v>
      </c>
      <c r="L13" s="54">
        <f t="shared" si="1"/>
        <v>29</v>
      </c>
      <c r="M13" s="51"/>
      <c r="N13" s="54">
        <f t="shared" si="2"/>
        <v>8</v>
      </c>
      <c r="O13" s="54">
        <f t="shared" si="3"/>
        <v>3</v>
      </c>
      <c r="P13" s="54">
        <f t="shared" si="4"/>
        <v>6</v>
      </c>
      <c r="Q13" s="54">
        <f t="shared" si="5"/>
        <v>8</v>
      </c>
      <c r="R13" s="54">
        <f t="shared" si="6"/>
        <v>8</v>
      </c>
      <c r="S13" s="54">
        <f t="shared" si="7"/>
        <v>3</v>
      </c>
      <c r="T13" s="54">
        <f t="shared" si="8"/>
        <v>3</v>
      </c>
      <c r="U13" s="54">
        <f t="shared" si="9"/>
        <v>3</v>
      </c>
      <c r="V13" s="54">
        <f t="shared" si="10"/>
        <v>3</v>
      </c>
      <c r="W13" s="54">
        <f t="shared" si="11"/>
        <v>45</v>
      </c>
    </row>
    <row r="14" spans="1:26" x14ac:dyDescent="0.2">
      <c r="A14" s="54">
        <v>12</v>
      </c>
      <c r="B14" s="54" t="s">
        <v>73</v>
      </c>
      <c r="C14" s="54">
        <v>3</v>
      </c>
      <c r="D14" s="54">
        <v>3</v>
      </c>
      <c r="E14" s="54">
        <v>3</v>
      </c>
      <c r="F14" s="54">
        <v>4</v>
      </c>
      <c r="G14" s="54">
        <v>3</v>
      </c>
      <c r="H14" s="54">
        <v>4</v>
      </c>
      <c r="I14" s="54">
        <v>3</v>
      </c>
      <c r="J14" s="54">
        <v>3</v>
      </c>
      <c r="K14" s="54">
        <v>2</v>
      </c>
      <c r="L14" s="54">
        <f t="shared" si="1"/>
        <v>28</v>
      </c>
      <c r="M14" s="51"/>
      <c r="N14" s="54">
        <f t="shared" si="2"/>
        <v>4.5</v>
      </c>
      <c r="O14" s="54">
        <f t="shared" si="3"/>
        <v>4.5</v>
      </c>
      <c r="P14" s="54">
        <f t="shared" si="4"/>
        <v>4.5</v>
      </c>
      <c r="Q14" s="54">
        <f t="shared" si="5"/>
        <v>8.5</v>
      </c>
      <c r="R14" s="54">
        <f t="shared" si="6"/>
        <v>4.5</v>
      </c>
      <c r="S14" s="54">
        <f t="shared" si="7"/>
        <v>8.5</v>
      </c>
      <c r="T14" s="54">
        <f t="shared" si="8"/>
        <v>4.5</v>
      </c>
      <c r="U14" s="54">
        <f t="shared" si="9"/>
        <v>4.5</v>
      </c>
      <c r="V14" s="54">
        <f t="shared" si="10"/>
        <v>1</v>
      </c>
      <c r="W14" s="54">
        <f t="shared" si="11"/>
        <v>45</v>
      </c>
    </row>
    <row r="15" spans="1:26" x14ac:dyDescent="0.2">
      <c r="A15" s="54">
        <v>13</v>
      </c>
      <c r="B15" s="54" t="s">
        <v>74</v>
      </c>
      <c r="C15" s="54">
        <v>2</v>
      </c>
      <c r="D15" s="54">
        <v>3</v>
      </c>
      <c r="E15" s="54">
        <v>3</v>
      </c>
      <c r="F15" s="54">
        <v>2</v>
      </c>
      <c r="G15" s="54">
        <v>4</v>
      </c>
      <c r="H15" s="54">
        <v>4</v>
      </c>
      <c r="I15" s="54">
        <v>4</v>
      </c>
      <c r="J15" s="54">
        <v>3</v>
      </c>
      <c r="K15" s="54">
        <v>2</v>
      </c>
      <c r="L15" s="54">
        <f t="shared" si="1"/>
        <v>27</v>
      </c>
      <c r="M15" s="51"/>
      <c r="N15" s="54">
        <f t="shared" si="2"/>
        <v>2</v>
      </c>
      <c r="O15" s="54">
        <f t="shared" si="3"/>
        <v>5</v>
      </c>
      <c r="P15" s="54">
        <f t="shared" si="4"/>
        <v>5</v>
      </c>
      <c r="Q15" s="54">
        <f t="shared" si="5"/>
        <v>2</v>
      </c>
      <c r="R15" s="54">
        <f t="shared" si="6"/>
        <v>8</v>
      </c>
      <c r="S15" s="54">
        <f t="shared" si="7"/>
        <v>8</v>
      </c>
      <c r="T15" s="54">
        <f t="shared" si="8"/>
        <v>8</v>
      </c>
      <c r="U15" s="54">
        <f t="shared" si="9"/>
        <v>5</v>
      </c>
      <c r="V15" s="54">
        <f t="shared" si="10"/>
        <v>2</v>
      </c>
      <c r="W15" s="54">
        <f t="shared" si="11"/>
        <v>45</v>
      </c>
    </row>
    <row r="16" spans="1:26" x14ac:dyDescent="0.2">
      <c r="A16" s="54">
        <v>14</v>
      </c>
      <c r="B16" s="54" t="s">
        <v>75</v>
      </c>
      <c r="C16" s="54">
        <v>4</v>
      </c>
      <c r="D16" s="54">
        <v>2</v>
      </c>
      <c r="E16" s="54">
        <v>3</v>
      </c>
      <c r="F16" s="54">
        <v>2</v>
      </c>
      <c r="G16" s="54">
        <v>3</v>
      </c>
      <c r="H16" s="54">
        <v>3</v>
      </c>
      <c r="I16" s="54">
        <v>3</v>
      </c>
      <c r="J16" s="54">
        <v>4</v>
      </c>
      <c r="K16" s="54">
        <v>4</v>
      </c>
      <c r="L16" s="54">
        <f t="shared" si="1"/>
        <v>28</v>
      </c>
      <c r="M16" s="51"/>
      <c r="N16" s="54">
        <f t="shared" si="2"/>
        <v>8</v>
      </c>
      <c r="O16" s="54">
        <f t="shared" si="3"/>
        <v>1.5</v>
      </c>
      <c r="P16" s="54">
        <f t="shared" si="4"/>
        <v>4.5</v>
      </c>
      <c r="Q16" s="54">
        <f t="shared" si="5"/>
        <v>1.5</v>
      </c>
      <c r="R16" s="54">
        <f t="shared" si="6"/>
        <v>4.5</v>
      </c>
      <c r="S16" s="54">
        <f t="shared" si="7"/>
        <v>4.5</v>
      </c>
      <c r="T16" s="54">
        <f t="shared" si="8"/>
        <v>4.5</v>
      </c>
      <c r="U16" s="54">
        <f t="shared" si="9"/>
        <v>8</v>
      </c>
      <c r="V16" s="54">
        <f t="shared" si="10"/>
        <v>8</v>
      </c>
      <c r="W16" s="54">
        <f t="shared" si="11"/>
        <v>45</v>
      </c>
    </row>
    <row r="17" spans="1:23" x14ac:dyDescent="0.2">
      <c r="A17" s="54">
        <v>15</v>
      </c>
      <c r="B17" s="54" t="s">
        <v>76</v>
      </c>
      <c r="C17" s="54">
        <v>3</v>
      </c>
      <c r="D17" s="54">
        <v>4</v>
      </c>
      <c r="E17" s="54">
        <v>4</v>
      </c>
      <c r="F17" s="54">
        <v>4</v>
      </c>
      <c r="G17" s="54">
        <v>4</v>
      </c>
      <c r="H17" s="54">
        <v>4</v>
      </c>
      <c r="I17" s="54">
        <v>3</v>
      </c>
      <c r="J17" s="54">
        <v>4</v>
      </c>
      <c r="K17" s="54">
        <v>3</v>
      </c>
      <c r="L17" s="54">
        <f t="shared" si="1"/>
        <v>33</v>
      </c>
      <c r="M17" s="51"/>
      <c r="N17" s="54">
        <f t="shared" si="2"/>
        <v>2</v>
      </c>
      <c r="O17" s="54">
        <f t="shared" si="3"/>
        <v>6.5</v>
      </c>
      <c r="P17" s="54">
        <f t="shared" si="4"/>
        <v>6.5</v>
      </c>
      <c r="Q17" s="54">
        <f t="shared" si="5"/>
        <v>6.5</v>
      </c>
      <c r="R17" s="54">
        <f t="shared" si="6"/>
        <v>6.5</v>
      </c>
      <c r="S17" s="54">
        <f t="shared" si="7"/>
        <v>6.5</v>
      </c>
      <c r="T17" s="54">
        <f t="shared" si="8"/>
        <v>2</v>
      </c>
      <c r="U17" s="54">
        <f t="shared" si="9"/>
        <v>6.5</v>
      </c>
      <c r="V17" s="54">
        <f t="shared" si="10"/>
        <v>2</v>
      </c>
      <c r="W17" s="54">
        <f t="shared" si="11"/>
        <v>45</v>
      </c>
    </row>
    <row r="18" spans="1:23" x14ac:dyDescent="0.2">
      <c r="A18" s="54">
        <v>16</v>
      </c>
      <c r="B18" s="54" t="s">
        <v>77</v>
      </c>
      <c r="C18" s="54">
        <v>5</v>
      </c>
      <c r="D18" s="54">
        <v>4</v>
      </c>
      <c r="E18" s="54">
        <v>4</v>
      </c>
      <c r="F18" s="54">
        <v>3</v>
      </c>
      <c r="G18" s="54">
        <v>5</v>
      </c>
      <c r="H18" s="54">
        <v>2</v>
      </c>
      <c r="I18" s="54">
        <v>3</v>
      </c>
      <c r="J18" s="54">
        <v>3</v>
      </c>
      <c r="K18" s="54">
        <v>4</v>
      </c>
      <c r="L18" s="54">
        <f t="shared" si="1"/>
        <v>33</v>
      </c>
      <c r="M18" s="51"/>
      <c r="N18" s="54">
        <f t="shared" si="2"/>
        <v>8.5</v>
      </c>
      <c r="O18" s="54">
        <f t="shared" si="3"/>
        <v>6</v>
      </c>
      <c r="P18" s="54">
        <f t="shared" si="4"/>
        <v>6</v>
      </c>
      <c r="Q18" s="54">
        <f t="shared" si="5"/>
        <v>3</v>
      </c>
      <c r="R18" s="54">
        <f t="shared" si="6"/>
        <v>8.5</v>
      </c>
      <c r="S18" s="54">
        <f t="shared" si="7"/>
        <v>1</v>
      </c>
      <c r="T18" s="54">
        <f t="shared" si="8"/>
        <v>3</v>
      </c>
      <c r="U18" s="54">
        <f t="shared" si="9"/>
        <v>3</v>
      </c>
      <c r="V18" s="54">
        <f t="shared" si="10"/>
        <v>6</v>
      </c>
      <c r="W18" s="54">
        <f t="shared" si="11"/>
        <v>45</v>
      </c>
    </row>
    <row r="19" spans="1:23" x14ac:dyDescent="0.2">
      <c r="A19" s="54">
        <v>17</v>
      </c>
      <c r="B19" s="54" t="s">
        <v>78</v>
      </c>
      <c r="C19" s="54">
        <v>4</v>
      </c>
      <c r="D19" s="54">
        <v>3</v>
      </c>
      <c r="E19" s="54">
        <v>3</v>
      </c>
      <c r="F19" s="54">
        <v>3</v>
      </c>
      <c r="G19" s="54">
        <v>5</v>
      </c>
      <c r="H19" s="54">
        <v>3</v>
      </c>
      <c r="I19" s="54">
        <v>4</v>
      </c>
      <c r="J19" s="54">
        <v>3</v>
      </c>
      <c r="K19" s="54">
        <v>4</v>
      </c>
      <c r="L19" s="54">
        <f t="shared" si="1"/>
        <v>32</v>
      </c>
      <c r="M19" s="51"/>
      <c r="N19" s="54">
        <f t="shared" si="2"/>
        <v>7</v>
      </c>
      <c r="O19" s="54">
        <f t="shared" si="3"/>
        <v>3</v>
      </c>
      <c r="P19" s="54">
        <f t="shared" si="4"/>
        <v>3</v>
      </c>
      <c r="Q19" s="54">
        <f t="shared" si="5"/>
        <v>3</v>
      </c>
      <c r="R19" s="54">
        <f t="shared" si="6"/>
        <v>9</v>
      </c>
      <c r="S19" s="54">
        <f t="shared" si="7"/>
        <v>3</v>
      </c>
      <c r="T19" s="54">
        <f t="shared" si="8"/>
        <v>7</v>
      </c>
      <c r="U19" s="54">
        <f t="shared" si="9"/>
        <v>3</v>
      </c>
      <c r="V19" s="54">
        <f t="shared" si="10"/>
        <v>7</v>
      </c>
      <c r="W19" s="54">
        <f t="shared" si="11"/>
        <v>45</v>
      </c>
    </row>
    <row r="20" spans="1:23" x14ac:dyDescent="0.2">
      <c r="A20" s="54">
        <v>18</v>
      </c>
      <c r="B20" s="54" t="s">
        <v>79</v>
      </c>
      <c r="C20" s="54">
        <v>2</v>
      </c>
      <c r="D20" s="54">
        <v>2</v>
      </c>
      <c r="E20" s="54">
        <v>2</v>
      </c>
      <c r="F20" s="54">
        <v>2</v>
      </c>
      <c r="G20" s="54">
        <v>4</v>
      </c>
      <c r="H20" s="54">
        <v>4</v>
      </c>
      <c r="I20" s="54">
        <v>4</v>
      </c>
      <c r="J20" s="54">
        <v>4</v>
      </c>
      <c r="K20" s="54">
        <v>2</v>
      </c>
      <c r="L20" s="54">
        <f t="shared" si="1"/>
        <v>26</v>
      </c>
      <c r="M20" s="51"/>
      <c r="N20" s="54">
        <f t="shared" si="2"/>
        <v>3</v>
      </c>
      <c r="O20" s="54">
        <f t="shared" si="3"/>
        <v>3</v>
      </c>
      <c r="P20" s="54">
        <f t="shared" si="4"/>
        <v>3</v>
      </c>
      <c r="Q20" s="54">
        <f t="shared" si="5"/>
        <v>3</v>
      </c>
      <c r="R20" s="54">
        <f t="shared" si="6"/>
        <v>7.5</v>
      </c>
      <c r="S20" s="54">
        <f t="shared" si="7"/>
        <v>7.5</v>
      </c>
      <c r="T20" s="54">
        <f t="shared" si="8"/>
        <v>7.5</v>
      </c>
      <c r="U20" s="54">
        <f t="shared" si="9"/>
        <v>7.5</v>
      </c>
      <c r="V20" s="54">
        <f t="shared" si="10"/>
        <v>3</v>
      </c>
      <c r="W20" s="54">
        <f t="shared" si="11"/>
        <v>45</v>
      </c>
    </row>
    <row r="21" spans="1:23" x14ac:dyDescent="0.2">
      <c r="A21" s="54">
        <v>19</v>
      </c>
      <c r="B21" s="54" t="s">
        <v>80</v>
      </c>
      <c r="C21" s="54">
        <v>4</v>
      </c>
      <c r="D21" s="54">
        <v>4</v>
      </c>
      <c r="E21" s="54">
        <v>4</v>
      </c>
      <c r="F21" s="54">
        <v>4</v>
      </c>
      <c r="G21" s="54">
        <v>5</v>
      </c>
      <c r="H21" s="54">
        <v>4</v>
      </c>
      <c r="I21" s="54">
        <v>4</v>
      </c>
      <c r="J21" s="54">
        <v>2</v>
      </c>
      <c r="K21" s="54">
        <v>2</v>
      </c>
      <c r="L21" s="54">
        <f t="shared" si="1"/>
        <v>33</v>
      </c>
      <c r="M21" s="51"/>
      <c r="N21" s="54">
        <f t="shared" si="2"/>
        <v>5.5</v>
      </c>
      <c r="O21" s="54">
        <f t="shared" si="3"/>
        <v>5.5</v>
      </c>
      <c r="P21" s="54">
        <f t="shared" si="4"/>
        <v>5.5</v>
      </c>
      <c r="Q21" s="54">
        <f t="shared" si="5"/>
        <v>5.5</v>
      </c>
      <c r="R21" s="54">
        <f t="shared" si="6"/>
        <v>9</v>
      </c>
      <c r="S21" s="54">
        <f t="shared" si="7"/>
        <v>5.5</v>
      </c>
      <c r="T21" s="54">
        <f t="shared" si="8"/>
        <v>5.5</v>
      </c>
      <c r="U21" s="54">
        <f t="shared" si="9"/>
        <v>1.5</v>
      </c>
      <c r="V21" s="54">
        <f t="shared" si="10"/>
        <v>1.5</v>
      </c>
      <c r="W21" s="54">
        <f t="shared" si="11"/>
        <v>45</v>
      </c>
    </row>
    <row r="22" spans="1:23" x14ac:dyDescent="0.2">
      <c r="A22" s="54">
        <v>20</v>
      </c>
      <c r="B22" s="54" t="s">
        <v>81</v>
      </c>
      <c r="C22" s="54">
        <v>4</v>
      </c>
      <c r="D22" s="54">
        <v>3</v>
      </c>
      <c r="E22" s="54">
        <v>4</v>
      </c>
      <c r="F22" s="54">
        <v>5</v>
      </c>
      <c r="G22" s="54">
        <v>3</v>
      </c>
      <c r="H22" s="54">
        <v>2</v>
      </c>
      <c r="I22" s="54">
        <v>2</v>
      </c>
      <c r="J22" s="54">
        <v>2</v>
      </c>
      <c r="K22" s="54">
        <v>5</v>
      </c>
      <c r="L22" s="54">
        <f t="shared" si="1"/>
        <v>30</v>
      </c>
      <c r="M22" s="51"/>
      <c r="N22" s="54">
        <f t="shared" si="2"/>
        <v>6.5</v>
      </c>
      <c r="O22" s="54">
        <f t="shared" si="3"/>
        <v>4.5</v>
      </c>
      <c r="P22" s="54">
        <f t="shared" si="4"/>
        <v>6.5</v>
      </c>
      <c r="Q22" s="54">
        <f t="shared" si="5"/>
        <v>8.5</v>
      </c>
      <c r="R22" s="54">
        <f t="shared" si="6"/>
        <v>4.5</v>
      </c>
      <c r="S22" s="54">
        <f t="shared" si="7"/>
        <v>2</v>
      </c>
      <c r="T22" s="54">
        <f t="shared" si="8"/>
        <v>2</v>
      </c>
      <c r="U22" s="54">
        <f t="shared" si="9"/>
        <v>2</v>
      </c>
      <c r="V22" s="54">
        <f t="shared" si="10"/>
        <v>8.5</v>
      </c>
      <c r="W22" s="54">
        <f t="shared" si="11"/>
        <v>45</v>
      </c>
    </row>
    <row r="23" spans="1:23" x14ac:dyDescent="0.2">
      <c r="A23" s="54">
        <v>21</v>
      </c>
      <c r="B23" s="54" t="s">
        <v>82</v>
      </c>
      <c r="C23" s="54">
        <v>4</v>
      </c>
      <c r="D23" s="54">
        <v>4</v>
      </c>
      <c r="E23" s="54">
        <v>4</v>
      </c>
      <c r="F23" s="54">
        <v>4</v>
      </c>
      <c r="G23" s="54">
        <v>5</v>
      </c>
      <c r="H23" s="54">
        <v>4</v>
      </c>
      <c r="I23" s="54">
        <v>4</v>
      </c>
      <c r="J23" s="54">
        <v>4</v>
      </c>
      <c r="K23" s="54">
        <v>4</v>
      </c>
      <c r="L23" s="54">
        <f t="shared" si="1"/>
        <v>37</v>
      </c>
      <c r="M23" s="51"/>
      <c r="N23" s="54">
        <f t="shared" si="2"/>
        <v>4.5</v>
      </c>
      <c r="O23" s="54">
        <f t="shared" si="3"/>
        <v>4.5</v>
      </c>
      <c r="P23" s="54">
        <f t="shared" si="4"/>
        <v>4.5</v>
      </c>
      <c r="Q23" s="54">
        <f t="shared" si="5"/>
        <v>4.5</v>
      </c>
      <c r="R23" s="54">
        <f t="shared" si="6"/>
        <v>9</v>
      </c>
      <c r="S23" s="54">
        <f t="shared" si="7"/>
        <v>4.5</v>
      </c>
      <c r="T23" s="54">
        <f t="shared" si="8"/>
        <v>4.5</v>
      </c>
      <c r="U23" s="54">
        <f t="shared" si="9"/>
        <v>4.5</v>
      </c>
      <c r="V23" s="54">
        <f t="shared" si="10"/>
        <v>4.5</v>
      </c>
      <c r="W23" s="54">
        <f t="shared" si="11"/>
        <v>45</v>
      </c>
    </row>
    <row r="24" spans="1:23" x14ac:dyDescent="0.2">
      <c r="A24" s="54">
        <v>22</v>
      </c>
      <c r="B24" s="54" t="s">
        <v>83</v>
      </c>
      <c r="C24" s="54">
        <v>4</v>
      </c>
      <c r="D24" s="54">
        <v>3</v>
      </c>
      <c r="E24" s="54">
        <v>4</v>
      </c>
      <c r="F24" s="54">
        <v>5</v>
      </c>
      <c r="G24" s="54">
        <v>5</v>
      </c>
      <c r="H24" s="54">
        <v>4</v>
      </c>
      <c r="I24" s="54">
        <v>4</v>
      </c>
      <c r="J24" s="54">
        <v>2</v>
      </c>
      <c r="K24" s="54">
        <v>1</v>
      </c>
      <c r="L24" s="54">
        <f t="shared" si="1"/>
        <v>32</v>
      </c>
      <c r="M24" s="51"/>
      <c r="N24" s="54">
        <f t="shared" si="2"/>
        <v>5.5</v>
      </c>
      <c r="O24" s="54">
        <f t="shared" si="3"/>
        <v>3</v>
      </c>
      <c r="P24" s="54">
        <f t="shared" si="4"/>
        <v>5.5</v>
      </c>
      <c r="Q24" s="54">
        <f t="shared" si="5"/>
        <v>8.5</v>
      </c>
      <c r="R24" s="54">
        <f t="shared" si="6"/>
        <v>8.5</v>
      </c>
      <c r="S24" s="54">
        <f t="shared" si="7"/>
        <v>5.5</v>
      </c>
      <c r="T24" s="54">
        <f t="shared" si="8"/>
        <v>5.5</v>
      </c>
      <c r="U24" s="54">
        <f t="shared" si="9"/>
        <v>2</v>
      </c>
      <c r="V24" s="54">
        <f t="shared" si="10"/>
        <v>1</v>
      </c>
      <c r="W24" s="54">
        <f t="shared" si="11"/>
        <v>45</v>
      </c>
    </row>
    <row r="25" spans="1:23" x14ac:dyDescent="0.2">
      <c r="A25" s="54">
        <v>23</v>
      </c>
      <c r="B25" s="54" t="s">
        <v>84</v>
      </c>
      <c r="C25" s="54">
        <v>4</v>
      </c>
      <c r="D25" s="54">
        <v>3</v>
      </c>
      <c r="E25" s="54">
        <v>5</v>
      </c>
      <c r="F25" s="54">
        <v>4</v>
      </c>
      <c r="G25" s="54">
        <v>5</v>
      </c>
      <c r="H25" s="54">
        <v>4</v>
      </c>
      <c r="I25" s="54">
        <v>2</v>
      </c>
      <c r="J25" s="54">
        <v>1</v>
      </c>
      <c r="K25" s="54">
        <v>4</v>
      </c>
      <c r="L25" s="54">
        <f t="shared" si="1"/>
        <v>32</v>
      </c>
      <c r="M25" s="51"/>
      <c r="N25" s="54">
        <f t="shared" si="2"/>
        <v>5.5</v>
      </c>
      <c r="O25" s="54">
        <f t="shared" si="3"/>
        <v>3</v>
      </c>
      <c r="P25" s="54">
        <f t="shared" si="4"/>
        <v>8.5</v>
      </c>
      <c r="Q25" s="54">
        <f t="shared" si="5"/>
        <v>5.5</v>
      </c>
      <c r="R25" s="54">
        <f t="shared" si="6"/>
        <v>8.5</v>
      </c>
      <c r="S25" s="54">
        <f t="shared" si="7"/>
        <v>5.5</v>
      </c>
      <c r="T25" s="54">
        <f t="shared" si="8"/>
        <v>2</v>
      </c>
      <c r="U25" s="54">
        <f t="shared" si="9"/>
        <v>1</v>
      </c>
      <c r="V25" s="54">
        <f t="shared" si="10"/>
        <v>5.5</v>
      </c>
      <c r="W25" s="54">
        <f t="shared" si="11"/>
        <v>45</v>
      </c>
    </row>
    <row r="26" spans="1:23" x14ac:dyDescent="0.2">
      <c r="A26" s="54">
        <v>24</v>
      </c>
      <c r="B26" s="54" t="s">
        <v>85</v>
      </c>
      <c r="C26" s="54">
        <v>4</v>
      </c>
      <c r="D26" s="54">
        <v>4</v>
      </c>
      <c r="E26" s="54">
        <v>4</v>
      </c>
      <c r="F26" s="54">
        <v>3</v>
      </c>
      <c r="G26" s="54">
        <v>3</v>
      </c>
      <c r="H26" s="54">
        <v>3</v>
      </c>
      <c r="I26" s="54">
        <v>4</v>
      </c>
      <c r="J26" s="54">
        <v>3</v>
      </c>
      <c r="K26" s="54">
        <v>5</v>
      </c>
      <c r="L26" s="54">
        <f t="shared" si="1"/>
        <v>33</v>
      </c>
      <c r="M26" s="51"/>
      <c r="N26" s="54">
        <f t="shared" si="2"/>
        <v>6.5</v>
      </c>
      <c r="O26" s="54">
        <f t="shared" si="3"/>
        <v>6.5</v>
      </c>
      <c r="P26" s="54">
        <f t="shared" si="4"/>
        <v>6.5</v>
      </c>
      <c r="Q26" s="54">
        <f t="shared" si="5"/>
        <v>2.5</v>
      </c>
      <c r="R26" s="54">
        <f t="shared" si="6"/>
        <v>2.5</v>
      </c>
      <c r="S26" s="54">
        <f t="shared" si="7"/>
        <v>2.5</v>
      </c>
      <c r="T26" s="54">
        <f t="shared" si="8"/>
        <v>6.5</v>
      </c>
      <c r="U26" s="54">
        <f t="shared" si="9"/>
        <v>2.5</v>
      </c>
      <c r="V26" s="54">
        <f t="shared" si="10"/>
        <v>9</v>
      </c>
      <c r="W26" s="54">
        <f t="shared" si="11"/>
        <v>45</v>
      </c>
    </row>
    <row r="27" spans="1:23" x14ac:dyDescent="0.2">
      <c r="A27" s="54">
        <v>25</v>
      </c>
      <c r="B27" s="54" t="s">
        <v>86</v>
      </c>
      <c r="C27" s="54">
        <v>4</v>
      </c>
      <c r="D27" s="54">
        <v>4</v>
      </c>
      <c r="E27" s="54">
        <v>4</v>
      </c>
      <c r="F27" s="54">
        <v>4</v>
      </c>
      <c r="G27" s="54">
        <v>4</v>
      </c>
      <c r="H27" s="54">
        <v>2</v>
      </c>
      <c r="I27" s="54">
        <v>2</v>
      </c>
      <c r="J27" s="54">
        <v>2</v>
      </c>
      <c r="K27" s="54">
        <v>2</v>
      </c>
      <c r="L27" s="54">
        <f t="shared" si="1"/>
        <v>28</v>
      </c>
      <c r="M27" s="51"/>
      <c r="N27" s="54">
        <f t="shared" si="2"/>
        <v>7</v>
      </c>
      <c r="O27" s="54">
        <f t="shared" si="3"/>
        <v>7</v>
      </c>
      <c r="P27" s="54">
        <f t="shared" si="4"/>
        <v>7</v>
      </c>
      <c r="Q27" s="54">
        <f t="shared" si="5"/>
        <v>7</v>
      </c>
      <c r="R27" s="54">
        <f t="shared" si="6"/>
        <v>7</v>
      </c>
      <c r="S27" s="54">
        <f t="shared" si="7"/>
        <v>2.5</v>
      </c>
      <c r="T27" s="54">
        <f t="shared" si="8"/>
        <v>2.5</v>
      </c>
      <c r="U27" s="54">
        <f t="shared" si="9"/>
        <v>2.5</v>
      </c>
      <c r="V27" s="54">
        <f t="shared" si="10"/>
        <v>2.5</v>
      </c>
      <c r="W27" s="54">
        <f t="shared" si="11"/>
        <v>45</v>
      </c>
    </row>
    <row r="28" spans="1:23" x14ac:dyDescent="0.2">
      <c r="A28" s="54">
        <v>26</v>
      </c>
      <c r="B28" s="54" t="s">
        <v>87</v>
      </c>
      <c r="C28" s="54">
        <v>4</v>
      </c>
      <c r="D28" s="54">
        <v>4</v>
      </c>
      <c r="E28" s="54">
        <v>4</v>
      </c>
      <c r="F28" s="54">
        <v>4</v>
      </c>
      <c r="G28" s="54">
        <v>4</v>
      </c>
      <c r="H28" s="54">
        <v>4</v>
      </c>
      <c r="I28" s="54">
        <v>4</v>
      </c>
      <c r="J28" s="54">
        <v>4</v>
      </c>
      <c r="K28" s="54">
        <v>2</v>
      </c>
      <c r="L28" s="54">
        <f t="shared" si="1"/>
        <v>34</v>
      </c>
      <c r="M28" s="51"/>
      <c r="N28" s="54">
        <f t="shared" si="2"/>
        <v>5.5</v>
      </c>
      <c r="O28" s="54">
        <f t="shared" si="3"/>
        <v>5.5</v>
      </c>
      <c r="P28" s="54">
        <f t="shared" si="4"/>
        <v>5.5</v>
      </c>
      <c r="Q28" s="54">
        <f t="shared" si="5"/>
        <v>5.5</v>
      </c>
      <c r="R28" s="54">
        <f t="shared" si="6"/>
        <v>5.5</v>
      </c>
      <c r="S28" s="54">
        <f t="shared" si="7"/>
        <v>5.5</v>
      </c>
      <c r="T28" s="54">
        <f t="shared" si="8"/>
        <v>5.5</v>
      </c>
      <c r="U28" s="54">
        <f t="shared" si="9"/>
        <v>5.5</v>
      </c>
      <c r="V28" s="54">
        <f t="shared" si="10"/>
        <v>1</v>
      </c>
      <c r="W28" s="54">
        <f t="shared" si="11"/>
        <v>45</v>
      </c>
    </row>
    <row r="29" spans="1:23" x14ac:dyDescent="0.2">
      <c r="A29" s="54">
        <v>27</v>
      </c>
      <c r="B29" s="54" t="s">
        <v>88</v>
      </c>
      <c r="C29" s="54">
        <v>4</v>
      </c>
      <c r="D29" s="54">
        <v>4</v>
      </c>
      <c r="E29" s="54">
        <v>2</v>
      </c>
      <c r="F29" s="54">
        <v>2</v>
      </c>
      <c r="G29" s="54">
        <v>4</v>
      </c>
      <c r="H29" s="54">
        <v>4</v>
      </c>
      <c r="I29" s="54">
        <v>2</v>
      </c>
      <c r="J29" s="54">
        <v>2</v>
      </c>
      <c r="K29" s="54">
        <v>2</v>
      </c>
      <c r="L29" s="54">
        <f t="shared" si="1"/>
        <v>26</v>
      </c>
      <c r="M29" s="51"/>
      <c r="N29" s="54">
        <f t="shared" si="2"/>
        <v>7.5</v>
      </c>
      <c r="O29" s="54">
        <f t="shared" si="3"/>
        <v>7.5</v>
      </c>
      <c r="P29" s="54">
        <f t="shared" si="4"/>
        <v>3</v>
      </c>
      <c r="Q29" s="54">
        <f t="shared" si="5"/>
        <v>3</v>
      </c>
      <c r="R29" s="54">
        <f t="shared" si="6"/>
        <v>7.5</v>
      </c>
      <c r="S29" s="54">
        <f t="shared" si="7"/>
        <v>7.5</v>
      </c>
      <c r="T29" s="54">
        <f t="shared" si="8"/>
        <v>3</v>
      </c>
      <c r="U29" s="54">
        <f t="shared" si="9"/>
        <v>3</v>
      </c>
      <c r="V29" s="54">
        <f t="shared" si="10"/>
        <v>3</v>
      </c>
      <c r="W29" s="54">
        <f t="shared" si="11"/>
        <v>45</v>
      </c>
    </row>
    <row r="30" spans="1:23" x14ac:dyDescent="0.2">
      <c r="A30" s="54">
        <v>28</v>
      </c>
      <c r="B30" s="54" t="s">
        <v>89</v>
      </c>
      <c r="C30" s="54">
        <v>4</v>
      </c>
      <c r="D30" s="54">
        <v>4</v>
      </c>
      <c r="E30" s="54">
        <v>4</v>
      </c>
      <c r="F30" s="54">
        <v>4</v>
      </c>
      <c r="G30" s="54">
        <v>4</v>
      </c>
      <c r="H30" s="54">
        <v>4</v>
      </c>
      <c r="I30" s="54">
        <v>4</v>
      </c>
      <c r="J30" s="54">
        <v>4</v>
      </c>
      <c r="K30" s="54">
        <v>4</v>
      </c>
      <c r="L30" s="54">
        <f t="shared" si="1"/>
        <v>36</v>
      </c>
      <c r="M30" s="51"/>
      <c r="N30" s="54">
        <f t="shared" si="2"/>
        <v>5</v>
      </c>
      <c r="O30" s="54">
        <f t="shared" si="3"/>
        <v>5</v>
      </c>
      <c r="P30" s="54">
        <f t="shared" si="4"/>
        <v>5</v>
      </c>
      <c r="Q30" s="54">
        <f t="shared" si="5"/>
        <v>5</v>
      </c>
      <c r="R30" s="54">
        <f t="shared" si="6"/>
        <v>5</v>
      </c>
      <c r="S30" s="54">
        <f t="shared" si="7"/>
        <v>5</v>
      </c>
      <c r="T30" s="54">
        <f t="shared" si="8"/>
        <v>5</v>
      </c>
      <c r="U30" s="54">
        <f t="shared" si="9"/>
        <v>5</v>
      </c>
      <c r="V30" s="54">
        <f t="shared" si="10"/>
        <v>5</v>
      </c>
      <c r="W30" s="54">
        <f t="shared" si="11"/>
        <v>45</v>
      </c>
    </row>
    <row r="31" spans="1:23" x14ac:dyDescent="0.2">
      <c r="A31" s="54">
        <v>29</v>
      </c>
      <c r="B31" s="54" t="s">
        <v>90</v>
      </c>
      <c r="C31" s="54">
        <v>1</v>
      </c>
      <c r="D31" s="54">
        <v>1</v>
      </c>
      <c r="E31" s="54">
        <v>1</v>
      </c>
      <c r="F31" s="54">
        <v>1</v>
      </c>
      <c r="G31" s="54">
        <v>1</v>
      </c>
      <c r="H31" s="54">
        <v>1</v>
      </c>
      <c r="I31" s="54">
        <v>1</v>
      </c>
      <c r="J31" s="54">
        <v>1</v>
      </c>
      <c r="K31" s="54">
        <v>1</v>
      </c>
      <c r="L31" s="54">
        <f t="shared" si="1"/>
        <v>9</v>
      </c>
      <c r="M31" s="51"/>
      <c r="N31" s="54">
        <f t="shared" si="2"/>
        <v>5</v>
      </c>
      <c r="O31" s="54">
        <f t="shared" si="3"/>
        <v>5</v>
      </c>
      <c r="P31" s="54">
        <f t="shared" si="4"/>
        <v>5</v>
      </c>
      <c r="Q31" s="54">
        <f t="shared" si="5"/>
        <v>5</v>
      </c>
      <c r="R31" s="54">
        <f t="shared" si="6"/>
        <v>5</v>
      </c>
      <c r="S31" s="54">
        <f t="shared" si="7"/>
        <v>5</v>
      </c>
      <c r="T31" s="54">
        <f t="shared" si="8"/>
        <v>5</v>
      </c>
      <c r="U31" s="54">
        <f t="shared" si="9"/>
        <v>5</v>
      </c>
      <c r="V31" s="54">
        <f t="shared" si="10"/>
        <v>5</v>
      </c>
      <c r="W31" s="54">
        <f t="shared" si="11"/>
        <v>45</v>
      </c>
    </row>
    <row r="32" spans="1:23" x14ac:dyDescent="0.2">
      <c r="A32" s="54">
        <v>30</v>
      </c>
      <c r="B32" s="54" t="s">
        <v>91</v>
      </c>
      <c r="C32" s="54">
        <v>4</v>
      </c>
      <c r="D32" s="54">
        <v>3</v>
      </c>
      <c r="E32" s="54">
        <v>3</v>
      </c>
      <c r="F32" s="54">
        <v>3</v>
      </c>
      <c r="G32" s="54">
        <v>4</v>
      </c>
      <c r="H32" s="54">
        <v>4</v>
      </c>
      <c r="I32" s="54">
        <v>3</v>
      </c>
      <c r="J32" s="54">
        <v>2</v>
      </c>
      <c r="K32" s="54">
        <v>3</v>
      </c>
      <c r="L32" s="54">
        <f t="shared" si="1"/>
        <v>29</v>
      </c>
      <c r="M32" s="51"/>
      <c r="N32" s="54">
        <f t="shared" si="2"/>
        <v>8</v>
      </c>
      <c r="O32" s="54">
        <f t="shared" si="3"/>
        <v>4</v>
      </c>
      <c r="P32" s="54">
        <f t="shared" si="4"/>
        <v>4</v>
      </c>
      <c r="Q32" s="54">
        <f t="shared" si="5"/>
        <v>4</v>
      </c>
      <c r="R32" s="54">
        <f t="shared" si="6"/>
        <v>8</v>
      </c>
      <c r="S32" s="54">
        <f t="shared" si="7"/>
        <v>8</v>
      </c>
      <c r="T32" s="54">
        <f t="shared" si="8"/>
        <v>4</v>
      </c>
      <c r="U32" s="54">
        <f t="shared" si="9"/>
        <v>1</v>
      </c>
      <c r="V32" s="54">
        <f t="shared" si="10"/>
        <v>4</v>
      </c>
      <c r="W32" s="54">
        <f t="shared" si="11"/>
        <v>45</v>
      </c>
    </row>
    <row r="33" spans="1:34" x14ac:dyDescent="0.2">
      <c r="A33" s="54"/>
      <c r="B33" s="54" t="s">
        <v>19</v>
      </c>
      <c r="C33" s="54">
        <f>SUM(C3:C32)</f>
        <v>110</v>
      </c>
      <c r="D33" s="54">
        <f t="shared" ref="D33:K33" si="12">SUM(D3:D32)</f>
        <v>101</v>
      </c>
      <c r="E33" s="54">
        <f t="shared" si="12"/>
        <v>103</v>
      </c>
      <c r="F33" s="54">
        <f t="shared" si="12"/>
        <v>108</v>
      </c>
      <c r="G33" s="86">
        <f t="shared" si="12"/>
        <v>122</v>
      </c>
      <c r="H33" s="54">
        <f t="shared" si="12"/>
        <v>105</v>
      </c>
      <c r="I33" s="54">
        <f t="shared" si="12"/>
        <v>92</v>
      </c>
      <c r="J33" s="54">
        <f t="shared" si="12"/>
        <v>85</v>
      </c>
      <c r="K33" s="54">
        <f t="shared" si="12"/>
        <v>94</v>
      </c>
      <c r="L33" s="54"/>
      <c r="M33" s="51"/>
      <c r="N33" s="54">
        <f>SUM(N3:N32)</f>
        <v>165</v>
      </c>
      <c r="O33" s="54">
        <f t="shared" ref="O33:U33" si="13">SUM(O3:O32)</f>
        <v>143.5</v>
      </c>
      <c r="P33" s="54">
        <f t="shared" si="13"/>
        <v>153</v>
      </c>
      <c r="Q33" s="54">
        <f t="shared" si="13"/>
        <v>161.5</v>
      </c>
      <c r="R33" s="54">
        <f t="shared" si="13"/>
        <v>197.5</v>
      </c>
      <c r="S33" s="54">
        <f t="shared" si="13"/>
        <v>160.5</v>
      </c>
      <c r="T33" s="54">
        <f t="shared" si="13"/>
        <v>128</v>
      </c>
      <c r="U33" s="54">
        <f t="shared" si="13"/>
        <v>108</v>
      </c>
      <c r="V33" s="54">
        <f>SUM(V3:V32)</f>
        <v>133</v>
      </c>
      <c r="W33" s="54"/>
    </row>
    <row r="34" spans="1:34" x14ac:dyDescent="0.2">
      <c r="A34" s="54"/>
      <c r="B34" s="54" t="s">
        <v>93</v>
      </c>
      <c r="C34" s="55">
        <f>AVERAGE((C3:C32))</f>
        <v>3.6666666666666665</v>
      </c>
      <c r="D34" s="55">
        <f t="shared" ref="D34:K34" si="14">AVERAGE((D3:D32))</f>
        <v>3.3666666666666667</v>
      </c>
      <c r="E34" s="55">
        <f t="shared" si="14"/>
        <v>3.4333333333333331</v>
      </c>
      <c r="F34" s="55">
        <f t="shared" si="14"/>
        <v>3.6</v>
      </c>
      <c r="G34" s="55">
        <f t="shared" si="14"/>
        <v>4.0666666666666664</v>
      </c>
      <c r="H34" s="55">
        <f t="shared" si="14"/>
        <v>3.5</v>
      </c>
      <c r="I34" s="55">
        <f t="shared" si="14"/>
        <v>3.0666666666666669</v>
      </c>
      <c r="J34" s="55">
        <f t="shared" si="14"/>
        <v>2.8333333333333335</v>
      </c>
      <c r="K34" s="55">
        <f t="shared" si="14"/>
        <v>3.1333333333333333</v>
      </c>
      <c r="L34" s="54"/>
      <c r="M34" s="51"/>
      <c r="N34" s="54">
        <f>AVERAGE(N3:N32)</f>
        <v>5.5</v>
      </c>
      <c r="O34" s="54">
        <f t="shared" ref="O34:V34" si="15">AVERAGE(O3:O32)</f>
        <v>4.7833333333333332</v>
      </c>
      <c r="P34" s="54">
        <f t="shared" si="15"/>
        <v>5.0999999999999996</v>
      </c>
      <c r="Q34" s="54">
        <f t="shared" si="15"/>
        <v>5.3833333333333337</v>
      </c>
      <c r="R34" s="54">
        <f t="shared" si="15"/>
        <v>6.583333333333333</v>
      </c>
      <c r="S34" s="54">
        <f t="shared" si="15"/>
        <v>5.35</v>
      </c>
      <c r="T34" s="54">
        <f t="shared" si="15"/>
        <v>4.2666666666666666</v>
      </c>
      <c r="U34" s="54">
        <f t="shared" si="15"/>
        <v>3.6</v>
      </c>
      <c r="V34" s="54">
        <f t="shared" si="15"/>
        <v>4.4333333333333336</v>
      </c>
      <c r="W34" s="54"/>
    </row>
    <row r="35" spans="1:34" x14ac:dyDescent="0.2">
      <c r="A35" s="54"/>
      <c r="B35" s="54"/>
      <c r="C35" s="54">
        <f>STDEV(C3:C32)</f>
        <v>0.95892660297076859</v>
      </c>
      <c r="D35" s="54">
        <f t="shared" ref="D35:K35" si="16">STDEV(D3:D32)</f>
        <v>0.88991798666422339</v>
      </c>
      <c r="E35" s="54">
        <f t="shared" si="16"/>
        <v>0.9352607356658148</v>
      </c>
      <c r="F35" s="54">
        <f t="shared" si="16"/>
        <v>1.1017227888394954</v>
      </c>
      <c r="G35" s="54">
        <f t="shared" si="16"/>
        <v>0.9444331755018488</v>
      </c>
      <c r="H35" s="54">
        <f t="shared" si="16"/>
        <v>1.0747894741730137</v>
      </c>
      <c r="I35" s="54">
        <f t="shared" si="16"/>
        <v>0.98026503570712209</v>
      </c>
      <c r="J35" s="54">
        <f t="shared" si="16"/>
        <v>1.1167481527997298</v>
      </c>
      <c r="K35" s="54">
        <f t="shared" si="16"/>
        <v>1.3060425438846854</v>
      </c>
      <c r="L35" s="54"/>
      <c r="M35" s="51"/>
      <c r="N35" s="54">
        <f>STDEV(N3:N32)</f>
        <v>1.9208475140973043</v>
      </c>
      <c r="O35" s="54">
        <f t="shared" ref="O35:V35" si="17">STDEV(O3:O32)</f>
        <v>1.5518805795979711</v>
      </c>
      <c r="P35" s="54">
        <f t="shared" si="17"/>
        <v>1.5391444107819712</v>
      </c>
      <c r="Q35" s="54">
        <f t="shared" si="17"/>
        <v>2.1959340693157454</v>
      </c>
      <c r="R35" s="54">
        <f t="shared" si="17"/>
        <v>1.9346359068191683</v>
      </c>
      <c r="S35" s="54">
        <f t="shared" si="17"/>
        <v>2.2634654541364148</v>
      </c>
      <c r="T35" s="54">
        <f t="shared" si="17"/>
        <v>1.7991057804352146</v>
      </c>
      <c r="U35" s="54">
        <f t="shared" si="17"/>
        <v>2.0231419743250503</v>
      </c>
      <c r="V35" s="54">
        <f t="shared" si="17"/>
        <v>2.5654647133418731</v>
      </c>
      <c r="W35" s="54"/>
    </row>
    <row r="38" spans="1:34" x14ac:dyDescent="0.2">
      <c r="B38" t="s">
        <v>187</v>
      </c>
      <c r="Q38" s="30" t="s">
        <v>194</v>
      </c>
      <c r="R38" s="31">
        <f>(12/((30*9)*(9+1))*SUMSQ(N33:V33)-(3*30)*(9+1))</f>
        <v>23.608888888888941</v>
      </c>
    </row>
    <row r="39" spans="1:34" x14ac:dyDescent="0.2">
      <c r="A39">
        <v>1</v>
      </c>
      <c r="B39">
        <f>12/(Z2*Z3*(Z3+1))</f>
        <v>4.4444444444444444E-3</v>
      </c>
      <c r="C39">
        <f>(12/((Z2*Z3)*(Z3+1))*N34+O34+P34+Q34+R34+S34+T34+U34+V34)-3*(Z2)*Z3+1</f>
        <v>-769.4755555555555</v>
      </c>
      <c r="Q39" s="30" t="s">
        <v>195</v>
      </c>
      <c r="R39" s="32">
        <f>_xlfn.CHISQ.INV.RT(0.05,8)</f>
        <v>15.507313055865453</v>
      </c>
    </row>
    <row r="40" spans="1:34" x14ac:dyDescent="0.2">
      <c r="A40">
        <v>2</v>
      </c>
      <c r="B40">
        <f>SUMSQ(N33:V33)</f>
        <v>207812</v>
      </c>
      <c r="O40" s="27"/>
      <c r="P40" s="27"/>
      <c r="Q40" s="33" t="s">
        <v>198</v>
      </c>
      <c r="R40" s="33" t="s">
        <v>197</v>
      </c>
      <c r="S40" s="33" t="s">
        <v>199</v>
      </c>
      <c r="T40" s="33"/>
      <c r="U40" s="27"/>
      <c r="V40" s="27"/>
      <c r="W40" s="27"/>
      <c r="X40" s="27"/>
      <c r="Y40" s="27"/>
      <c r="Z40" s="27"/>
      <c r="AA40" s="27"/>
      <c r="AB40" s="27"/>
      <c r="AC40" s="27"/>
    </row>
    <row r="41" spans="1:34" x14ac:dyDescent="0.2">
      <c r="A41">
        <v>3</v>
      </c>
      <c r="B41">
        <f>-3*30*(9+1)</f>
        <v>-900</v>
      </c>
      <c r="C41" t="s">
        <v>185</v>
      </c>
      <c r="D41">
        <f>B39*B40+B41</f>
        <v>23.608888888888941</v>
      </c>
      <c r="Q41" s="48">
        <v>15507</v>
      </c>
    </row>
    <row r="42" spans="1:34" x14ac:dyDescent="0.2">
      <c r="B42">
        <f>CHIINV(0.05,2)</f>
        <v>5.9914645471079817</v>
      </c>
      <c r="C42" t="s">
        <v>186</v>
      </c>
      <c r="AA42" s="26"/>
      <c r="AB42" s="26"/>
      <c r="AC42" s="26"/>
    </row>
    <row r="43" spans="1:34" x14ac:dyDescent="0.2">
      <c r="AA43" s="26"/>
      <c r="AB43" s="26"/>
      <c r="AC43" s="26"/>
    </row>
    <row r="44" spans="1:34" x14ac:dyDescent="0.2">
      <c r="N44" s="162" t="s">
        <v>200</v>
      </c>
      <c r="O44" s="163"/>
      <c r="P44" s="163"/>
      <c r="Q44" s="163"/>
      <c r="R44" s="163"/>
      <c r="S44" s="34" t="s">
        <v>201</v>
      </c>
      <c r="T44" s="164" t="s">
        <v>202</v>
      </c>
      <c r="U44" s="164"/>
      <c r="X44" s="37" t="s">
        <v>200</v>
      </c>
      <c r="Y44" s="37" t="s">
        <v>204</v>
      </c>
      <c r="Z44" s="37" t="s">
        <v>205</v>
      </c>
      <c r="AA44" s="37" t="s">
        <v>206</v>
      </c>
      <c r="AB44" s="38"/>
      <c r="AC44" s="26"/>
      <c r="AE44" s="46" t="s">
        <v>200</v>
      </c>
      <c r="AF44" s="46" t="s">
        <v>205</v>
      </c>
      <c r="AG44" s="46" t="s">
        <v>206</v>
      </c>
      <c r="AH44" s="2"/>
    </row>
    <row r="45" spans="1:34" x14ac:dyDescent="0.2">
      <c r="B45" s="49">
        <v>3.6666666666666665</v>
      </c>
      <c r="D45">
        <v>165</v>
      </c>
      <c r="N45" s="143" t="s">
        <v>51</v>
      </c>
      <c r="O45" s="143"/>
      <c r="P45" s="143"/>
      <c r="Q45" s="143"/>
      <c r="R45" s="143"/>
      <c r="S45" s="35">
        <v>3.6666666666666665</v>
      </c>
      <c r="T45" s="157">
        <v>165</v>
      </c>
      <c r="U45" s="157"/>
      <c r="X45" s="2" t="str">
        <f>N52</f>
        <v>GP3SL2</v>
      </c>
      <c r="Y45" s="35">
        <f>S52</f>
        <v>2.8333333333333335</v>
      </c>
      <c r="Z45" s="40">
        <v>165</v>
      </c>
      <c r="AA45" s="40"/>
      <c r="AB45" s="39"/>
      <c r="AC45" s="26"/>
      <c r="AE45" s="2" t="s">
        <v>51</v>
      </c>
      <c r="AF45" s="2">
        <v>108</v>
      </c>
      <c r="AG45" s="2" t="s">
        <v>151</v>
      </c>
      <c r="AH45" s="47">
        <f>AF45+S54</f>
        <v>142.89571965155613</v>
      </c>
    </row>
    <row r="46" spans="1:34" x14ac:dyDescent="0.2">
      <c r="B46" s="49">
        <v>3.3666666666666667</v>
      </c>
      <c r="D46">
        <v>143.5</v>
      </c>
      <c r="N46" s="143" t="s">
        <v>53</v>
      </c>
      <c r="O46" s="143"/>
      <c r="P46" s="143"/>
      <c r="Q46" s="143"/>
      <c r="R46" s="143"/>
      <c r="S46" s="35">
        <v>3.3666666666666667</v>
      </c>
      <c r="T46" s="154">
        <v>143.5</v>
      </c>
      <c r="U46" s="154"/>
      <c r="X46" s="2" t="str">
        <f>N51</f>
        <v>GP3SL1</v>
      </c>
      <c r="Y46" s="35">
        <f>S51</f>
        <v>3.0666666666666669</v>
      </c>
      <c r="Z46" s="41">
        <v>143.5</v>
      </c>
      <c r="AA46" s="41"/>
      <c r="AB46" s="39"/>
      <c r="AC46" s="26"/>
      <c r="AE46" s="2" t="s">
        <v>55</v>
      </c>
      <c r="AF46" s="2">
        <v>128</v>
      </c>
      <c r="AG46" s="2" t="s">
        <v>180</v>
      </c>
      <c r="AH46" s="47">
        <f>AF46+S54</f>
        <v>162.89571965155613</v>
      </c>
    </row>
    <row r="47" spans="1:34" x14ac:dyDescent="0.2">
      <c r="B47" s="49">
        <v>3.4333333333333331</v>
      </c>
      <c r="D47">
        <v>153</v>
      </c>
      <c r="N47" s="143" t="s">
        <v>54</v>
      </c>
      <c r="O47" s="143"/>
      <c r="P47" s="143"/>
      <c r="Q47" s="143"/>
      <c r="R47" s="143"/>
      <c r="S47" s="35">
        <v>3.4333333333333331</v>
      </c>
      <c r="T47" s="154">
        <v>153</v>
      </c>
      <c r="U47" s="154"/>
      <c r="X47" s="2" t="str">
        <f>N53</f>
        <v>GP3SL3</v>
      </c>
      <c r="Y47" s="35">
        <f>S53</f>
        <v>3.1333333333333333</v>
      </c>
      <c r="Z47" s="41">
        <v>153</v>
      </c>
      <c r="AA47" s="41"/>
      <c r="AB47" s="39"/>
      <c r="AC47" s="26"/>
      <c r="AE47" s="2" t="s">
        <v>52</v>
      </c>
      <c r="AF47" s="2">
        <v>133</v>
      </c>
      <c r="AG47" s="2" t="s">
        <v>189</v>
      </c>
      <c r="AH47" s="47">
        <f>AF47+S54</f>
        <v>167.89571965155613</v>
      </c>
    </row>
    <row r="48" spans="1:34" x14ac:dyDescent="0.2">
      <c r="B48" s="49">
        <v>3.6</v>
      </c>
      <c r="D48">
        <v>161.5</v>
      </c>
      <c r="N48" s="143" t="s">
        <v>55</v>
      </c>
      <c r="O48" s="143"/>
      <c r="P48" s="143"/>
      <c r="Q48" s="143"/>
      <c r="R48" s="143"/>
      <c r="S48" s="35">
        <v>3.6</v>
      </c>
      <c r="T48" s="154">
        <v>161.5</v>
      </c>
      <c r="U48" s="154"/>
      <c r="X48" s="2" t="str">
        <f>N46</f>
        <v>GP1SL2</v>
      </c>
      <c r="Y48" s="35">
        <f>S46</f>
        <v>3.3666666666666667</v>
      </c>
      <c r="Z48" s="41">
        <v>161.5</v>
      </c>
      <c r="AA48" s="41"/>
      <c r="AB48" s="39"/>
      <c r="AC48" s="26"/>
      <c r="AE48" s="2" t="s">
        <v>57</v>
      </c>
      <c r="AF48" s="2">
        <v>143.5</v>
      </c>
      <c r="AG48" s="2" t="s">
        <v>190</v>
      </c>
      <c r="AH48" s="47">
        <f>AF48+S54</f>
        <v>178.39571965155613</v>
      </c>
    </row>
    <row r="49" spans="2:34" x14ac:dyDescent="0.2">
      <c r="B49" s="49">
        <v>4.0666666666666664</v>
      </c>
      <c r="D49">
        <v>197.5</v>
      </c>
      <c r="N49" s="143" t="s">
        <v>52</v>
      </c>
      <c r="O49" s="143"/>
      <c r="P49" s="143"/>
      <c r="Q49" s="143"/>
      <c r="R49" s="143"/>
      <c r="S49" s="35">
        <v>4.0666666666666664</v>
      </c>
      <c r="T49" s="154">
        <v>197.5</v>
      </c>
      <c r="U49" s="154"/>
      <c r="X49" s="2" t="str">
        <f>N47</f>
        <v>GP1SL3</v>
      </c>
      <c r="Y49" s="35">
        <f>S47</f>
        <v>3.4333333333333331</v>
      </c>
      <c r="Z49" s="41">
        <v>197.5</v>
      </c>
      <c r="AA49" s="41"/>
      <c r="AB49" s="39"/>
      <c r="AC49" s="26"/>
      <c r="AE49" s="2" t="s">
        <v>59</v>
      </c>
      <c r="AF49" s="2">
        <v>153</v>
      </c>
      <c r="AG49" s="2" t="s">
        <v>190</v>
      </c>
      <c r="AH49" s="47">
        <f>AF49+S54</f>
        <v>187.89571965155613</v>
      </c>
    </row>
    <row r="50" spans="2:34" x14ac:dyDescent="0.2">
      <c r="B50" s="49">
        <v>3.5</v>
      </c>
      <c r="D50">
        <v>160.5</v>
      </c>
      <c r="N50" s="143" t="s">
        <v>56</v>
      </c>
      <c r="O50" s="143"/>
      <c r="P50" s="143"/>
      <c r="Q50" s="143"/>
      <c r="R50" s="143"/>
      <c r="S50" s="35">
        <v>3.5</v>
      </c>
      <c r="T50" s="154">
        <v>160.5</v>
      </c>
      <c r="U50" s="154"/>
      <c r="X50" s="2" t="str">
        <f>N50</f>
        <v>GP2SL3</v>
      </c>
      <c r="Y50" s="35">
        <f>S50</f>
        <v>3.5</v>
      </c>
      <c r="Z50" s="41">
        <v>160.5</v>
      </c>
      <c r="AA50" s="41"/>
      <c r="AB50" s="39"/>
      <c r="AC50" s="26"/>
      <c r="AE50" s="2" t="s">
        <v>56</v>
      </c>
      <c r="AF50" s="2">
        <v>160.5</v>
      </c>
      <c r="AG50" s="2" t="s">
        <v>190</v>
      </c>
      <c r="AH50" s="47">
        <f>AF50+S54</f>
        <v>195.39571965155613</v>
      </c>
    </row>
    <row r="51" spans="2:34" x14ac:dyDescent="0.2">
      <c r="B51" s="49">
        <v>3.0666666666666669</v>
      </c>
      <c r="D51">
        <v>128</v>
      </c>
      <c r="N51" s="143" t="s">
        <v>57</v>
      </c>
      <c r="O51" s="143"/>
      <c r="P51" s="143"/>
      <c r="Q51" s="143"/>
      <c r="R51" s="143"/>
      <c r="S51" s="35">
        <v>3.0666666666666669</v>
      </c>
      <c r="T51" s="154">
        <v>128</v>
      </c>
      <c r="U51" s="154"/>
      <c r="X51" s="2" t="str">
        <f>N48</f>
        <v>GP2SL1</v>
      </c>
      <c r="Y51" s="35">
        <f>S48</f>
        <v>3.6</v>
      </c>
      <c r="Z51" s="41">
        <v>128</v>
      </c>
      <c r="AA51" s="41"/>
      <c r="AB51" s="39"/>
      <c r="AE51" s="2" t="s">
        <v>53</v>
      </c>
      <c r="AF51" s="2">
        <v>161.5</v>
      </c>
      <c r="AG51" s="2" t="s">
        <v>190</v>
      </c>
      <c r="AH51" s="47">
        <f>AF51+S54</f>
        <v>196.39571965155613</v>
      </c>
    </row>
    <row r="52" spans="2:34" x14ac:dyDescent="0.2">
      <c r="B52" s="49">
        <v>2.8333333333333335</v>
      </c>
      <c r="D52">
        <v>108</v>
      </c>
      <c r="N52" s="143" t="s">
        <v>58</v>
      </c>
      <c r="O52" s="143"/>
      <c r="P52" s="143"/>
      <c r="Q52" s="143"/>
      <c r="R52" s="143"/>
      <c r="S52" s="35">
        <v>2.8333333333333335</v>
      </c>
      <c r="T52" s="154">
        <v>108</v>
      </c>
      <c r="U52" s="154"/>
      <c r="X52" s="2" t="str">
        <f>N45</f>
        <v>GP1SL1</v>
      </c>
      <c r="Y52" s="35">
        <f>S45</f>
        <v>3.6666666666666665</v>
      </c>
      <c r="Z52" s="41">
        <v>108</v>
      </c>
      <c r="AA52" s="41"/>
      <c r="AB52" s="39"/>
      <c r="AE52" s="2" t="s">
        <v>58</v>
      </c>
      <c r="AF52" s="2">
        <v>165</v>
      </c>
      <c r="AG52" s="2" t="s">
        <v>212</v>
      </c>
      <c r="AH52" s="47">
        <f>AF52+S54</f>
        <v>199.89571965155613</v>
      </c>
    </row>
    <row r="53" spans="2:34" x14ac:dyDescent="0.2">
      <c r="B53" s="49">
        <v>3.1333333333333333</v>
      </c>
      <c r="D53">
        <v>133</v>
      </c>
      <c r="N53" s="158" t="s">
        <v>59</v>
      </c>
      <c r="O53" s="158"/>
      <c r="P53" s="158"/>
      <c r="Q53" s="158"/>
      <c r="R53" s="158"/>
      <c r="S53" s="35">
        <v>3.1333333333333333</v>
      </c>
      <c r="T53" s="155">
        <v>133</v>
      </c>
      <c r="U53" s="155"/>
      <c r="X53" s="2" t="str">
        <f>N49</f>
        <v>GP2SL2</v>
      </c>
      <c r="Y53" s="35">
        <f>S49</f>
        <v>4.0666666666666664</v>
      </c>
      <c r="Z53" s="42">
        <v>133</v>
      </c>
      <c r="AA53" s="42"/>
      <c r="AB53" s="39"/>
      <c r="AE53" s="2" t="s">
        <v>54</v>
      </c>
      <c r="AF53" s="2">
        <v>197.5</v>
      </c>
      <c r="AG53" s="2" t="s">
        <v>213</v>
      </c>
      <c r="AH53" s="2"/>
    </row>
    <row r="54" spans="2:34" x14ac:dyDescent="0.2">
      <c r="N54" s="159" t="s">
        <v>203</v>
      </c>
      <c r="O54" s="160"/>
      <c r="P54" s="160"/>
      <c r="Q54" s="160"/>
      <c r="R54" s="160"/>
      <c r="S54" s="36">
        <f>1.645*SQRT(30*9*(9+1)/6)</f>
        <v>34.895719651556121</v>
      </c>
      <c r="T54" s="156"/>
      <c r="U54" s="156"/>
    </row>
  </sheetData>
  <sortState xmlns:xlrd2="http://schemas.microsoft.com/office/spreadsheetml/2017/richdata2" ref="AE45:AF53">
    <sortCondition ref="AF45:AF53"/>
  </sortState>
  <mergeCells count="26">
    <mergeCell ref="B1:B2"/>
    <mergeCell ref="C1:K1"/>
    <mergeCell ref="A1:A2"/>
    <mergeCell ref="N1:V1"/>
    <mergeCell ref="N44:R44"/>
    <mergeCell ref="T44:U44"/>
    <mergeCell ref="N45:R45"/>
    <mergeCell ref="N46:R46"/>
    <mergeCell ref="N47:R47"/>
    <mergeCell ref="N48:R48"/>
    <mergeCell ref="N49:R49"/>
    <mergeCell ref="N50:R50"/>
    <mergeCell ref="N51:R51"/>
    <mergeCell ref="N52:R52"/>
    <mergeCell ref="N53:R53"/>
    <mergeCell ref="N54:R54"/>
    <mergeCell ref="T45:U45"/>
    <mergeCell ref="T46:U46"/>
    <mergeCell ref="T47:U47"/>
    <mergeCell ref="T48:U48"/>
    <mergeCell ref="T49:U49"/>
    <mergeCell ref="T50:U50"/>
    <mergeCell ref="T51:U51"/>
    <mergeCell ref="T52:U52"/>
    <mergeCell ref="T53:U53"/>
    <mergeCell ref="T54:U54"/>
  </mergeCells>
  <conditionalFormatting sqref="C3:K32">
    <cfRule type="colorScale" priority="1">
      <colorScale>
        <cfvo type="min"/>
        <cfvo type="max"/>
        <color rgb="FFFCFCFF"/>
        <color rgb="FFF8696B"/>
      </colorScale>
    </cfRule>
  </conditionalFormatting>
  <conditionalFormatting sqref="C3:L32">
    <cfRule type="colorScale" priority="2">
      <colorScale>
        <cfvo type="min"/>
        <cfvo type="max"/>
        <color theme="0"/>
        <color theme="0"/>
      </colorScale>
    </cfRule>
  </conditionalFormatting>
  <conditionalFormatting sqref="C3:M32">
    <cfRule type="colorScale" priority="9">
      <colorScale>
        <cfvo type="min"/>
        <cfvo type="max"/>
        <color rgb="FFF8696B"/>
        <color rgb="FFFCFCFF"/>
      </colorScale>
    </cfRule>
  </conditionalFormatting>
  <conditionalFormatting sqref="L3:L32">
    <cfRule type="colorScale" priority="3">
      <colorScale>
        <cfvo type="min"/>
        <cfvo type="max"/>
        <color rgb="FFFCFCFF"/>
        <color rgb="FFF8696B"/>
      </colorScale>
    </cfRule>
  </conditionalFormatting>
  <conditionalFormatting sqref="P42:P44">
    <cfRule type="colorScale" priority="5">
      <colorScale>
        <cfvo type="min"/>
        <cfvo type="max"/>
        <color rgb="FF63BE7B"/>
        <color rgb="FFFCFCFF"/>
      </colorScale>
    </cfRule>
  </conditionalFormatting>
  <conditionalFormatting sqref="X3:Y32">
    <cfRule type="colorScale" priority="7">
      <colorScale>
        <cfvo type="min"/>
        <cfvo type="max"/>
        <color rgb="FFF8696B"/>
        <color rgb="FFFCFCFF"/>
      </colorScale>
    </cfRule>
  </conditionalFormatting>
  <conditionalFormatting sqref="X3:Y33">
    <cfRule type="colorScale" priority="8">
      <colorScale>
        <cfvo type="min"/>
        <cfvo type="max"/>
        <color rgb="FF63BE7B"/>
        <color rgb="FFFCFCFF"/>
      </colorScale>
    </cfRule>
  </conditionalFormatting>
  <pageMargins left="0.7" right="0.7" top="0.75" bottom="0.75" header="0.3" footer="0.3"/>
  <pageSetup paperSize="9" orientation="portrait" horizontalDpi="0" verticalDpi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05D09-1C7E-BD4C-AB53-413A2D01C1F8}">
  <dimension ref="A1:Z53"/>
  <sheetViews>
    <sheetView topLeftCell="B24" zoomScale="143" workbookViewId="0">
      <selection activeCell="C34" sqref="C34:K34"/>
    </sheetView>
  </sheetViews>
  <sheetFormatPr baseColWidth="10" defaultRowHeight="16" x14ac:dyDescent="0.2"/>
  <cols>
    <col min="1" max="1" width="3.83203125" bestFit="1" customWidth="1"/>
    <col min="2" max="2" width="18.83203125" bestFit="1" customWidth="1"/>
    <col min="3" max="11" width="7.33203125" bestFit="1" customWidth="1"/>
    <col min="12" max="13" width="7.33203125" customWidth="1"/>
  </cols>
  <sheetData>
    <row r="1" spans="1:26" x14ac:dyDescent="0.2">
      <c r="A1" s="121" t="s">
        <v>62</v>
      </c>
      <c r="B1" s="121" t="s">
        <v>27</v>
      </c>
      <c r="C1" s="121" t="s">
        <v>60</v>
      </c>
      <c r="D1" s="121"/>
      <c r="E1" s="121"/>
      <c r="F1" s="121"/>
      <c r="G1" s="121"/>
      <c r="H1" s="121"/>
      <c r="I1" s="121"/>
      <c r="J1" s="121"/>
      <c r="K1" s="121"/>
      <c r="L1" s="57"/>
      <c r="M1" s="90"/>
      <c r="N1" s="165" t="s">
        <v>182</v>
      </c>
      <c r="O1" s="165"/>
      <c r="P1" s="165"/>
      <c r="Q1" s="165"/>
      <c r="R1" s="165"/>
      <c r="S1" s="165"/>
      <c r="T1" s="165"/>
      <c r="U1" s="165"/>
      <c r="V1" s="152"/>
      <c r="W1" s="65"/>
    </row>
    <row r="2" spans="1:26" x14ac:dyDescent="0.2">
      <c r="A2" s="121"/>
      <c r="B2" s="121"/>
      <c r="C2" s="54" t="s">
        <v>51</v>
      </c>
      <c r="D2" s="54" t="s">
        <v>53</v>
      </c>
      <c r="E2" s="54" t="s">
        <v>54</v>
      </c>
      <c r="F2" s="54" t="s">
        <v>55</v>
      </c>
      <c r="G2" s="54" t="s">
        <v>52</v>
      </c>
      <c r="H2" s="54" t="s">
        <v>56</v>
      </c>
      <c r="I2" s="54" t="s">
        <v>57</v>
      </c>
      <c r="J2" s="54" t="s">
        <v>58</v>
      </c>
      <c r="K2" s="54" t="s">
        <v>59</v>
      </c>
      <c r="L2" s="54"/>
      <c r="M2" s="80"/>
      <c r="N2" s="79" t="s">
        <v>51</v>
      </c>
      <c r="O2" s="54" t="s">
        <v>53</v>
      </c>
      <c r="P2" s="54" t="s">
        <v>54</v>
      </c>
      <c r="Q2" s="54" t="s">
        <v>55</v>
      </c>
      <c r="R2" s="54" t="s">
        <v>52</v>
      </c>
      <c r="S2" s="54" t="s">
        <v>56</v>
      </c>
      <c r="T2" s="54" t="s">
        <v>57</v>
      </c>
      <c r="U2" s="54" t="s">
        <v>58</v>
      </c>
      <c r="V2" s="54" t="s">
        <v>59</v>
      </c>
      <c r="W2" s="51"/>
      <c r="Y2" t="s">
        <v>183</v>
      </c>
      <c r="Z2">
        <v>30</v>
      </c>
    </row>
    <row r="3" spans="1:26" x14ac:dyDescent="0.2">
      <c r="A3" s="54">
        <v>1</v>
      </c>
      <c r="B3" s="54" t="s">
        <v>61</v>
      </c>
      <c r="C3" s="54">
        <v>4</v>
      </c>
      <c r="D3" s="54">
        <v>4</v>
      </c>
      <c r="E3" s="54">
        <v>2</v>
      </c>
      <c r="F3" s="54">
        <v>4</v>
      </c>
      <c r="G3" s="54">
        <v>4</v>
      </c>
      <c r="H3" s="54">
        <v>2</v>
      </c>
      <c r="I3" s="54">
        <v>4</v>
      </c>
      <c r="J3" s="54">
        <v>4</v>
      </c>
      <c r="K3" s="54">
        <v>4</v>
      </c>
      <c r="L3" s="54">
        <f>SUM(C3:K3)</f>
        <v>32</v>
      </c>
      <c r="M3" s="80"/>
      <c r="N3" s="79">
        <f t="shared" ref="N3:N32" si="0">_xlfn.RANK.AVG(C3,$C3:$K3,1)</f>
        <v>6</v>
      </c>
      <c r="O3" s="54">
        <f>_xlfn.RANK.AVG(D3,$C3:$K3,1)</f>
        <v>6</v>
      </c>
      <c r="P3" s="54">
        <f>_xlfn.RANK.AVG(E3,$C3:$K3,1)</f>
        <v>1.5</v>
      </c>
      <c r="Q3" s="54">
        <f t="shared" ref="Q3:Q32" si="1">_xlfn.RANK.AVG(F3,$C3:$K3,1)</f>
        <v>6</v>
      </c>
      <c r="R3" s="54">
        <f t="shared" ref="R3:R32" si="2">_xlfn.RANK.AVG(G3,$C3:$K3,1)</f>
        <v>6</v>
      </c>
      <c r="S3" s="54">
        <f t="shared" ref="S3:S32" si="3">_xlfn.RANK.AVG(H3,$C3:$K3,1)</f>
        <v>1.5</v>
      </c>
      <c r="T3" s="54">
        <f t="shared" ref="T3:T32" si="4">_xlfn.RANK.AVG(I3,$C3:$K3,1)</f>
        <v>6</v>
      </c>
      <c r="U3" s="54">
        <f t="shared" ref="U3:U32" si="5">_xlfn.RANK.AVG(J3,$C3:$K3,1)</f>
        <v>6</v>
      </c>
      <c r="V3" s="54">
        <f t="shared" ref="V3:V32" si="6">_xlfn.RANK.AVG(K3,$C3:$K3,1)</f>
        <v>6</v>
      </c>
      <c r="W3" s="91">
        <f>AVERAGE(N3:V3)</f>
        <v>5</v>
      </c>
      <c r="Y3" t="s">
        <v>184</v>
      </c>
      <c r="Z3">
        <v>9</v>
      </c>
    </row>
    <row r="4" spans="1:26" x14ac:dyDescent="0.2">
      <c r="A4" s="54">
        <v>2</v>
      </c>
      <c r="B4" s="54" t="s">
        <v>63</v>
      </c>
      <c r="C4" s="54">
        <v>4</v>
      </c>
      <c r="D4" s="54">
        <v>4</v>
      </c>
      <c r="E4" s="54">
        <v>4</v>
      </c>
      <c r="F4" s="54">
        <v>4</v>
      </c>
      <c r="G4" s="54">
        <v>4</v>
      </c>
      <c r="H4" s="54">
        <v>2</v>
      </c>
      <c r="I4" s="54">
        <v>4</v>
      </c>
      <c r="J4" s="54">
        <v>4</v>
      </c>
      <c r="K4" s="54">
        <v>4</v>
      </c>
      <c r="L4" s="54">
        <f t="shared" ref="L4:L32" si="7">SUM(C4:K4)</f>
        <v>34</v>
      </c>
      <c r="M4" s="80"/>
      <c r="N4" s="79">
        <f t="shared" si="0"/>
        <v>5.5</v>
      </c>
      <c r="O4" s="54">
        <f t="shared" ref="O4:O32" si="8">_xlfn.RANK.AVG(D4,$C4:$K4,1)</f>
        <v>5.5</v>
      </c>
      <c r="P4" s="54">
        <f t="shared" ref="P4:P32" si="9">_xlfn.RANK.AVG(E4,$C4:$K4,1)</f>
        <v>5.5</v>
      </c>
      <c r="Q4" s="54">
        <f t="shared" si="1"/>
        <v>5.5</v>
      </c>
      <c r="R4" s="54">
        <f t="shared" si="2"/>
        <v>5.5</v>
      </c>
      <c r="S4" s="54">
        <f t="shared" si="3"/>
        <v>1</v>
      </c>
      <c r="T4" s="54">
        <f t="shared" si="4"/>
        <v>5.5</v>
      </c>
      <c r="U4" s="54">
        <f t="shared" si="5"/>
        <v>5.5</v>
      </c>
      <c r="V4" s="54">
        <f t="shared" si="6"/>
        <v>5.5</v>
      </c>
      <c r="W4" s="91">
        <f t="shared" ref="W4:W32" si="10">AVERAGE(N4:V4)</f>
        <v>5</v>
      </c>
    </row>
    <row r="5" spans="1:26" x14ac:dyDescent="0.2">
      <c r="A5" s="54">
        <v>3</v>
      </c>
      <c r="B5" s="54" t="s">
        <v>64</v>
      </c>
      <c r="C5" s="54">
        <v>4</v>
      </c>
      <c r="D5" s="54">
        <v>5</v>
      </c>
      <c r="E5" s="54">
        <v>4</v>
      </c>
      <c r="F5" s="54">
        <v>5</v>
      </c>
      <c r="G5" s="54">
        <v>5</v>
      </c>
      <c r="H5" s="54">
        <v>5</v>
      </c>
      <c r="I5" s="54">
        <v>2</v>
      </c>
      <c r="J5" s="54">
        <v>5</v>
      </c>
      <c r="K5" s="54">
        <v>5</v>
      </c>
      <c r="L5" s="54">
        <f t="shared" si="7"/>
        <v>40</v>
      </c>
      <c r="M5" s="80"/>
      <c r="N5" s="79">
        <f t="shared" si="0"/>
        <v>2.5</v>
      </c>
      <c r="O5" s="54">
        <f t="shared" si="8"/>
        <v>6.5</v>
      </c>
      <c r="P5" s="54">
        <f t="shared" si="9"/>
        <v>2.5</v>
      </c>
      <c r="Q5" s="54">
        <f t="shared" si="1"/>
        <v>6.5</v>
      </c>
      <c r="R5" s="54">
        <f t="shared" si="2"/>
        <v>6.5</v>
      </c>
      <c r="S5" s="54">
        <f t="shared" si="3"/>
        <v>6.5</v>
      </c>
      <c r="T5" s="54">
        <f t="shared" si="4"/>
        <v>1</v>
      </c>
      <c r="U5" s="54">
        <f t="shared" si="5"/>
        <v>6.5</v>
      </c>
      <c r="V5" s="54">
        <f t="shared" si="6"/>
        <v>6.5</v>
      </c>
      <c r="W5" s="91">
        <f t="shared" si="10"/>
        <v>5</v>
      </c>
    </row>
    <row r="6" spans="1:26" x14ac:dyDescent="0.2">
      <c r="A6" s="54">
        <v>4</v>
      </c>
      <c r="B6" s="54" t="s">
        <v>65</v>
      </c>
      <c r="C6" s="54">
        <v>4</v>
      </c>
      <c r="D6" s="54">
        <v>4</v>
      </c>
      <c r="E6" s="54">
        <v>4</v>
      </c>
      <c r="F6" s="54">
        <v>4</v>
      </c>
      <c r="G6" s="54">
        <v>4</v>
      </c>
      <c r="H6" s="54">
        <v>4</v>
      </c>
      <c r="I6" s="54">
        <v>4</v>
      </c>
      <c r="J6" s="54">
        <v>4</v>
      </c>
      <c r="K6" s="54">
        <v>4</v>
      </c>
      <c r="L6" s="54">
        <f t="shared" si="7"/>
        <v>36</v>
      </c>
      <c r="M6" s="80"/>
      <c r="N6" s="79">
        <f t="shared" si="0"/>
        <v>5</v>
      </c>
      <c r="O6" s="54">
        <f t="shared" si="8"/>
        <v>5</v>
      </c>
      <c r="P6" s="54">
        <f t="shared" si="9"/>
        <v>5</v>
      </c>
      <c r="Q6" s="54">
        <f t="shared" si="1"/>
        <v>5</v>
      </c>
      <c r="R6" s="54">
        <f t="shared" si="2"/>
        <v>5</v>
      </c>
      <c r="S6" s="54">
        <f t="shared" si="3"/>
        <v>5</v>
      </c>
      <c r="T6" s="54">
        <f t="shared" si="4"/>
        <v>5</v>
      </c>
      <c r="U6" s="54">
        <f t="shared" si="5"/>
        <v>5</v>
      </c>
      <c r="V6" s="54">
        <f t="shared" si="6"/>
        <v>5</v>
      </c>
      <c r="W6" s="91">
        <f t="shared" si="10"/>
        <v>5</v>
      </c>
    </row>
    <row r="7" spans="1:26" x14ac:dyDescent="0.2">
      <c r="A7" s="54">
        <v>5</v>
      </c>
      <c r="B7" s="54" t="s">
        <v>66</v>
      </c>
      <c r="C7" s="54">
        <v>4</v>
      </c>
      <c r="D7" s="54">
        <v>4</v>
      </c>
      <c r="E7" s="54">
        <v>5</v>
      </c>
      <c r="F7" s="54">
        <v>4</v>
      </c>
      <c r="G7" s="54">
        <v>5</v>
      </c>
      <c r="H7" s="54">
        <v>4</v>
      </c>
      <c r="I7" s="54">
        <v>4</v>
      </c>
      <c r="J7" s="54">
        <v>5</v>
      </c>
      <c r="K7" s="54">
        <v>4</v>
      </c>
      <c r="L7" s="54">
        <f t="shared" si="7"/>
        <v>39</v>
      </c>
      <c r="M7" s="80"/>
      <c r="N7" s="79">
        <f t="shared" si="0"/>
        <v>3.5</v>
      </c>
      <c r="O7" s="54">
        <f t="shared" si="8"/>
        <v>3.5</v>
      </c>
      <c r="P7" s="54">
        <f t="shared" si="9"/>
        <v>8</v>
      </c>
      <c r="Q7" s="54">
        <f t="shared" si="1"/>
        <v>3.5</v>
      </c>
      <c r="R7" s="54">
        <f t="shared" si="2"/>
        <v>8</v>
      </c>
      <c r="S7" s="54">
        <f t="shared" si="3"/>
        <v>3.5</v>
      </c>
      <c r="T7" s="54">
        <f t="shared" si="4"/>
        <v>3.5</v>
      </c>
      <c r="U7" s="54">
        <f t="shared" si="5"/>
        <v>8</v>
      </c>
      <c r="V7" s="54">
        <f t="shared" si="6"/>
        <v>3.5</v>
      </c>
      <c r="W7" s="91">
        <f t="shared" si="10"/>
        <v>5</v>
      </c>
      <c r="Y7" t="s">
        <v>51</v>
      </c>
    </row>
    <row r="8" spans="1:26" x14ac:dyDescent="0.2">
      <c r="A8" s="54">
        <v>6</v>
      </c>
      <c r="B8" s="54" t="s">
        <v>67</v>
      </c>
      <c r="C8" s="54">
        <v>4</v>
      </c>
      <c r="D8" s="54">
        <v>4</v>
      </c>
      <c r="E8" s="54">
        <v>3</v>
      </c>
      <c r="F8" s="54">
        <v>3</v>
      </c>
      <c r="G8" s="54">
        <v>3</v>
      </c>
      <c r="H8" s="54">
        <v>3</v>
      </c>
      <c r="I8" s="54">
        <v>4</v>
      </c>
      <c r="J8" s="54">
        <v>4</v>
      </c>
      <c r="K8" s="54">
        <v>3</v>
      </c>
      <c r="L8" s="54">
        <f t="shared" si="7"/>
        <v>31</v>
      </c>
      <c r="M8" s="80"/>
      <c r="N8" s="79">
        <f t="shared" si="0"/>
        <v>7.5</v>
      </c>
      <c r="O8" s="54">
        <f t="shared" si="8"/>
        <v>7.5</v>
      </c>
      <c r="P8" s="54">
        <f t="shared" si="9"/>
        <v>3</v>
      </c>
      <c r="Q8" s="54">
        <f t="shared" si="1"/>
        <v>3</v>
      </c>
      <c r="R8" s="54">
        <f t="shared" si="2"/>
        <v>3</v>
      </c>
      <c r="S8" s="54">
        <f t="shared" si="3"/>
        <v>3</v>
      </c>
      <c r="T8" s="54">
        <f t="shared" si="4"/>
        <v>7.5</v>
      </c>
      <c r="U8" s="54">
        <f t="shared" si="5"/>
        <v>7.5</v>
      </c>
      <c r="V8" s="54">
        <f t="shared" si="6"/>
        <v>3</v>
      </c>
      <c r="W8" s="91">
        <f t="shared" si="10"/>
        <v>5</v>
      </c>
      <c r="Y8" t="s">
        <v>53</v>
      </c>
    </row>
    <row r="9" spans="1:26" x14ac:dyDescent="0.2">
      <c r="A9" s="54">
        <v>7</v>
      </c>
      <c r="B9" s="54" t="s">
        <v>68</v>
      </c>
      <c r="C9" s="54">
        <v>2</v>
      </c>
      <c r="D9" s="54">
        <v>2</v>
      </c>
      <c r="E9" s="54">
        <v>2</v>
      </c>
      <c r="F9" s="54">
        <v>2</v>
      </c>
      <c r="G9" s="54">
        <v>2</v>
      </c>
      <c r="H9" s="54">
        <v>4</v>
      </c>
      <c r="I9" s="54">
        <v>4</v>
      </c>
      <c r="J9" s="54">
        <v>4</v>
      </c>
      <c r="K9" s="54">
        <v>5</v>
      </c>
      <c r="L9" s="54">
        <f t="shared" si="7"/>
        <v>27</v>
      </c>
      <c r="M9" s="80"/>
      <c r="N9" s="79">
        <f t="shared" si="0"/>
        <v>3</v>
      </c>
      <c r="O9" s="54">
        <f t="shared" si="8"/>
        <v>3</v>
      </c>
      <c r="P9" s="54">
        <f t="shared" si="9"/>
        <v>3</v>
      </c>
      <c r="Q9" s="54">
        <f t="shared" si="1"/>
        <v>3</v>
      </c>
      <c r="R9" s="54">
        <f t="shared" si="2"/>
        <v>3</v>
      </c>
      <c r="S9" s="54">
        <f t="shared" si="3"/>
        <v>7</v>
      </c>
      <c r="T9" s="54">
        <f t="shared" si="4"/>
        <v>7</v>
      </c>
      <c r="U9" s="54">
        <f t="shared" si="5"/>
        <v>7</v>
      </c>
      <c r="V9" s="54">
        <f t="shared" si="6"/>
        <v>9</v>
      </c>
      <c r="W9" s="91">
        <f t="shared" si="10"/>
        <v>5</v>
      </c>
      <c r="Y9" t="s">
        <v>54</v>
      </c>
    </row>
    <row r="10" spans="1:26" x14ac:dyDescent="0.2">
      <c r="A10" s="54">
        <v>8</v>
      </c>
      <c r="B10" s="54" t="s">
        <v>69</v>
      </c>
      <c r="C10" s="54">
        <v>3</v>
      </c>
      <c r="D10" s="54">
        <v>4</v>
      </c>
      <c r="E10" s="54">
        <v>3</v>
      </c>
      <c r="F10" s="54">
        <v>3</v>
      </c>
      <c r="G10" s="54">
        <v>3</v>
      </c>
      <c r="H10" s="54">
        <v>2</v>
      </c>
      <c r="I10" s="54">
        <v>3</v>
      </c>
      <c r="J10" s="54">
        <v>4</v>
      </c>
      <c r="K10" s="54">
        <v>4</v>
      </c>
      <c r="L10" s="54">
        <f t="shared" si="7"/>
        <v>29</v>
      </c>
      <c r="M10" s="80"/>
      <c r="N10" s="79">
        <f t="shared" si="0"/>
        <v>4</v>
      </c>
      <c r="O10" s="54">
        <f t="shared" si="8"/>
        <v>8</v>
      </c>
      <c r="P10" s="54">
        <f t="shared" si="9"/>
        <v>4</v>
      </c>
      <c r="Q10" s="54">
        <f t="shared" si="1"/>
        <v>4</v>
      </c>
      <c r="R10" s="54">
        <f t="shared" si="2"/>
        <v>4</v>
      </c>
      <c r="S10" s="54">
        <f t="shared" si="3"/>
        <v>1</v>
      </c>
      <c r="T10" s="54">
        <f t="shared" si="4"/>
        <v>4</v>
      </c>
      <c r="U10" s="54">
        <f t="shared" si="5"/>
        <v>8</v>
      </c>
      <c r="V10" s="54">
        <f t="shared" si="6"/>
        <v>8</v>
      </c>
      <c r="W10" s="91">
        <f t="shared" si="10"/>
        <v>5</v>
      </c>
      <c r="Y10" t="s">
        <v>55</v>
      </c>
    </row>
    <row r="11" spans="1:26" x14ac:dyDescent="0.2">
      <c r="A11" s="54">
        <v>9</v>
      </c>
      <c r="B11" s="54" t="s">
        <v>70</v>
      </c>
      <c r="C11" s="54">
        <v>3</v>
      </c>
      <c r="D11" s="54">
        <v>3</v>
      </c>
      <c r="E11" s="54">
        <v>2</v>
      </c>
      <c r="F11" s="54">
        <v>4</v>
      </c>
      <c r="G11" s="54">
        <v>5</v>
      </c>
      <c r="H11" s="54">
        <v>3</v>
      </c>
      <c r="I11" s="54">
        <v>4</v>
      </c>
      <c r="J11" s="54">
        <v>5</v>
      </c>
      <c r="K11" s="54">
        <v>4</v>
      </c>
      <c r="L11" s="54">
        <f t="shared" si="7"/>
        <v>33</v>
      </c>
      <c r="M11" s="80"/>
      <c r="N11" s="79">
        <f t="shared" si="0"/>
        <v>3</v>
      </c>
      <c r="O11" s="54">
        <f t="shared" si="8"/>
        <v>3</v>
      </c>
      <c r="P11" s="54">
        <f t="shared" si="9"/>
        <v>1</v>
      </c>
      <c r="Q11" s="54">
        <f t="shared" si="1"/>
        <v>6</v>
      </c>
      <c r="R11" s="54">
        <f t="shared" si="2"/>
        <v>8.5</v>
      </c>
      <c r="S11" s="54">
        <f t="shared" si="3"/>
        <v>3</v>
      </c>
      <c r="T11" s="54">
        <f t="shared" si="4"/>
        <v>6</v>
      </c>
      <c r="U11" s="54">
        <f t="shared" si="5"/>
        <v>8.5</v>
      </c>
      <c r="V11" s="54">
        <f t="shared" si="6"/>
        <v>6</v>
      </c>
      <c r="W11" s="91">
        <f t="shared" si="10"/>
        <v>5</v>
      </c>
      <c r="Y11" t="s">
        <v>52</v>
      </c>
    </row>
    <row r="12" spans="1:26" x14ac:dyDescent="0.2">
      <c r="A12" s="54">
        <v>10</v>
      </c>
      <c r="B12" s="54" t="s">
        <v>71</v>
      </c>
      <c r="C12" s="54">
        <v>3</v>
      </c>
      <c r="D12" s="54">
        <v>4</v>
      </c>
      <c r="E12" s="54">
        <v>4</v>
      </c>
      <c r="F12" s="54">
        <v>4</v>
      </c>
      <c r="G12" s="54">
        <v>4</v>
      </c>
      <c r="H12" s="54">
        <v>4</v>
      </c>
      <c r="I12" s="54">
        <v>3</v>
      </c>
      <c r="J12" s="54">
        <v>3</v>
      </c>
      <c r="K12" s="54">
        <v>4</v>
      </c>
      <c r="L12" s="54">
        <f t="shared" si="7"/>
        <v>33</v>
      </c>
      <c r="M12" s="80"/>
      <c r="N12" s="79">
        <f t="shared" si="0"/>
        <v>2</v>
      </c>
      <c r="O12" s="54">
        <f t="shared" si="8"/>
        <v>6.5</v>
      </c>
      <c r="P12" s="54">
        <f t="shared" si="9"/>
        <v>6.5</v>
      </c>
      <c r="Q12" s="54">
        <f t="shared" si="1"/>
        <v>6.5</v>
      </c>
      <c r="R12" s="54">
        <f t="shared" si="2"/>
        <v>6.5</v>
      </c>
      <c r="S12" s="54">
        <f t="shared" si="3"/>
        <v>6.5</v>
      </c>
      <c r="T12" s="54">
        <f t="shared" si="4"/>
        <v>2</v>
      </c>
      <c r="U12" s="54">
        <f t="shared" si="5"/>
        <v>2</v>
      </c>
      <c r="V12" s="54">
        <f t="shared" si="6"/>
        <v>6.5</v>
      </c>
      <c r="W12" s="91">
        <f t="shared" si="10"/>
        <v>5</v>
      </c>
      <c r="Y12" t="s">
        <v>56</v>
      </c>
    </row>
    <row r="13" spans="1:26" x14ac:dyDescent="0.2">
      <c r="A13" s="54">
        <v>11</v>
      </c>
      <c r="B13" s="54" t="s">
        <v>72</v>
      </c>
      <c r="C13" s="54">
        <v>4</v>
      </c>
      <c r="D13" s="54">
        <v>2</v>
      </c>
      <c r="E13" s="54">
        <v>2</v>
      </c>
      <c r="F13" s="54">
        <v>2</v>
      </c>
      <c r="G13" s="54">
        <v>2</v>
      </c>
      <c r="H13" s="54">
        <v>4</v>
      </c>
      <c r="I13" s="54">
        <v>3</v>
      </c>
      <c r="J13" s="54">
        <v>4</v>
      </c>
      <c r="K13" s="54">
        <v>3</v>
      </c>
      <c r="L13" s="54">
        <f t="shared" si="7"/>
        <v>26</v>
      </c>
      <c r="M13" s="80"/>
      <c r="N13" s="79">
        <f t="shared" si="0"/>
        <v>8</v>
      </c>
      <c r="O13" s="54">
        <f t="shared" si="8"/>
        <v>2.5</v>
      </c>
      <c r="P13" s="54">
        <f t="shared" si="9"/>
        <v>2.5</v>
      </c>
      <c r="Q13" s="54">
        <f t="shared" si="1"/>
        <v>2.5</v>
      </c>
      <c r="R13" s="54">
        <f t="shared" si="2"/>
        <v>2.5</v>
      </c>
      <c r="S13" s="54">
        <f t="shared" si="3"/>
        <v>8</v>
      </c>
      <c r="T13" s="54">
        <f t="shared" si="4"/>
        <v>5.5</v>
      </c>
      <c r="U13" s="54">
        <f t="shared" si="5"/>
        <v>8</v>
      </c>
      <c r="V13" s="54">
        <f t="shared" si="6"/>
        <v>5.5</v>
      </c>
      <c r="W13" s="91">
        <f t="shared" si="10"/>
        <v>5</v>
      </c>
      <c r="Y13" t="s">
        <v>57</v>
      </c>
    </row>
    <row r="14" spans="1:26" x14ac:dyDescent="0.2">
      <c r="A14" s="54">
        <v>12</v>
      </c>
      <c r="B14" s="54" t="s">
        <v>73</v>
      </c>
      <c r="C14" s="54">
        <v>4</v>
      </c>
      <c r="D14" s="54">
        <v>4</v>
      </c>
      <c r="E14" s="54">
        <v>3</v>
      </c>
      <c r="F14" s="54">
        <v>5</v>
      </c>
      <c r="G14" s="54">
        <v>3</v>
      </c>
      <c r="H14" s="54">
        <v>4</v>
      </c>
      <c r="I14" s="54">
        <v>3</v>
      </c>
      <c r="J14" s="54">
        <v>4</v>
      </c>
      <c r="K14" s="54">
        <v>4</v>
      </c>
      <c r="L14" s="54">
        <f t="shared" si="7"/>
        <v>34</v>
      </c>
      <c r="M14" s="80"/>
      <c r="N14" s="79">
        <f t="shared" si="0"/>
        <v>6</v>
      </c>
      <c r="O14" s="54">
        <f t="shared" si="8"/>
        <v>6</v>
      </c>
      <c r="P14" s="54">
        <f t="shared" si="9"/>
        <v>2</v>
      </c>
      <c r="Q14" s="54">
        <f t="shared" si="1"/>
        <v>9</v>
      </c>
      <c r="R14" s="54">
        <f t="shared" si="2"/>
        <v>2</v>
      </c>
      <c r="S14" s="54">
        <f t="shared" si="3"/>
        <v>6</v>
      </c>
      <c r="T14" s="54">
        <f t="shared" si="4"/>
        <v>2</v>
      </c>
      <c r="U14" s="54">
        <f t="shared" si="5"/>
        <v>6</v>
      </c>
      <c r="V14" s="54">
        <f t="shared" si="6"/>
        <v>6</v>
      </c>
      <c r="W14" s="91">
        <f t="shared" si="10"/>
        <v>5</v>
      </c>
      <c r="Y14" t="s">
        <v>58</v>
      </c>
    </row>
    <row r="15" spans="1:26" x14ac:dyDescent="0.2">
      <c r="A15" s="54">
        <v>13</v>
      </c>
      <c r="B15" s="54" t="s">
        <v>74</v>
      </c>
      <c r="C15" s="54">
        <v>2</v>
      </c>
      <c r="D15" s="54">
        <v>3</v>
      </c>
      <c r="E15" s="54">
        <v>3</v>
      </c>
      <c r="F15" s="54">
        <v>2</v>
      </c>
      <c r="G15" s="54">
        <v>3</v>
      </c>
      <c r="H15" s="54">
        <v>4</v>
      </c>
      <c r="I15" s="54">
        <v>4</v>
      </c>
      <c r="J15" s="54">
        <v>4</v>
      </c>
      <c r="K15" s="54">
        <v>5</v>
      </c>
      <c r="L15" s="54">
        <f t="shared" si="7"/>
        <v>30</v>
      </c>
      <c r="M15" s="80"/>
      <c r="N15" s="79">
        <f t="shared" si="0"/>
        <v>1.5</v>
      </c>
      <c r="O15" s="54">
        <f t="shared" si="8"/>
        <v>4</v>
      </c>
      <c r="P15" s="54">
        <f t="shared" si="9"/>
        <v>4</v>
      </c>
      <c r="Q15" s="54">
        <f t="shared" si="1"/>
        <v>1.5</v>
      </c>
      <c r="R15" s="54">
        <f t="shared" si="2"/>
        <v>4</v>
      </c>
      <c r="S15" s="54">
        <f t="shared" si="3"/>
        <v>7</v>
      </c>
      <c r="T15" s="54">
        <f t="shared" si="4"/>
        <v>7</v>
      </c>
      <c r="U15" s="54">
        <f t="shared" si="5"/>
        <v>7</v>
      </c>
      <c r="V15" s="54">
        <f t="shared" si="6"/>
        <v>9</v>
      </c>
      <c r="W15" s="91">
        <f t="shared" si="10"/>
        <v>5</v>
      </c>
      <c r="Y15" t="s">
        <v>59</v>
      </c>
    </row>
    <row r="16" spans="1:26" x14ac:dyDescent="0.2">
      <c r="A16" s="54">
        <v>14</v>
      </c>
      <c r="B16" s="54" t="s">
        <v>75</v>
      </c>
      <c r="C16" s="54">
        <v>3</v>
      </c>
      <c r="D16" s="54">
        <v>2</v>
      </c>
      <c r="E16" s="54">
        <v>2</v>
      </c>
      <c r="F16" s="54">
        <v>2</v>
      </c>
      <c r="G16" s="54">
        <v>3</v>
      </c>
      <c r="H16" s="54">
        <v>2</v>
      </c>
      <c r="I16" s="54">
        <v>2</v>
      </c>
      <c r="J16" s="54">
        <v>4</v>
      </c>
      <c r="K16" s="54">
        <v>4</v>
      </c>
      <c r="L16" s="54">
        <f t="shared" si="7"/>
        <v>24</v>
      </c>
      <c r="M16" s="80"/>
      <c r="N16" s="79">
        <f t="shared" si="0"/>
        <v>6.5</v>
      </c>
      <c r="O16" s="54">
        <f t="shared" si="8"/>
        <v>3</v>
      </c>
      <c r="P16" s="54">
        <f t="shared" si="9"/>
        <v>3</v>
      </c>
      <c r="Q16" s="54">
        <f t="shared" si="1"/>
        <v>3</v>
      </c>
      <c r="R16" s="54">
        <f t="shared" si="2"/>
        <v>6.5</v>
      </c>
      <c r="S16" s="54">
        <f t="shared" si="3"/>
        <v>3</v>
      </c>
      <c r="T16" s="54">
        <f t="shared" si="4"/>
        <v>3</v>
      </c>
      <c r="U16" s="54">
        <f t="shared" si="5"/>
        <v>8.5</v>
      </c>
      <c r="V16" s="54">
        <f t="shared" si="6"/>
        <v>8.5</v>
      </c>
      <c r="W16" s="91">
        <f t="shared" si="10"/>
        <v>5</v>
      </c>
    </row>
    <row r="17" spans="1:23" x14ac:dyDescent="0.2">
      <c r="A17" s="54">
        <v>15</v>
      </c>
      <c r="B17" s="54" t="s">
        <v>76</v>
      </c>
      <c r="C17" s="54">
        <v>3</v>
      </c>
      <c r="D17" s="54">
        <v>3</v>
      </c>
      <c r="E17" s="54">
        <v>3</v>
      </c>
      <c r="F17" s="54">
        <v>3</v>
      </c>
      <c r="G17" s="54">
        <v>2</v>
      </c>
      <c r="H17" s="54">
        <v>3</v>
      </c>
      <c r="I17" s="54">
        <v>2</v>
      </c>
      <c r="J17" s="54">
        <v>2</v>
      </c>
      <c r="K17" s="54">
        <v>3</v>
      </c>
      <c r="L17" s="54">
        <f t="shared" si="7"/>
        <v>24</v>
      </c>
      <c r="M17" s="80"/>
      <c r="N17" s="79">
        <f t="shared" si="0"/>
        <v>6.5</v>
      </c>
      <c r="O17" s="54">
        <f t="shared" si="8"/>
        <v>6.5</v>
      </c>
      <c r="P17" s="54">
        <f t="shared" si="9"/>
        <v>6.5</v>
      </c>
      <c r="Q17" s="54">
        <f t="shared" si="1"/>
        <v>6.5</v>
      </c>
      <c r="R17" s="54">
        <f t="shared" si="2"/>
        <v>2</v>
      </c>
      <c r="S17" s="54">
        <f t="shared" si="3"/>
        <v>6.5</v>
      </c>
      <c r="T17" s="54">
        <f t="shared" si="4"/>
        <v>2</v>
      </c>
      <c r="U17" s="54">
        <f t="shared" si="5"/>
        <v>2</v>
      </c>
      <c r="V17" s="54">
        <f t="shared" si="6"/>
        <v>6.5</v>
      </c>
      <c r="W17" s="91">
        <f t="shared" si="10"/>
        <v>5</v>
      </c>
    </row>
    <row r="18" spans="1:23" x14ac:dyDescent="0.2">
      <c r="A18" s="54">
        <v>16</v>
      </c>
      <c r="B18" s="54" t="s">
        <v>77</v>
      </c>
      <c r="C18" s="54">
        <v>5</v>
      </c>
      <c r="D18" s="54">
        <v>3</v>
      </c>
      <c r="E18" s="54">
        <v>4</v>
      </c>
      <c r="F18" s="54">
        <v>5</v>
      </c>
      <c r="G18" s="54">
        <v>4</v>
      </c>
      <c r="H18" s="54">
        <v>3</v>
      </c>
      <c r="I18" s="54">
        <v>2</v>
      </c>
      <c r="J18" s="54">
        <v>3</v>
      </c>
      <c r="K18" s="54">
        <v>2</v>
      </c>
      <c r="L18" s="54">
        <f t="shared" si="7"/>
        <v>31</v>
      </c>
      <c r="M18" s="80"/>
      <c r="N18" s="79">
        <f t="shared" si="0"/>
        <v>8.5</v>
      </c>
      <c r="O18" s="54">
        <f t="shared" si="8"/>
        <v>4</v>
      </c>
      <c r="P18" s="54">
        <f t="shared" si="9"/>
        <v>6.5</v>
      </c>
      <c r="Q18" s="54">
        <f t="shared" si="1"/>
        <v>8.5</v>
      </c>
      <c r="R18" s="54">
        <f t="shared" si="2"/>
        <v>6.5</v>
      </c>
      <c r="S18" s="54">
        <f t="shared" si="3"/>
        <v>4</v>
      </c>
      <c r="T18" s="54">
        <f t="shared" si="4"/>
        <v>1.5</v>
      </c>
      <c r="U18" s="54">
        <f t="shared" si="5"/>
        <v>4</v>
      </c>
      <c r="V18" s="54">
        <f t="shared" si="6"/>
        <v>1.5</v>
      </c>
      <c r="W18" s="91">
        <f t="shared" si="10"/>
        <v>5</v>
      </c>
    </row>
    <row r="19" spans="1:23" x14ac:dyDescent="0.2">
      <c r="A19" s="54">
        <v>17</v>
      </c>
      <c r="B19" s="54" t="s">
        <v>78</v>
      </c>
      <c r="C19" s="54">
        <v>3</v>
      </c>
      <c r="D19" s="54">
        <v>5</v>
      </c>
      <c r="E19" s="54">
        <v>5</v>
      </c>
      <c r="F19" s="54">
        <v>4</v>
      </c>
      <c r="G19" s="54">
        <v>5</v>
      </c>
      <c r="H19" s="54">
        <v>4</v>
      </c>
      <c r="I19" s="54">
        <v>4</v>
      </c>
      <c r="J19" s="54">
        <v>5</v>
      </c>
      <c r="K19" s="54">
        <v>4</v>
      </c>
      <c r="L19" s="54">
        <f t="shared" si="7"/>
        <v>39</v>
      </c>
      <c r="M19" s="80"/>
      <c r="N19" s="79">
        <f t="shared" si="0"/>
        <v>1</v>
      </c>
      <c r="O19" s="54">
        <f t="shared" si="8"/>
        <v>7.5</v>
      </c>
      <c r="P19" s="54">
        <f t="shared" si="9"/>
        <v>7.5</v>
      </c>
      <c r="Q19" s="54">
        <f t="shared" si="1"/>
        <v>3.5</v>
      </c>
      <c r="R19" s="54">
        <f t="shared" si="2"/>
        <v>7.5</v>
      </c>
      <c r="S19" s="54">
        <f t="shared" si="3"/>
        <v>3.5</v>
      </c>
      <c r="T19" s="54">
        <f t="shared" si="4"/>
        <v>3.5</v>
      </c>
      <c r="U19" s="54">
        <f t="shared" si="5"/>
        <v>7.5</v>
      </c>
      <c r="V19" s="54">
        <f t="shared" si="6"/>
        <v>3.5</v>
      </c>
      <c r="W19" s="91">
        <f t="shared" si="10"/>
        <v>5</v>
      </c>
    </row>
    <row r="20" spans="1:23" x14ac:dyDescent="0.2">
      <c r="A20" s="54">
        <v>18</v>
      </c>
      <c r="B20" s="54" t="s">
        <v>79</v>
      </c>
      <c r="C20" s="54">
        <v>2</v>
      </c>
      <c r="D20" s="54">
        <v>2</v>
      </c>
      <c r="E20" s="54">
        <v>4</v>
      </c>
      <c r="F20" s="54">
        <v>2</v>
      </c>
      <c r="G20" s="54">
        <v>2</v>
      </c>
      <c r="H20" s="54">
        <v>4</v>
      </c>
      <c r="I20" s="54">
        <v>4</v>
      </c>
      <c r="J20" s="54">
        <v>4</v>
      </c>
      <c r="K20" s="54">
        <v>2</v>
      </c>
      <c r="L20" s="54">
        <f t="shared" si="7"/>
        <v>26</v>
      </c>
      <c r="M20" s="80"/>
      <c r="N20" s="79">
        <f t="shared" si="0"/>
        <v>3</v>
      </c>
      <c r="O20" s="54">
        <f t="shared" si="8"/>
        <v>3</v>
      </c>
      <c r="P20" s="54">
        <f t="shared" si="9"/>
        <v>7.5</v>
      </c>
      <c r="Q20" s="54">
        <f t="shared" si="1"/>
        <v>3</v>
      </c>
      <c r="R20" s="54">
        <f t="shared" si="2"/>
        <v>3</v>
      </c>
      <c r="S20" s="54">
        <f t="shared" si="3"/>
        <v>7.5</v>
      </c>
      <c r="T20" s="54">
        <f t="shared" si="4"/>
        <v>7.5</v>
      </c>
      <c r="U20" s="54">
        <f t="shared" si="5"/>
        <v>7.5</v>
      </c>
      <c r="V20" s="54">
        <f t="shared" si="6"/>
        <v>3</v>
      </c>
      <c r="W20" s="91">
        <f t="shared" si="10"/>
        <v>5</v>
      </c>
    </row>
    <row r="21" spans="1:23" x14ac:dyDescent="0.2">
      <c r="A21" s="54">
        <v>19</v>
      </c>
      <c r="B21" s="54" t="s">
        <v>80</v>
      </c>
      <c r="C21" s="54">
        <v>4</v>
      </c>
      <c r="D21" s="54">
        <v>5</v>
      </c>
      <c r="E21" s="54">
        <v>3</v>
      </c>
      <c r="F21" s="54">
        <v>5</v>
      </c>
      <c r="G21" s="54">
        <v>5</v>
      </c>
      <c r="H21" s="54">
        <v>4</v>
      </c>
      <c r="I21" s="54">
        <v>4</v>
      </c>
      <c r="J21" s="54">
        <v>4</v>
      </c>
      <c r="K21" s="54">
        <v>4</v>
      </c>
      <c r="L21" s="54">
        <f t="shared" si="7"/>
        <v>38</v>
      </c>
      <c r="M21" s="80"/>
      <c r="N21" s="79">
        <f t="shared" si="0"/>
        <v>4</v>
      </c>
      <c r="O21" s="54">
        <f t="shared" si="8"/>
        <v>8</v>
      </c>
      <c r="P21" s="54">
        <f t="shared" si="9"/>
        <v>1</v>
      </c>
      <c r="Q21" s="54">
        <f t="shared" si="1"/>
        <v>8</v>
      </c>
      <c r="R21" s="54">
        <f t="shared" si="2"/>
        <v>8</v>
      </c>
      <c r="S21" s="54">
        <f t="shared" si="3"/>
        <v>4</v>
      </c>
      <c r="T21" s="54">
        <f t="shared" si="4"/>
        <v>4</v>
      </c>
      <c r="U21" s="54">
        <f t="shared" si="5"/>
        <v>4</v>
      </c>
      <c r="V21" s="54">
        <f t="shared" si="6"/>
        <v>4</v>
      </c>
      <c r="W21" s="91">
        <f t="shared" si="10"/>
        <v>5</v>
      </c>
    </row>
    <row r="22" spans="1:23" x14ac:dyDescent="0.2">
      <c r="A22" s="54">
        <v>20</v>
      </c>
      <c r="B22" s="54" t="s">
        <v>81</v>
      </c>
      <c r="C22" s="54">
        <v>4</v>
      </c>
      <c r="D22" s="54">
        <v>3</v>
      </c>
      <c r="E22" s="54">
        <v>3</v>
      </c>
      <c r="F22" s="54">
        <v>2</v>
      </c>
      <c r="G22" s="54">
        <v>3</v>
      </c>
      <c r="H22" s="54">
        <v>4</v>
      </c>
      <c r="I22" s="54">
        <v>4</v>
      </c>
      <c r="J22" s="54">
        <v>3</v>
      </c>
      <c r="K22" s="54">
        <v>4</v>
      </c>
      <c r="L22" s="54">
        <f t="shared" si="7"/>
        <v>30</v>
      </c>
      <c r="M22" s="80"/>
      <c r="N22" s="79">
        <f t="shared" si="0"/>
        <v>7.5</v>
      </c>
      <c r="O22" s="54">
        <f t="shared" si="8"/>
        <v>3.5</v>
      </c>
      <c r="P22" s="54">
        <f t="shared" si="9"/>
        <v>3.5</v>
      </c>
      <c r="Q22" s="54">
        <f t="shared" si="1"/>
        <v>1</v>
      </c>
      <c r="R22" s="54">
        <f t="shared" si="2"/>
        <v>3.5</v>
      </c>
      <c r="S22" s="54">
        <f t="shared" si="3"/>
        <v>7.5</v>
      </c>
      <c r="T22" s="54">
        <f t="shared" si="4"/>
        <v>7.5</v>
      </c>
      <c r="U22" s="54">
        <f t="shared" si="5"/>
        <v>3.5</v>
      </c>
      <c r="V22" s="54">
        <f t="shared" si="6"/>
        <v>7.5</v>
      </c>
      <c r="W22" s="91">
        <f t="shared" si="10"/>
        <v>5</v>
      </c>
    </row>
    <row r="23" spans="1:23" x14ac:dyDescent="0.2">
      <c r="A23" s="54">
        <v>21</v>
      </c>
      <c r="B23" s="54" t="s">
        <v>82</v>
      </c>
      <c r="C23" s="54">
        <v>4</v>
      </c>
      <c r="D23" s="54">
        <v>4</v>
      </c>
      <c r="E23" s="54">
        <v>4</v>
      </c>
      <c r="F23" s="54">
        <v>4</v>
      </c>
      <c r="G23" s="54">
        <v>5</v>
      </c>
      <c r="H23" s="54">
        <v>5</v>
      </c>
      <c r="I23" s="54">
        <v>4</v>
      </c>
      <c r="J23" s="54">
        <v>4</v>
      </c>
      <c r="K23" s="54">
        <v>4</v>
      </c>
      <c r="L23" s="54">
        <f t="shared" si="7"/>
        <v>38</v>
      </c>
      <c r="M23" s="80"/>
      <c r="N23" s="79">
        <f t="shared" si="0"/>
        <v>4</v>
      </c>
      <c r="O23" s="54">
        <f t="shared" si="8"/>
        <v>4</v>
      </c>
      <c r="P23" s="54">
        <f t="shared" si="9"/>
        <v>4</v>
      </c>
      <c r="Q23" s="54">
        <f t="shared" si="1"/>
        <v>4</v>
      </c>
      <c r="R23" s="54">
        <f t="shared" si="2"/>
        <v>8.5</v>
      </c>
      <c r="S23" s="54">
        <f t="shared" si="3"/>
        <v>8.5</v>
      </c>
      <c r="T23" s="54">
        <f t="shared" si="4"/>
        <v>4</v>
      </c>
      <c r="U23" s="54">
        <f t="shared" si="5"/>
        <v>4</v>
      </c>
      <c r="V23" s="54">
        <f t="shared" si="6"/>
        <v>4</v>
      </c>
      <c r="W23" s="91">
        <f t="shared" si="10"/>
        <v>5</v>
      </c>
    </row>
    <row r="24" spans="1:23" x14ac:dyDescent="0.2">
      <c r="A24" s="54">
        <v>22</v>
      </c>
      <c r="B24" s="54" t="s">
        <v>83</v>
      </c>
      <c r="C24" s="54">
        <v>2</v>
      </c>
      <c r="D24" s="54">
        <v>2</v>
      </c>
      <c r="E24" s="54">
        <v>3</v>
      </c>
      <c r="F24" s="54">
        <v>4</v>
      </c>
      <c r="G24" s="54">
        <v>2</v>
      </c>
      <c r="H24" s="54">
        <v>4</v>
      </c>
      <c r="I24" s="54">
        <v>2</v>
      </c>
      <c r="J24" s="54">
        <v>4</v>
      </c>
      <c r="K24" s="54">
        <v>4</v>
      </c>
      <c r="L24" s="54">
        <f t="shared" si="7"/>
        <v>27</v>
      </c>
      <c r="M24" s="80"/>
      <c r="N24" s="79">
        <f t="shared" si="0"/>
        <v>2.5</v>
      </c>
      <c r="O24" s="54">
        <f t="shared" si="8"/>
        <v>2.5</v>
      </c>
      <c r="P24" s="54">
        <f t="shared" si="9"/>
        <v>5</v>
      </c>
      <c r="Q24" s="54">
        <f t="shared" si="1"/>
        <v>7.5</v>
      </c>
      <c r="R24" s="54">
        <f t="shared" si="2"/>
        <v>2.5</v>
      </c>
      <c r="S24" s="54">
        <f t="shared" si="3"/>
        <v>7.5</v>
      </c>
      <c r="T24" s="54">
        <f t="shared" si="4"/>
        <v>2.5</v>
      </c>
      <c r="U24" s="54">
        <f t="shared" si="5"/>
        <v>7.5</v>
      </c>
      <c r="V24" s="54">
        <f t="shared" si="6"/>
        <v>7.5</v>
      </c>
      <c r="W24" s="91">
        <f t="shared" si="10"/>
        <v>5</v>
      </c>
    </row>
    <row r="25" spans="1:23" x14ac:dyDescent="0.2">
      <c r="A25" s="54">
        <v>23</v>
      </c>
      <c r="B25" s="54" t="s">
        <v>84</v>
      </c>
      <c r="C25" s="54">
        <v>3</v>
      </c>
      <c r="D25" s="54">
        <v>2</v>
      </c>
      <c r="E25" s="54">
        <v>4</v>
      </c>
      <c r="F25" s="54">
        <v>4</v>
      </c>
      <c r="G25" s="54">
        <v>5</v>
      </c>
      <c r="H25" s="54">
        <v>4</v>
      </c>
      <c r="I25" s="54">
        <v>5</v>
      </c>
      <c r="J25" s="54">
        <v>5</v>
      </c>
      <c r="K25" s="54">
        <v>5</v>
      </c>
      <c r="L25" s="54">
        <f t="shared" si="7"/>
        <v>37</v>
      </c>
      <c r="M25" s="80"/>
      <c r="N25" s="79">
        <f t="shared" si="0"/>
        <v>2</v>
      </c>
      <c r="O25" s="54">
        <f t="shared" si="8"/>
        <v>1</v>
      </c>
      <c r="P25" s="54">
        <f t="shared" si="9"/>
        <v>4</v>
      </c>
      <c r="Q25" s="54">
        <f t="shared" si="1"/>
        <v>4</v>
      </c>
      <c r="R25" s="54">
        <f t="shared" si="2"/>
        <v>7.5</v>
      </c>
      <c r="S25" s="54">
        <f t="shared" si="3"/>
        <v>4</v>
      </c>
      <c r="T25" s="54">
        <f t="shared" si="4"/>
        <v>7.5</v>
      </c>
      <c r="U25" s="54">
        <f t="shared" si="5"/>
        <v>7.5</v>
      </c>
      <c r="V25" s="54">
        <f t="shared" si="6"/>
        <v>7.5</v>
      </c>
      <c r="W25" s="91">
        <f t="shared" si="10"/>
        <v>5</v>
      </c>
    </row>
    <row r="26" spans="1:23" x14ac:dyDescent="0.2">
      <c r="A26" s="54">
        <v>24</v>
      </c>
      <c r="B26" s="54" t="s">
        <v>85</v>
      </c>
      <c r="C26" s="54">
        <v>4</v>
      </c>
      <c r="D26" s="54">
        <v>4</v>
      </c>
      <c r="E26" s="54">
        <v>3</v>
      </c>
      <c r="F26" s="54">
        <v>3</v>
      </c>
      <c r="G26" s="54">
        <v>3</v>
      </c>
      <c r="H26" s="54">
        <v>3</v>
      </c>
      <c r="I26" s="54">
        <v>5</v>
      </c>
      <c r="J26" s="54">
        <v>3</v>
      </c>
      <c r="K26" s="54">
        <v>5</v>
      </c>
      <c r="L26" s="54">
        <f t="shared" si="7"/>
        <v>33</v>
      </c>
      <c r="M26" s="80"/>
      <c r="N26" s="79">
        <f t="shared" si="0"/>
        <v>6.5</v>
      </c>
      <c r="O26" s="54">
        <f t="shared" si="8"/>
        <v>6.5</v>
      </c>
      <c r="P26" s="54">
        <f t="shared" si="9"/>
        <v>3</v>
      </c>
      <c r="Q26" s="54">
        <f t="shared" si="1"/>
        <v>3</v>
      </c>
      <c r="R26" s="54">
        <f t="shared" si="2"/>
        <v>3</v>
      </c>
      <c r="S26" s="54">
        <f t="shared" si="3"/>
        <v>3</v>
      </c>
      <c r="T26" s="54">
        <f t="shared" si="4"/>
        <v>8.5</v>
      </c>
      <c r="U26" s="54">
        <f t="shared" si="5"/>
        <v>3</v>
      </c>
      <c r="V26" s="54">
        <f t="shared" si="6"/>
        <v>8.5</v>
      </c>
      <c r="W26" s="91">
        <f t="shared" si="10"/>
        <v>5</v>
      </c>
    </row>
    <row r="27" spans="1:23" x14ac:dyDescent="0.2">
      <c r="A27" s="54">
        <v>25</v>
      </c>
      <c r="B27" s="54" t="s">
        <v>86</v>
      </c>
      <c r="C27" s="54">
        <v>2</v>
      </c>
      <c r="D27" s="54">
        <v>4</v>
      </c>
      <c r="E27" s="54">
        <v>2</v>
      </c>
      <c r="F27" s="54">
        <v>4</v>
      </c>
      <c r="G27" s="54">
        <v>5</v>
      </c>
      <c r="H27" s="54">
        <v>2</v>
      </c>
      <c r="I27" s="54">
        <v>4</v>
      </c>
      <c r="J27" s="54">
        <v>2</v>
      </c>
      <c r="K27" s="54">
        <v>2</v>
      </c>
      <c r="L27" s="54">
        <f t="shared" si="7"/>
        <v>27</v>
      </c>
      <c r="M27" s="80"/>
      <c r="N27" s="79">
        <f t="shared" si="0"/>
        <v>3</v>
      </c>
      <c r="O27" s="54">
        <f t="shared" si="8"/>
        <v>7</v>
      </c>
      <c r="P27" s="54">
        <f t="shared" si="9"/>
        <v>3</v>
      </c>
      <c r="Q27" s="54">
        <f t="shared" si="1"/>
        <v>7</v>
      </c>
      <c r="R27" s="54">
        <f t="shared" si="2"/>
        <v>9</v>
      </c>
      <c r="S27" s="54">
        <f t="shared" si="3"/>
        <v>3</v>
      </c>
      <c r="T27" s="54">
        <f t="shared" si="4"/>
        <v>7</v>
      </c>
      <c r="U27" s="54">
        <f t="shared" si="5"/>
        <v>3</v>
      </c>
      <c r="V27" s="54">
        <f t="shared" si="6"/>
        <v>3</v>
      </c>
      <c r="W27" s="91">
        <f t="shared" si="10"/>
        <v>5</v>
      </c>
    </row>
    <row r="28" spans="1:23" x14ac:dyDescent="0.2">
      <c r="A28" s="54">
        <v>26</v>
      </c>
      <c r="B28" s="54" t="s">
        <v>87</v>
      </c>
      <c r="C28" s="54">
        <v>4</v>
      </c>
      <c r="D28" s="54">
        <v>4</v>
      </c>
      <c r="E28" s="54">
        <v>4</v>
      </c>
      <c r="F28" s="54">
        <v>2</v>
      </c>
      <c r="G28" s="54">
        <v>2</v>
      </c>
      <c r="H28" s="54">
        <v>4</v>
      </c>
      <c r="I28" s="54">
        <v>4</v>
      </c>
      <c r="J28" s="54">
        <v>4</v>
      </c>
      <c r="K28" s="54">
        <v>4</v>
      </c>
      <c r="L28" s="54">
        <f t="shared" si="7"/>
        <v>32</v>
      </c>
      <c r="M28" s="80"/>
      <c r="N28" s="79">
        <f t="shared" si="0"/>
        <v>6</v>
      </c>
      <c r="O28" s="54">
        <f t="shared" si="8"/>
        <v>6</v>
      </c>
      <c r="P28" s="54">
        <f t="shared" si="9"/>
        <v>6</v>
      </c>
      <c r="Q28" s="54">
        <f t="shared" si="1"/>
        <v>1.5</v>
      </c>
      <c r="R28" s="54">
        <f t="shared" si="2"/>
        <v>1.5</v>
      </c>
      <c r="S28" s="54">
        <f t="shared" si="3"/>
        <v>6</v>
      </c>
      <c r="T28" s="54">
        <f t="shared" si="4"/>
        <v>6</v>
      </c>
      <c r="U28" s="54">
        <f t="shared" si="5"/>
        <v>6</v>
      </c>
      <c r="V28" s="54">
        <f t="shared" si="6"/>
        <v>6</v>
      </c>
      <c r="W28" s="91">
        <f t="shared" si="10"/>
        <v>5</v>
      </c>
    </row>
    <row r="29" spans="1:23" x14ac:dyDescent="0.2">
      <c r="A29" s="54">
        <v>27</v>
      </c>
      <c r="B29" s="54" t="s">
        <v>88</v>
      </c>
      <c r="C29" s="54">
        <v>2</v>
      </c>
      <c r="D29" s="54">
        <v>4</v>
      </c>
      <c r="E29" s="54">
        <v>4</v>
      </c>
      <c r="F29" s="54">
        <v>4</v>
      </c>
      <c r="G29" s="54">
        <v>4</v>
      </c>
      <c r="H29" s="54">
        <v>2</v>
      </c>
      <c r="I29" s="54">
        <v>2</v>
      </c>
      <c r="J29" s="54">
        <v>4</v>
      </c>
      <c r="K29" s="54">
        <v>4</v>
      </c>
      <c r="L29" s="54">
        <f t="shared" si="7"/>
        <v>30</v>
      </c>
      <c r="M29" s="80"/>
      <c r="N29" s="79">
        <f t="shared" si="0"/>
        <v>2</v>
      </c>
      <c r="O29" s="54">
        <f t="shared" si="8"/>
        <v>6.5</v>
      </c>
      <c r="P29" s="54">
        <f t="shared" si="9"/>
        <v>6.5</v>
      </c>
      <c r="Q29" s="54">
        <f t="shared" si="1"/>
        <v>6.5</v>
      </c>
      <c r="R29" s="54">
        <f t="shared" si="2"/>
        <v>6.5</v>
      </c>
      <c r="S29" s="54">
        <f t="shared" si="3"/>
        <v>2</v>
      </c>
      <c r="T29" s="54">
        <f t="shared" si="4"/>
        <v>2</v>
      </c>
      <c r="U29" s="54">
        <f t="shared" si="5"/>
        <v>6.5</v>
      </c>
      <c r="V29" s="54">
        <f t="shared" si="6"/>
        <v>6.5</v>
      </c>
      <c r="W29" s="91">
        <f t="shared" si="10"/>
        <v>5</v>
      </c>
    </row>
    <row r="30" spans="1:23" x14ac:dyDescent="0.2">
      <c r="A30" s="54">
        <v>28</v>
      </c>
      <c r="B30" s="54" t="s">
        <v>89</v>
      </c>
      <c r="C30" s="54">
        <v>2</v>
      </c>
      <c r="D30" s="54">
        <v>4</v>
      </c>
      <c r="E30" s="54">
        <v>2</v>
      </c>
      <c r="F30" s="54">
        <v>2</v>
      </c>
      <c r="G30" s="54">
        <v>2</v>
      </c>
      <c r="H30" s="54">
        <v>2</v>
      </c>
      <c r="I30" s="54">
        <v>2</v>
      </c>
      <c r="J30" s="54">
        <v>2</v>
      </c>
      <c r="K30" s="54">
        <v>2</v>
      </c>
      <c r="L30" s="54">
        <f t="shared" si="7"/>
        <v>20</v>
      </c>
      <c r="M30" s="80"/>
      <c r="N30" s="79">
        <f t="shared" si="0"/>
        <v>4.5</v>
      </c>
      <c r="O30" s="54">
        <f t="shared" si="8"/>
        <v>9</v>
      </c>
      <c r="P30" s="54">
        <f t="shared" si="9"/>
        <v>4.5</v>
      </c>
      <c r="Q30" s="54">
        <f t="shared" si="1"/>
        <v>4.5</v>
      </c>
      <c r="R30" s="54">
        <f t="shared" si="2"/>
        <v>4.5</v>
      </c>
      <c r="S30" s="54">
        <f t="shared" si="3"/>
        <v>4.5</v>
      </c>
      <c r="T30" s="54">
        <f t="shared" si="4"/>
        <v>4.5</v>
      </c>
      <c r="U30" s="54">
        <f t="shared" si="5"/>
        <v>4.5</v>
      </c>
      <c r="V30" s="54">
        <f t="shared" si="6"/>
        <v>4.5</v>
      </c>
      <c r="W30" s="91">
        <f t="shared" si="10"/>
        <v>5</v>
      </c>
    </row>
    <row r="31" spans="1:23" x14ac:dyDescent="0.2">
      <c r="A31" s="54">
        <v>29</v>
      </c>
      <c r="B31" s="54" t="s">
        <v>90</v>
      </c>
      <c r="C31" s="54">
        <v>2</v>
      </c>
      <c r="D31" s="54">
        <v>4</v>
      </c>
      <c r="E31" s="54">
        <v>2</v>
      </c>
      <c r="F31" s="54">
        <v>1</v>
      </c>
      <c r="G31" s="54">
        <v>2</v>
      </c>
      <c r="H31" s="54">
        <v>2</v>
      </c>
      <c r="I31" s="54">
        <v>2</v>
      </c>
      <c r="J31" s="54">
        <v>2</v>
      </c>
      <c r="K31" s="54">
        <v>2</v>
      </c>
      <c r="L31" s="54">
        <f t="shared" si="7"/>
        <v>19</v>
      </c>
      <c r="M31" s="80"/>
      <c r="N31" s="79">
        <f t="shared" si="0"/>
        <v>5</v>
      </c>
      <c r="O31" s="54">
        <f t="shared" si="8"/>
        <v>9</v>
      </c>
      <c r="P31" s="54">
        <f t="shared" si="9"/>
        <v>5</v>
      </c>
      <c r="Q31" s="54">
        <f t="shared" si="1"/>
        <v>1</v>
      </c>
      <c r="R31" s="54">
        <f t="shared" si="2"/>
        <v>5</v>
      </c>
      <c r="S31" s="54">
        <f t="shared" si="3"/>
        <v>5</v>
      </c>
      <c r="T31" s="54">
        <f t="shared" si="4"/>
        <v>5</v>
      </c>
      <c r="U31" s="54">
        <f t="shared" si="5"/>
        <v>5</v>
      </c>
      <c r="V31" s="54">
        <f t="shared" si="6"/>
        <v>5</v>
      </c>
      <c r="W31" s="91">
        <f t="shared" si="10"/>
        <v>5</v>
      </c>
    </row>
    <row r="32" spans="1:23" x14ac:dyDescent="0.2">
      <c r="A32" s="54">
        <v>30</v>
      </c>
      <c r="B32" s="54" t="s">
        <v>91</v>
      </c>
      <c r="C32" s="54">
        <v>3</v>
      </c>
      <c r="D32" s="54">
        <v>2</v>
      </c>
      <c r="E32" s="54">
        <v>2</v>
      </c>
      <c r="F32" s="54">
        <v>2</v>
      </c>
      <c r="G32" s="54">
        <v>2</v>
      </c>
      <c r="H32" s="54">
        <v>3</v>
      </c>
      <c r="I32" s="54">
        <v>2</v>
      </c>
      <c r="J32" s="54">
        <v>4</v>
      </c>
      <c r="K32" s="54">
        <v>2</v>
      </c>
      <c r="L32" s="54">
        <f t="shared" si="7"/>
        <v>22</v>
      </c>
      <c r="M32" s="80"/>
      <c r="N32" s="79">
        <f t="shared" si="0"/>
        <v>7.5</v>
      </c>
      <c r="O32" s="54">
        <f t="shared" si="8"/>
        <v>3.5</v>
      </c>
      <c r="P32" s="54">
        <f t="shared" si="9"/>
        <v>3.5</v>
      </c>
      <c r="Q32" s="54">
        <f t="shared" si="1"/>
        <v>3.5</v>
      </c>
      <c r="R32" s="54">
        <f t="shared" si="2"/>
        <v>3.5</v>
      </c>
      <c r="S32" s="54">
        <f t="shared" si="3"/>
        <v>7.5</v>
      </c>
      <c r="T32" s="54">
        <f t="shared" si="4"/>
        <v>3.5</v>
      </c>
      <c r="U32" s="54">
        <f t="shared" si="5"/>
        <v>9</v>
      </c>
      <c r="V32" s="54">
        <f t="shared" si="6"/>
        <v>3.5</v>
      </c>
      <c r="W32" s="91">
        <f t="shared" si="10"/>
        <v>5</v>
      </c>
    </row>
    <row r="33" spans="1:23" x14ac:dyDescent="0.2">
      <c r="A33" s="54"/>
      <c r="B33" s="54" t="s">
        <v>19</v>
      </c>
      <c r="C33" s="54">
        <f>SUM(C3:C32)</f>
        <v>97</v>
      </c>
      <c r="D33" s="54">
        <f t="shared" ref="D33:K33" si="11">SUM(D3:D32)</f>
        <v>104</v>
      </c>
      <c r="E33" s="54">
        <f t="shared" si="11"/>
        <v>95</v>
      </c>
      <c r="F33" s="54">
        <f t="shared" si="11"/>
        <v>99</v>
      </c>
      <c r="G33" s="54">
        <f t="shared" si="11"/>
        <v>103</v>
      </c>
      <c r="H33" s="54">
        <f t="shared" si="11"/>
        <v>100</v>
      </c>
      <c r="I33" s="54">
        <f t="shared" si="11"/>
        <v>100</v>
      </c>
      <c r="J33" s="54">
        <f t="shared" si="11"/>
        <v>113</v>
      </c>
      <c r="K33" s="86">
        <f t="shared" si="11"/>
        <v>110</v>
      </c>
      <c r="L33" s="54"/>
      <c r="M33" s="51"/>
      <c r="N33" s="54">
        <f>SUM(N3:N32)</f>
        <v>137.5</v>
      </c>
      <c r="O33" s="54">
        <f t="shared" ref="O33:V33" si="12">SUM(O3:O32)</f>
        <v>157.5</v>
      </c>
      <c r="P33" s="54">
        <f t="shared" si="12"/>
        <v>128.5</v>
      </c>
      <c r="Q33" s="54">
        <f t="shared" si="12"/>
        <v>138</v>
      </c>
      <c r="R33" s="54">
        <f t="shared" si="12"/>
        <v>153</v>
      </c>
      <c r="S33" s="54">
        <f t="shared" si="12"/>
        <v>146</v>
      </c>
      <c r="T33" s="54">
        <f t="shared" si="12"/>
        <v>141.5</v>
      </c>
      <c r="U33" s="54">
        <f t="shared" si="12"/>
        <v>178</v>
      </c>
      <c r="V33" s="54">
        <f t="shared" si="12"/>
        <v>170</v>
      </c>
      <c r="W33" s="91"/>
    </row>
    <row r="34" spans="1:23" x14ac:dyDescent="0.2">
      <c r="A34" s="54"/>
      <c r="B34" s="54" t="s">
        <v>93</v>
      </c>
      <c r="C34" s="54">
        <f>AVERAGE(C3:C32)</f>
        <v>3.2333333333333334</v>
      </c>
      <c r="D34" s="54">
        <f t="shared" ref="D34:K34" si="13">AVERAGE(D3:D32)</f>
        <v>3.4666666666666668</v>
      </c>
      <c r="E34" s="54">
        <f t="shared" si="13"/>
        <v>3.1666666666666665</v>
      </c>
      <c r="F34" s="54">
        <f t="shared" si="13"/>
        <v>3.3</v>
      </c>
      <c r="G34" s="54">
        <f t="shared" si="13"/>
        <v>3.4333333333333331</v>
      </c>
      <c r="H34" s="54">
        <f t="shared" si="13"/>
        <v>3.3333333333333335</v>
      </c>
      <c r="I34" s="54">
        <f t="shared" si="13"/>
        <v>3.3333333333333335</v>
      </c>
      <c r="J34" s="54">
        <f t="shared" si="13"/>
        <v>3.7666666666666666</v>
      </c>
      <c r="K34" s="54">
        <f t="shared" si="13"/>
        <v>3.6666666666666665</v>
      </c>
      <c r="L34" s="54"/>
      <c r="M34" s="51"/>
      <c r="N34" s="54">
        <f>AVERAGE(N3:N32)</f>
        <v>4.583333333333333</v>
      </c>
      <c r="O34" s="54">
        <f t="shared" ref="O34:V34" si="14">AVERAGE(O3:O32)</f>
        <v>5.25</v>
      </c>
      <c r="P34" s="54">
        <f t="shared" si="14"/>
        <v>4.2833333333333332</v>
      </c>
      <c r="Q34" s="54">
        <f t="shared" si="14"/>
        <v>4.5999999999999996</v>
      </c>
      <c r="R34" s="54">
        <f t="shared" si="14"/>
        <v>5.0999999999999996</v>
      </c>
      <c r="S34" s="54">
        <f t="shared" si="14"/>
        <v>4.8666666666666663</v>
      </c>
      <c r="T34" s="54">
        <f t="shared" si="14"/>
        <v>4.7166666666666668</v>
      </c>
      <c r="U34" s="54">
        <f t="shared" si="14"/>
        <v>5.9333333333333336</v>
      </c>
      <c r="V34" s="54">
        <f t="shared" si="14"/>
        <v>5.666666666666667</v>
      </c>
      <c r="W34" s="51"/>
    </row>
    <row r="35" spans="1:23" x14ac:dyDescent="0.2">
      <c r="A35" s="54"/>
      <c r="B35" s="54"/>
      <c r="C35" s="54">
        <f>STDEV(C3:C32)</f>
        <v>0.89763418297031328</v>
      </c>
      <c r="D35" s="54">
        <f t="shared" ref="D35:K35" si="15">STDEV(D3:D32)</f>
        <v>0.97320421124325607</v>
      </c>
      <c r="E35" s="54">
        <f t="shared" si="15"/>
        <v>0.94989412598179235</v>
      </c>
      <c r="F35" s="54">
        <f t="shared" si="15"/>
        <v>1.1492126240049811</v>
      </c>
      <c r="G35" s="54">
        <f t="shared" si="15"/>
        <v>1.1943352886058403</v>
      </c>
      <c r="H35" s="54">
        <f t="shared" si="15"/>
        <v>0.95892660297076859</v>
      </c>
      <c r="I35" s="54">
        <f t="shared" si="15"/>
        <v>0.99423626323245595</v>
      </c>
      <c r="J35" s="54">
        <f t="shared" si="15"/>
        <v>0.89763418297031328</v>
      </c>
      <c r="K35" s="54">
        <f t="shared" si="15"/>
        <v>0.99423626323245595</v>
      </c>
      <c r="L35" s="54"/>
      <c r="M35" s="51"/>
      <c r="N35" s="51">
        <f>STDEV(N3:N32)</f>
        <v>2.1499131230776762</v>
      </c>
      <c r="O35" s="51">
        <f t="shared" ref="O35:V35" si="16">STDEV(O3:O32)</f>
        <v>2.144560078672193</v>
      </c>
      <c r="P35" s="51">
        <f t="shared" si="16"/>
        <v>1.9550259427387684</v>
      </c>
      <c r="Q35" s="51">
        <f t="shared" si="16"/>
        <v>2.2491377658238667</v>
      </c>
      <c r="R35" s="51">
        <f t="shared" si="16"/>
        <v>2.2644174100409478</v>
      </c>
      <c r="S35" s="51">
        <f t="shared" si="16"/>
        <v>2.2242136670701425</v>
      </c>
      <c r="T35" s="51">
        <f t="shared" si="16"/>
        <v>2.1563192351036897</v>
      </c>
      <c r="U35" s="51">
        <f t="shared" si="16"/>
        <v>2.033060090930253</v>
      </c>
      <c r="V35" s="51">
        <f t="shared" si="16"/>
        <v>2.0143165750119354</v>
      </c>
      <c r="W35" s="51"/>
    </row>
    <row r="38" spans="1:23" x14ac:dyDescent="0.2">
      <c r="B38" t="s">
        <v>187</v>
      </c>
      <c r="Q38" s="30" t="s">
        <v>194</v>
      </c>
      <c r="R38" s="31">
        <f>(12/((30*9)*(9+1))*SUMSQ(N33:V33)-(3*30)*(9+1))</f>
        <v>9.3333333333333712</v>
      </c>
    </row>
    <row r="39" spans="1:23" x14ac:dyDescent="0.2">
      <c r="A39">
        <v>1</v>
      </c>
      <c r="B39">
        <f>12/(Z2*Z3*(Z3+1))</f>
        <v>4.4444444444444444E-3</v>
      </c>
      <c r="C39">
        <f>(12/((Z2*Z3)*(Z3+1))*N34+O34+P34+Q34+R34+S34+T34+U34+V34)-3*(Z2)*Z3+1</f>
        <v>-768.56296296296296</v>
      </c>
      <c r="Q39" s="30" t="s">
        <v>195</v>
      </c>
      <c r="R39" s="32">
        <f>_xlfn.CHISQ.INV.RT(0.05,8)</f>
        <v>15.507313055865453</v>
      </c>
    </row>
    <row r="40" spans="1:23" x14ac:dyDescent="0.2">
      <c r="A40">
        <v>2</v>
      </c>
      <c r="B40">
        <f>SUMSQ(N33:V33)</f>
        <v>204600</v>
      </c>
      <c r="Q40" s="33" t="s">
        <v>196</v>
      </c>
      <c r="R40" s="33" t="s">
        <v>197</v>
      </c>
      <c r="S40" s="33" t="s">
        <v>208</v>
      </c>
    </row>
    <row r="41" spans="1:23" x14ac:dyDescent="0.2">
      <c r="A41">
        <v>3</v>
      </c>
      <c r="B41">
        <f>-3*30*(9+1)</f>
        <v>-900</v>
      </c>
      <c r="C41" t="s">
        <v>185</v>
      </c>
      <c r="D41">
        <f>B39*B40+B41</f>
        <v>9.3333333333333712</v>
      </c>
    </row>
    <row r="42" spans="1:23" x14ac:dyDescent="0.2">
      <c r="B42">
        <f>CHIINV(0.05,2)</f>
        <v>5.9914645471079817</v>
      </c>
      <c r="C42" t="s">
        <v>186</v>
      </c>
    </row>
    <row r="43" spans="1:23" x14ac:dyDescent="0.2">
      <c r="N43" s="162" t="s">
        <v>200</v>
      </c>
      <c r="O43" s="163"/>
      <c r="P43" s="163"/>
      <c r="Q43" s="163"/>
      <c r="R43" s="163"/>
      <c r="S43" s="34" t="s">
        <v>201</v>
      </c>
      <c r="T43" s="164" t="s">
        <v>202</v>
      </c>
      <c r="U43" s="164"/>
    </row>
    <row r="44" spans="1:23" x14ac:dyDescent="0.2">
      <c r="C44" s="49">
        <v>3.2333333333333334</v>
      </c>
      <c r="D44">
        <v>137.5</v>
      </c>
      <c r="N44" s="143" t="s">
        <v>51</v>
      </c>
      <c r="O44" s="143"/>
      <c r="P44" s="143"/>
      <c r="Q44" s="143"/>
      <c r="R44" s="143"/>
      <c r="S44" s="35">
        <v>3.2333333333333334</v>
      </c>
      <c r="T44" s="157">
        <f>N33</f>
        <v>137.5</v>
      </c>
      <c r="U44" s="157"/>
    </row>
    <row r="45" spans="1:23" x14ac:dyDescent="0.2">
      <c r="C45" s="49">
        <v>3.4666666666666668</v>
      </c>
      <c r="D45">
        <v>157.5</v>
      </c>
      <c r="N45" s="143" t="s">
        <v>53</v>
      </c>
      <c r="O45" s="143"/>
      <c r="P45" s="143"/>
      <c r="Q45" s="143"/>
      <c r="R45" s="143"/>
      <c r="S45" s="35">
        <v>3.4666666666666668</v>
      </c>
      <c r="T45" s="154">
        <f>O33</f>
        <v>157.5</v>
      </c>
      <c r="U45" s="154"/>
    </row>
    <row r="46" spans="1:23" x14ac:dyDescent="0.2">
      <c r="C46" s="49">
        <v>3.1666666666666665</v>
      </c>
      <c r="D46">
        <v>128.5</v>
      </c>
      <c r="N46" s="143" t="s">
        <v>54</v>
      </c>
      <c r="O46" s="143"/>
      <c r="P46" s="143"/>
      <c r="Q46" s="143"/>
      <c r="R46" s="143"/>
      <c r="S46" s="35">
        <v>3.1666666666666665</v>
      </c>
      <c r="T46" s="154">
        <f>P33</f>
        <v>128.5</v>
      </c>
      <c r="U46" s="154"/>
    </row>
    <row r="47" spans="1:23" x14ac:dyDescent="0.2">
      <c r="C47" s="49">
        <v>3.3</v>
      </c>
      <c r="D47">
        <v>138</v>
      </c>
      <c r="N47" s="143" t="s">
        <v>55</v>
      </c>
      <c r="O47" s="143"/>
      <c r="P47" s="143"/>
      <c r="Q47" s="143"/>
      <c r="R47" s="143"/>
      <c r="S47" s="35">
        <v>3.3</v>
      </c>
      <c r="T47" s="154">
        <f>Q33</f>
        <v>138</v>
      </c>
      <c r="U47" s="154"/>
    </row>
    <row r="48" spans="1:23" x14ac:dyDescent="0.2">
      <c r="C48" s="49">
        <v>3.4333333333333331</v>
      </c>
      <c r="D48">
        <v>153</v>
      </c>
      <c r="N48" s="143" t="s">
        <v>52</v>
      </c>
      <c r="O48" s="143"/>
      <c r="P48" s="143"/>
      <c r="Q48" s="143"/>
      <c r="R48" s="143"/>
      <c r="S48" s="35">
        <v>3.4333333333333331</v>
      </c>
      <c r="T48" s="154">
        <f>R33</f>
        <v>153</v>
      </c>
      <c r="U48" s="154"/>
    </row>
    <row r="49" spans="3:21" x14ac:dyDescent="0.2">
      <c r="C49" s="49">
        <v>3.3333333333333335</v>
      </c>
      <c r="D49">
        <v>146</v>
      </c>
      <c r="N49" s="143" t="s">
        <v>56</v>
      </c>
      <c r="O49" s="143"/>
      <c r="P49" s="143"/>
      <c r="Q49" s="143"/>
      <c r="R49" s="143"/>
      <c r="S49" s="35">
        <v>3.3333333333333335</v>
      </c>
      <c r="T49" s="154">
        <f>S33</f>
        <v>146</v>
      </c>
      <c r="U49" s="154"/>
    </row>
    <row r="50" spans="3:21" x14ac:dyDescent="0.2">
      <c r="C50" s="49">
        <v>3.3333333333333335</v>
      </c>
      <c r="D50">
        <v>141.5</v>
      </c>
      <c r="N50" s="143" t="s">
        <v>57</v>
      </c>
      <c r="O50" s="143"/>
      <c r="P50" s="143"/>
      <c r="Q50" s="143"/>
      <c r="R50" s="143"/>
      <c r="S50" s="35">
        <v>3.3333333333333335</v>
      </c>
      <c r="T50" s="154">
        <f>T33</f>
        <v>141.5</v>
      </c>
      <c r="U50" s="154"/>
    </row>
    <row r="51" spans="3:21" x14ac:dyDescent="0.2">
      <c r="C51" s="49">
        <v>3.7666666666666666</v>
      </c>
      <c r="D51">
        <v>178</v>
      </c>
      <c r="N51" s="143" t="s">
        <v>58</v>
      </c>
      <c r="O51" s="143"/>
      <c r="P51" s="143"/>
      <c r="Q51" s="143"/>
      <c r="R51" s="143"/>
      <c r="S51" s="35">
        <v>3.7666666666666666</v>
      </c>
      <c r="T51" s="154">
        <f>U33</f>
        <v>178</v>
      </c>
      <c r="U51" s="154"/>
    </row>
    <row r="52" spans="3:21" x14ac:dyDescent="0.2">
      <c r="C52" s="49">
        <v>3.6666666666666665</v>
      </c>
      <c r="D52">
        <v>170</v>
      </c>
      <c r="N52" s="158" t="s">
        <v>59</v>
      </c>
      <c r="O52" s="158"/>
      <c r="P52" s="158"/>
      <c r="Q52" s="158"/>
      <c r="R52" s="158"/>
      <c r="S52" s="35">
        <v>3.6666666666666665</v>
      </c>
      <c r="T52" s="155">
        <f>V33</f>
        <v>170</v>
      </c>
      <c r="U52" s="155"/>
    </row>
    <row r="53" spans="3:21" x14ac:dyDescent="0.2">
      <c r="N53" s="159" t="s">
        <v>203</v>
      </c>
      <c r="O53" s="160"/>
      <c r="P53" s="160"/>
      <c r="Q53" s="160"/>
      <c r="R53" s="160"/>
      <c r="S53" s="36" t="s">
        <v>207</v>
      </c>
      <c r="T53" s="156"/>
      <c r="U53" s="156"/>
    </row>
  </sheetData>
  <mergeCells count="26">
    <mergeCell ref="A1:A2"/>
    <mergeCell ref="B1:B2"/>
    <mergeCell ref="C1:K1"/>
    <mergeCell ref="N1:V1"/>
    <mergeCell ref="N43:R43"/>
    <mergeCell ref="T43:U43"/>
    <mergeCell ref="N44:R44"/>
    <mergeCell ref="T44:U44"/>
    <mergeCell ref="N45:R45"/>
    <mergeCell ref="T45:U45"/>
    <mergeCell ref="N46:R46"/>
    <mergeCell ref="T46:U46"/>
    <mergeCell ref="N47:R47"/>
    <mergeCell ref="T47:U47"/>
    <mergeCell ref="N48:R48"/>
    <mergeCell ref="T48:U48"/>
    <mergeCell ref="N49:R49"/>
    <mergeCell ref="T49:U49"/>
    <mergeCell ref="N53:R53"/>
    <mergeCell ref="T53:U53"/>
    <mergeCell ref="N50:R50"/>
    <mergeCell ref="T50:U50"/>
    <mergeCell ref="N51:R51"/>
    <mergeCell ref="T51:U51"/>
    <mergeCell ref="N52:R52"/>
    <mergeCell ref="T52:U52"/>
  </mergeCells>
  <conditionalFormatting sqref="C3:K32">
    <cfRule type="colorScale" priority="3">
      <colorScale>
        <cfvo type="min"/>
        <cfvo type="max"/>
        <color rgb="FFFCFCFF"/>
        <color rgb="FFF8696B"/>
      </colorScale>
    </cfRule>
  </conditionalFormatting>
  <conditionalFormatting sqref="C3:M32">
    <cfRule type="colorScale" priority="6">
      <colorScale>
        <cfvo type="min"/>
        <cfvo type="max"/>
        <color rgb="FF63BE7B"/>
        <color rgb="FFFCFCFF"/>
      </colorScale>
    </cfRule>
  </conditionalFormatting>
  <conditionalFormatting sqref="L3:L32">
    <cfRule type="colorScale" priority="2">
      <colorScale>
        <cfvo type="min"/>
        <cfvo type="max"/>
        <color rgb="FFFCFCFF"/>
        <color rgb="FFF8696B"/>
      </colorScale>
    </cfRule>
  </conditionalFormatting>
  <conditionalFormatting sqref="P43">
    <cfRule type="colorScale" priority="1">
      <colorScale>
        <cfvo type="min"/>
        <cfvo type="max"/>
        <color rgb="FF63BE7B"/>
        <color rgb="FFFCFCFF"/>
      </colorScale>
    </cfRule>
  </conditionalFormatting>
  <conditionalFormatting sqref="Y3">
    <cfRule type="colorScale" priority="4">
      <colorScale>
        <cfvo type="min"/>
        <cfvo type="max"/>
        <color rgb="FFF8696B"/>
        <color rgb="FFFCFCFF"/>
      </colorScale>
    </cfRule>
    <cfRule type="colorScale" priority="5">
      <colorScale>
        <cfvo type="min"/>
        <cfvo type="max"/>
        <color rgb="FF63BE7B"/>
        <color rgb="FFFCFCFF"/>
      </colorScale>
    </cfRule>
  </conditionalFormatting>
  <pageMargins left="0.7" right="0.7" top="0.75" bottom="0.75" header="0.3" footer="0.3"/>
  <pageSetup paperSize="9" orientation="portrait" horizontalDpi="0" verticalDpi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A05592-FACE-C14E-928F-FF4A39307AB0}">
  <dimension ref="A1:W53"/>
  <sheetViews>
    <sheetView topLeftCell="A22" zoomScale="167" workbookViewId="0">
      <selection activeCell="C34" sqref="C34:K34"/>
    </sheetView>
  </sheetViews>
  <sheetFormatPr baseColWidth="10" defaultRowHeight="16" x14ac:dyDescent="0.2"/>
  <cols>
    <col min="1" max="1" width="3.83203125" style="51" bestFit="1" customWidth="1"/>
    <col min="2" max="2" width="18.83203125" style="51" bestFit="1" customWidth="1"/>
    <col min="3" max="11" width="7.33203125" style="51" bestFit="1" customWidth="1"/>
    <col min="12" max="16384" width="10.83203125" style="51"/>
  </cols>
  <sheetData>
    <row r="1" spans="1:23" x14ac:dyDescent="0.2">
      <c r="A1" s="121" t="s">
        <v>62</v>
      </c>
      <c r="B1" s="121" t="s">
        <v>27</v>
      </c>
      <c r="C1" s="121" t="s">
        <v>60</v>
      </c>
      <c r="D1" s="121"/>
      <c r="E1" s="121"/>
      <c r="F1" s="121"/>
      <c r="G1" s="121"/>
      <c r="H1" s="121"/>
      <c r="I1" s="121"/>
      <c r="J1" s="121"/>
      <c r="K1" s="121"/>
      <c r="N1" s="121" t="s">
        <v>182</v>
      </c>
      <c r="O1" s="121"/>
      <c r="P1" s="121"/>
      <c r="Q1" s="121"/>
      <c r="R1" s="121"/>
      <c r="S1" s="121"/>
      <c r="T1" s="121"/>
      <c r="U1" s="121"/>
      <c r="V1" s="121"/>
    </row>
    <row r="2" spans="1:23" x14ac:dyDescent="0.2">
      <c r="A2" s="121"/>
      <c r="B2" s="121"/>
      <c r="C2" s="54" t="s">
        <v>51</v>
      </c>
      <c r="D2" s="54" t="s">
        <v>53</v>
      </c>
      <c r="E2" s="54" t="s">
        <v>54</v>
      </c>
      <c r="F2" s="54" t="s">
        <v>55</v>
      </c>
      <c r="G2" s="54" t="s">
        <v>52</v>
      </c>
      <c r="H2" s="54" t="s">
        <v>56</v>
      </c>
      <c r="I2" s="54" t="s">
        <v>57</v>
      </c>
      <c r="J2" s="54" t="s">
        <v>58</v>
      </c>
      <c r="K2" s="54" t="s">
        <v>59</v>
      </c>
      <c r="N2" s="79" t="s">
        <v>51</v>
      </c>
      <c r="O2" s="54" t="s">
        <v>53</v>
      </c>
      <c r="P2" s="54" t="s">
        <v>54</v>
      </c>
      <c r="Q2" s="54" t="s">
        <v>55</v>
      </c>
      <c r="R2" s="54" t="s">
        <v>52</v>
      </c>
      <c r="S2" s="54" t="s">
        <v>56</v>
      </c>
      <c r="T2" s="54" t="s">
        <v>57</v>
      </c>
      <c r="U2" s="54" t="s">
        <v>58</v>
      </c>
      <c r="V2" s="54" t="s">
        <v>59</v>
      </c>
    </row>
    <row r="3" spans="1:23" x14ac:dyDescent="0.2">
      <c r="A3" s="54">
        <v>1</v>
      </c>
      <c r="B3" s="54" t="s">
        <v>61</v>
      </c>
      <c r="C3" s="54">
        <v>3</v>
      </c>
      <c r="D3" s="54">
        <v>2</v>
      </c>
      <c r="E3" s="54">
        <v>3</v>
      </c>
      <c r="F3" s="54">
        <v>3</v>
      </c>
      <c r="G3" s="54">
        <v>3</v>
      </c>
      <c r="H3" s="54">
        <v>3</v>
      </c>
      <c r="I3" s="54">
        <v>2</v>
      </c>
      <c r="J3" s="54">
        <v>2</v>
      </c>
      <c r="K3" s="54">
        <v>3</v>
      </c>
      <c r="L3" s="72">
        <f>SUM(C3:K3)</f>
        <v>24</v>
      </c>
      <c r="M3" s="80"/>
      <c r="N3" s="79">
        <f t="shared" ref="N3:V31" si="0">_xlfn.RANK.AVG(C3,$C3:$K3,1)</f>
        <v>6.5</v>
      </c>
      <c r="O3" s="54">
        <f t="shared" si="0"/>
        <v>2</v>
      </c>
      <c r="P3" s="54">
        <f t="shared" si="0"/>
        <v>6.5</v>
      </c>
      <c r="Q3" s="54">
        <f t="shared" si="0"/>
        <v>6.5</v>
      </c>
      <c r="R3" s="54">
        <f t="shared" si="0"/>
        <v>6.5</v>
      </c>
      <c r="S3" s="54">
        <f t="shared" si="0"/>
        <v>6.5</v>
      </c>
      <c r="T3" s="54">
        <f t="shared" si="0"/>
        <v>2</v>
      </c>
      <c r="U3" s="54">
        <f t="shared" si="0"/>
        <v>2</v>
      </c>
      <c r="V3" s="54">
        <f t="shared" si="0"/>
        <v>6.5</v>
      </c>
      <c r="W3" s="91">
        <f>SUM(N3:V3)</f>
        <v>45</v>
      </c>
    </row>
    <row r="4" spans="1:23" x14ac:dyDescent="0.2">
      <c r="A4" s="54">
        <v>2</v>
      </c>
      <c r="B4" s="54" t="s">
        <v>63</v>
      </c>
      <c r="C4" s="54">
        <v>4</v>
      </c>
      <c r="D4" s="54">
        <v>4</v>
      </c>
      <c r="E4" s="54">
        <v>4</v>
      </c>
      <c r="F4" s="54">
        <v>4</v>
      </c>
      <c r="G4" s="54">
        <v>4</v>
      </c>
      <c r="H4" s="54">
        <v>4</v>
      </c>
      <c r="I4" s="54">
        <v>4</v>
      </c>
      <c r="J4" s="54">
        <v>2</v>
      </c>
      <c r="K4" s="54">
        <v>4</v>
      </c>
      <c r="L4" s="72">
        <f t="shared" ref="L4:L32" si="1">SUM(C4:K4)</f>
        <v>34</v>
      </c>
      <c r="M4" s="80"/>
      <c r="N4" s="79">
        <f t="shared" si="0"/>
        <v>5.5</v>
      </c>
      <c r="O4" s="54">
        <f t="shared" si="0"/>
        <v>5.5</v>
      </c>
      <c r="P4" s="54">
        <f t="shared" si="0"/>
        <v>5.5</v>
      </c>
      <c r="Q4" s="54">
        <f t="shared" si="0"/>
        <v>5.5</v>
      </c>
      <c r="R4" s="54">
        <f t="shared" si="0"/>
        <v>5.5</v>
      </c>
      <c r="S4" s="54">
        <f t="shared" si="0"/>
        <v>5.5</v>
      </c>
      <c r="T4" s="54">
        <f t="shared" si="0"/>
        <v>5.5</v>
      </c>
      <c r="U4" s="54">
        <f t="shared" si="0"/>
        <v>1</v>
      </c>
      <c r="V4" s="54">
        <f t="shared" si="0"/>
        <v>5.5</v>
      </c>
      <c r="W4" s="91">
        <f t="shared" ref="W4:W32" si="2">SUM(N4:V4)</f>
        <v>45</v>
      </c>
    </row>
    <row r="5" spans="1:23" x14ac:dyDescent="0.2">
      <c r="A5" s="54">
        <v>3</v>
      </c>
      <c r="B5" s="54" t="s">
        <v>64</v>
      </c>
      <c r="C5" s="54">
        <v>4</v>
      </c>
      <c r="D5" s="54">
        <v>5</v>
      </c>
      <c r="E5" s="54">
        <v>1</v>
      </c>
      <c r="F5" s="54">
        <v>5</v>
      </c>
      <c r="G5" s="54">
        <v>2</v>
      </c>
      <c r="H5" s="54">
        <v>5</v>
      </c>
      <c r="I5" s="54">
        <v>4</v>
      </c>
      <c r="J5" s="54">
        <v>5</v>
      </c>
      <c r="K5" s="54">
        <v>5</v>
      </c>
      <c r="L5" s="72">
        <f t="shared" si="1"/>
        <v>36</v>
      </c>
      <c r="M5" s="80"/>
      <c r="N5" s="79">
        <f t="shared" si="0"/>
        <v>3.5</v>
      </c>
      <c r="O5" s="54">
        <f t="shared" si="0"/>
        <v>7</v>
      </c>
      <c r="P5" s="54">
        <f t="shared" si="0"/>
        <v>1</v>
      </c>
      <c r="Q5" s="54">
        <f t="shared" si="0"/>
        <v>7</v>
      </c>
      <c r="R5" s="54">
        <f t="shared" si="0"/>
        <v>2</v>
      </c>
      <c r="S5" s="54">
        <f t="shared" si="0"/>
        <v>7</v>
      </c>
      <c r="T5" s="54">
        <f t="shared" si="0"/>
        <v>3.5</v>
      </c>
      <c r="U5" s="54">
        <f t="shared" si="0"/>
        <v>7</v>
      </c>
      <c r="V5" s="54">
        <f t="shared" si="0"/>
        <v>7</v>
      </c>
      <c r="W5" s="91">
        <f t="shared" si="2"/>
        <v>45</v>
      </c>
    </row>
    <row r="6" spans="1:23" x14ac:dyDescent="0.2">
      <c r="A6" s="54">
        <v>4</v>
      </c>
      <c r="B6" s="54" t="s">
        <v>65</v>
      </c>
      <c r="C6" s="54">
        <v>2</v>
      </c>
      <c r="D6" s="54">
        <v>2</v>
      </c>
      <c r="E6" s="54">
        <v>2</v>
      </c>
      <c r="F6" s="54">
        <v>2</v>
      </c>
      <c r="G6" s="54">
        <v>2</v>
      </c>
      <c r="H6" s="54">
        <v>2</v>
      </c>
      <c r="I6" s="54">
        <v>2</v>
      </c>
      <c r="J6" s="54">
        <v>2</v>
      </c>
      <c r="K6" s="54">
        <v>2</v>
      </c>
      <c r="L6" s="72">
        <f t="shared" si="1"/>
        <v>18</v>
      </c>
      <c r="M6" s="80"/>
      <c r="N6" s="79">
        <f t="shared" si="0"/>
        <v>5</v>
      </c>
      <c r="O6" s="54">
        <f t="shared" si="0"/>
        <v>5</v>
      </c>
      <c r="P6" s="54">
        <f t="shared" si="0"/>
        <v>5</v>
      </c>
      <c r="Q6" s="54">
        <f t="shared" si="0"/>
        <v>5</v>
      </c>
      <c r="R6" s="54">
        <f t="shared" si="0"/>
        <v>5</v>
      </c>
      <c r="S6" s="54">
        <f t="shared" si="0"/>
        <v>5</v>
      </c>
      <c r="T6" s="54">
        <f t="shared" si="0"/>
        <v>5</v>
      </c>
      <c r="U6" s="54">
        <f t="shared" si="0"/>
        <v>5</v>
      </c>
      <c r="V6" s="54">
        <f t="shared" si="0"/>
        <v>5</v>
      </c>
      <c r="W6" s="91">
        <f t="shared" si="2"/>
        <v>45</v>
      </c>
    </row>
    <row r="7" spans="1:23" x14ac:dyDescent="0.2">
      <c r="A7" s="54">
        <v>5</v>
      </c>
      <c r="B7" s="54" t="s">
        <v>66</v>
      </c>
      <c r="C7" s="54">
        <v>3</v>
      </c>
      <c r="D7" s="54">
        <v>4</v>
      </c>
      <c r="E7" s="54">
        <v>4</v>
      </c>
      <c r="F7" s="54">
        <v>4</v>
      </c>
      <c r="G7" s="54">
        <v>3</v>
      </c>
      <c r="H7" s="54">
        <v>4</v>
      </c>
      <c r="I7" s="54">
        <v>3</v>
      </c>
      <c r="J7" s="54">
        <v>4</v>
      </c>
      <c r="K7" s="54">
        <v>4</v>
      </c>
      <c r="L7" s="72">
        <f t="shared" si="1"/>
        <v>33</v>
      </c>
      <c r="M7" s="80"/>
      <c r="N7" s="79">
        <f t="shared" si="0"/>
        <v>2</v>
      </c>
      <c r="O7" s="54">
        <f t="shared" si="0"/>
        <v>6.5</v>
      </c>
      <c r="P7" s="54">
        <f t="shared" si="0"/>
        <v>6.5</v>
      </c>
      <c r="Q7" s="54">
        <f t="shared" si="0"/>
        <v>6.5</v>
      </c>
      <c r="R7" s="54">
        <f t="shared" si="0"/>
        <v>2</v>
      </c>
      <c r="S7" s="54">
        <f t="shared" si="0"/>
        <v>6.5</v>
      </c>
      <c r="T7" s="54">
        <f t="shared" si="0"/>
        <v>2</v>
      </c>
      <c r="U7" s="54">
        <f t="shared" si="0"/>
        <v>6.5</v>
      </c>
      <c r="V7" s="54">
        <f t="shared" si="0"/>
        <v>6.5</v>
      </c>
      <c r="W7" s="91">
        <f t="shared" si="2"/>
        <v>45</v>
      </c>
    </row>
    <row r="8" spans="1:23" x14ac:dyDescent="0.2">
      <c r="A8" s="54">
        <v>6</v>
      </c>
      <c r="B8" s="54" t="s">
        <v>67</v>
      </c>
      <c r="C8" s="54">
        <v>3</v>
      </c>
      <c r="D8" s="54">
        <v>3</v>
      </c>
      <c r="E8" s="54">
        <v>3</v>
      </c>
      <c r="F8" s="54">
        <v>4</v>
      </c>
      <c r="G8" s="54">
        <v>3</v>
      </c>
      <c r="H8" s="54">
        <v>3</v>
      </c>
      <c r="I8" s="54">
        <v>3</v>
      </c>
      <c r="J8" s="54">
        <v>3</v>
      </c>
      <c r="K8" s="54">
        <v>4</v>
      </c>
      <c r="L8" s="72">
        <f t="shared" si="1"/>
        <v>29</v>
      </c>
      <c r="M8" s="80"/>
      <c r="N8" s="79">
        <f t="shared" si="0"/>
        <v>4</v>
      </c>
      <c r="O8" s="54">
        <f t="shared" si="0"/>
        <v>4</v>
      </c>
      <c r="P8" s="54">
        <f t="shared" si="0"/>
        <v>4</v>
      </c>
      <c r="Q8" s="54">
        <f t="shared" si="0"/>
        <v>8.5</v>
      </c>
      <c r="R8" s="54">
        <f t="shared" si="0"/>
        <v>4</v>
      </c>
      <c r="S8" s="54">
        <f t="shared" si="0"/>
        <v>4</v>
      </c>
      <c r="T8" s="54">
        <f t="shared" si="0"/>
        <v>4</v>
      </c>
      <c r="U8" s="54">
        <f t="shared" si="0"/>
        <v>4</v>
      </c>
      <c r="V8" s="54">
        <f t="shared" si="0"/>
        <v>8.5</v>
      </c>
      <c r="W8" s="91">
        <f t="shared" si="2"/>
        <v>45</v>
      </c>
    </row>
    <row r="9" spans="1:23" x14ac:dyDescent="0.2">
      <c r="A9" s="54">
        <v>7</v>
      </c>
      <c r="B9" s="54" t="s">
        <v>68</v>
      </c>
      <c r="C9" s="54">
        <v>2</v>
      </c>
      <c r="D9" s="54">
        <v>2</v>
      </c>
      <c r="E9" s="54">
        <v>2</v>
      </c>
      <c r="F9" s="54">
        <v>4</v>
      </c>
      <c r="G9" s="54">
        <v>2</v>
      </c>
      <c r="H9" s="54">
        <v>4</v>
      </c>
      <c r="I9" s="54">
        <v>4</v>
      </c>
      <c r="J9" s="54">
        <v>4</v>
      </c>
      <c r="K9" s="54">
        <v>5</v>
      </c>
      <c r="L9" s="72">
        <f t="shared" si="1"/>
        <v>29</v>
      </c>
      <c r="M9" s="80"/>
      <c r="N9" s="79">
        <f t="shared" si="0"/>
        <v>2.5</v>
      </c>
      <c r="O9" s="54">
        <f t="shared" si="0"/>
        <v>2.5</v>
      </c>
      <c r="P9" s="54">
        <f t="shared" si="0"/>
        <v>2.5</v>
      </c>
      <c r="Q9" s="54">
        <f t="shared" si="0"/>
        <v>6.5</v>
      </c>
      <c r="R9" s="54">
        <f t="shared" si="0"/>
        <v>2.5</v>
      </c>
      <c r="S9" s="54">
        <f t="shared" si="0"/>
        <v>6.5</v>
      </c>
      <c r="T9" s="54">
        <f t="shared" si="0"/>
        <v>6.5</v>
      </c>
      <c r="U9" s="54">
        <f t="shared" si="0"/>
        <v>6.5</v>
      </c>
      <c r="V9" s="54">
        <f t="shared" si="0"/>
        <v>9</v>
      </c>
      <c r="W9" s="91">
        <f t="shared" si="2"/>
        <v>45</v>
      </c>
    </row>
    <row r="10" spans="1:23" x14ac:dyDescent="0.2">
      <c r="A10" s="54">
        <v>8</v>
      </c>
      <c r="B10" s="54" t="s">
        <v>69</v>
      </c>
      <c r="C10" s="54">
        <v>2</v>
      </c>
      <c r="D10" s="54">
        <v>2</v>
      </c>
      <c r="E10" s="54">
        <v>2</v>
      </c>
      <c r="F10" s="54">
        <v>2</v>
      </c>
      <c r="G10" s="54">
        <v>2</v>
      </c>
      <c r="H10" s="54">
        <v>2</v>
      </c>
      <c r="I10" s="54">
        <v>2</v>
      </c>
      <c r="J10" s="54">
        <v>2</v>
      </c>
      <c r="K10" s="54">
        <v>2</v>
      </c>
      <c r="L10" s="72">
        <f t="shared" si="1"/>
        <v>18</v>
      </c>
      <c r="M10" s="80"/>
      <c r="N10" s="79">
        <f t="shared" si="0"/>
        <v>5</v>
      </c>
      <c r="O10" s="54">
        <f t="shared" si="0"/>
        <v>5</v>
      </c>
      <c r="P10" s="54">
        <f t="shared" si="0"/>
        <v>5</v>
      </c>
      <c r="Q10" s="54">
        <f t="shared" si="0"/>
        <v>5</v>
      </c>
      <c r="R10" s="54">
        <f t="shared" si="0"/>
        <v>5</v>
      </c>
      <c r="S10" s="54">
        <f t="shared" si="0"/>
        <v>5</v>
      </c>
      <c r="T10" s="54">
        <f t="shared" si="0"/>
        <v>5</v>
      </c>
      <c r="U10" s="54">
        <f t="shared" si="0"/>
        <v>5</v>
      </c>
      <c r="V10" s="54">
        <f t="shared" si="0"/>
        <v>5</v>
      </c>
      <c r="W10" s="91">
        <f t="shared" si="2"/>
        <v>45</v>
      </c>
    </row>
    <row r="11" spans="1:23" x14ac:dyDescent="0.2">
      <c r="A11" s="54">
        <v>9</v>
      </c>
      <c r="B11" s="54" t="s">
        <v>70</v>
      </c>
      <c r="C11" s="54">
        <v>3</v>
      </c>
      <c r="D11" s="54">
        <v>3</v>
      </c>
      <c r="E11" s="54">
        <v>3</v>
      </c>
      <c r="F11" s="54">
        <v>3</v>
      </c>
      <c r="G11" s="54">
        <v>3</v>
      </c>
      <c r="H11" s="54">
        <v>2</v>
      </c>
      <c r="I11" s="54">
        <v>2</v>
      </c>
      <c r="J11" s="54">
        <v>4</v>
      </c>
      <c r="K11" s="54">
        <v>5</v>
      </c>
      <c r="L11" s="72">
        <f t="shared" si="1"/>
        <v>28</v>
      </c>
      <c r="M11" s="80"/>
      <c r="N11" s="79">
        <f t="shared" si="0"/>
        <v>5</v>
      </c>
      <c r="O11" s="54">
        <f t="shared" si="0"/>
        <v>5</v>
      </c>
      <c r="P11" s="54">
        <f t="shared" si="0"/>
        <v>5</v>
      </c>
      <c r="Q11" s="54">
        <f t="shared" si="0"/>
        <v>5</v>
      </c>
      <c r="R11" s="54">
        <f t="shared" si="0"/>
        <v>5</v>
      </c>
      <c r="S11" s="54">
        <f t="shared" si="0"/>
        <v>1.5</v>
      </c>
      <c r="T11" s="54">
        <f t="shared" si="0"/>
        <v>1.5</v>
      </c>
      <c r="U11" s="54">
        <f t="shared" si="0"/>
        <v>8</v>
      </c>
      <c r="V11" s="54">
        <f t="shared" si="0"/>
        <v>9</v>
      </c>
      <c r="W11" s="91">
        <f t="shared" si="2"/>
        <v>45</v>
      </c>
    </row>
    <row r="12" spans="1:23" x14ac:dyDescent="0.2">
      <c r="A12" s="54">
        <v>10</v>
      </c>
      <c r="B12" s="54" t="s">
        <v>71</v>
      </c>
      <c r="C12" s="54">
        <v>3</v>
      </c>
      <c r="D12" s="54">
        <v>4</v>
      </c>
      <c r="E12" s="54">
        <v>4</v>
      </c>
      <c r="F12" s="54">
        <v>4</v>
      </c>
      <c r="G12" s="54">
        <v>3</v>
      </c>
      <c r="H12" s="54">
        <v>3</v>
      </c>
      <c r="I12" s="54">
        <v>3</v>
      </c>
      <c r="J12" s="54">
        <v>4</v>
      </c>
      <c r="K12" s="54">
        <v>4</v>
      </c>
      <c r="L12" s="72">
        <f t="shared" si="1"/>
        <v>32</v>
      </c>
      <c r="M12" s="80"/>
      <c r="N12" s="79">
        <f t="shared" si="0"/>
        <v>2.5</v>
      </c>
      <c r="O12" s="54">
        <f t="shared" si="0"/>
        <v>7</v>
      </c>
      <c r="P12" s="54">
        <f t="shared" si="0"/>
        <v>7</v>
      </c>
      <c r="Q12" s="54">
        <f t="shared" si="0"/>
        <v>7</v>
      </c>
      <c r="R12" s="54">
        <f t="shared" si="0"/>
        <v>2.5</v>
      </c>
      <c r="S12" s="54">
        <f t="shared" si="0"/>
        <v>2.5</v>
      </c>
      <c r="T12" s="54">
        <f t="shared" si="0"/>
        <v>2.5</v>
      </c>
      <c r="U12" s="54">
        <f t="shared" si="0"/>
        <v>7</v>
      </c>
      <c r="V12" s="54">
        <f t="shared" si="0"/>
        <v>7</v>
      </c>
      <c r="W12" s="91">
        <f t="shared" si="2"/>
        <v>45</v>
      </c>
    </row>
    <row r="13" spans="1:23" x14ac:dyDescent="0.2">
      <c r="A13" s="54">
        <v>11</v>
      </c>
      <c r="B13" s="54" t="s">
        <v>72</v>
      </c>
      <c r="C13" s="54">
        <v>3</v>
      </c>
      <c r="D13" s="54">
        <v>3</v>
      </c>
      <c r="E13" s="54">
        <v>3</v>
      </c>
      <c r="F13" s="54">
        <v>3</v>
      </c>
      <c r="G13" s="54">
        <v>3</v>
      </c>
      <c r="H13" s="54">
        <v>2</v>
      </c>
      <c r="I13" s="54">
        <v>2</v>
      </c>
      <c r="J13" s="54">
        <v>3</v>
      </c>
      <c r="K13" s="54">
        <v>3</v>
      </c>
      <c r="L13" s="72">
        <f t="shared" si="1"/>
        <v>25</v>
      </c>
      <c r="M13" s="80"/>
      <c r="N13" s="79">
        <f t="shared" si="0"/>
        <v>6</v>
      </c>
      <c r="O13" s="54">
        <f t="shared" si="0"/>
        <v>6</v>
      </c>
      <c r="P13" s="54">
        <f t="shared" si="0"/>
        <v>6</v>
      </c>
      <c r="Q13" s="54">
        <f t="shared" si="0"/>
        <v>6</v>
      </c>
      <c r="R13" s="54">
        <f t="shared" si="0"/>
        <v>6</v>
      </c>
      <c r="S13" s="54">
        <f t="shared" si="0"/>
        <v>1.5</v>
      </c>
      <c r="T13" s="54">
        <f t="shared" si="0"/>
        <v>1.5</v>
      </c>
      <c r="U13" s="54">
        <f t="shared" si="0"/>
        <v>6</v>
      </c>
      <c r="V13" s="54">
        <f t="shared" si="0"/>
        <v>6</v>
      </c>
      <c r="W13" s="91">
        <f t="shared" si="2"/>
        <v>45</v>
      </c>
    </row>
    <row r="14" spans="1:23" x14ac:dyDescent="0.2">
      <c r="A14" s="54">
        <v>12</v>
      </c>
      <c r="B14" s="54" t="s">
        <v>73</v>
      </c>
      <c r="C14" s="54">
        <v>2</v>
      </c>
      <c r="D14" s="54">
        <v>2</v>
      </c>
      <c r="E14" s="54">
        <v>2</v>
      </c>
      <c r="F14" s="54">
        <v>2</v>
      </c>
      <c r="G14" s="54">
        <v>3</v>
      </c>
      <c r="H14" s="54">
        <v>4</v>
      </c>
      <c r="I14" s="54">
        <v>2</v>
      </c>
      <c r="J14" s="54">
        <v>3</v>
      </c>
      <c r="K14" s="54">
        <v>4</v>
      </c>
      <c r="L14" s="72">
        <f t="shared" si="1"/>
        <v>24</v>
      </c>
      <c r="M14" s="80"/>
      <c r="N14" s="79">
        <f t="shared" si="0"/>
        <v>3</v>
      </c>
      <c r="O14" s="54">
        <f t="shared" si="0"/>
        <v>3</v>
      </c>
      <c r="P14" s="54">
        <f t="shared" si="0"/>
        <v>3</v>
      </c>
      <c r="Q14" s="54">
        <f t="shared" si="0"/>
        <v>3</v>
      </c>
      <c r="R14" s="54">
        <f t="shared" si="0"/>
        <v>6.5</v>
      </c>
      <c r="S14" s="54">
        <f t="shared" si="0"/>
        <v>8.5</v>
      </c>
      <c r="T14" s="54">
        <f t="shared" si="0"/>
        <v>3</v>
      </c>
      <c r="U14" s="54">
        <f t="shared" si="0"/>
        <v>6.5</v>
      </c>
      <c r="V14" s="54">
        <f t="shared" si="0"/>
        <v>8.5</v>
      </c>
      <c r="W14" s="91">
        <f t="shared" si="2"/>
        <v>45</v>
      </c>
    </row>
    <row r="15" spans="1:23" x14ac:dyDescent="0.2">
      <c r="A15" s="54">
        <v>13</v>
      </c>
      <c r="B15" s="54" t="s">
        <v>74</v>
      </c>
      <c r="C15" s="54">
        <v>1</v>
      </c>
      <c r="D15" s="54">
        <v>2</v>
      </c>
      <c r="E15" s="54">
        <v>3</v>
      </c>
      <c r="F15" s="54">
        <v>2</v>
      </c>
      <c r="G15" s="54">
        <v>3</v>
      </c>
      <c r="H15" s="54">
        <v>3</v>
      </c>
      <c r="I15" s="54">
        <v>4</v>
      </c>
      <c r="J15" s="54">
        <v>3</v>
      </c>
      <c r="K15" s="54">
        <v>2</v>
      </c>
      <c r="L15" s="72">
        <f t="shared" si="1"/>
        <v>23</v>
      </c>
      <c r="M15" s="80"/>
      <c r="N15" s="79">
        <f t="shared" si="0"/>
        <v>1</v>
      </c>
      <c r="O15" s="54">
        <f t="shared" si="0"/>
        <v>3</v>
      </c>
      <c r="P15" s="54">
        <f t="shared" si="0"/>
        <v>6.5</v>
      </c>
      <c r="Q15" s="54">
        <f t="shared" si="0"/>
        <v>3</v>
      </c>
      <c r="R15" s="54">
        <f t="shared" si="0"/>
        <v>6.5</v>
      </c>
      <c r="S15" s="54">
        <f t="shared" si="0"/>
        <v>6.5</v>
      </c>
      <c r="T15" s="54">
        <f t="shared" si="0"/>
        <v>9</v>
      </c>
      <c r="U15" s="54">
        <f t="shared" si="0"/>
        <v>6.5</v>
      </c>
      <c r="V15" s="54">
        <f t="shared" si="0"/>
        <v>3</v>
      </c>
      <c r="W15" s="91">
        <f t="shared" si="2"/>
        <v>45</v>
      </c>
    </row>
    <row r="16" spans="1:23" x14ac:dyDescent="0.2">
      <c r="A16" s="54">
        <v>14</v>
      </c>
      <c r="B16" s="54" t="s">
        <v>75</v>
      </c>
      <c r="C16" s="54">
        <v>3</v>
      </c>
      <c r="D16" s="54">
        <v>4</v>
      </c>
      <c r="E16" s="54">
        <v>2</v>
      </c>
      <c r="F16" s="54">
        <v>2</v>
      </c>
      <c r="G16" s="54">
        <v>4</v>
      </c>
      <c r="H16" s="54">
        <v>2</v>
      </c>
      <c r="I16" s="54">
        <v>2</v>
      </c>
      <c r="J16" s="54">
        <v>4</v>
      </c>
      <c r="K16" s="54">
        <v>3</v>
      </c>
      <c r="L16" s="72">
        <f t="shared" si="1"/>
        <v>26</v>
      </c>
      <c r="M16" s="80"/>
      <c r="N16" s="79">
        <f t="shared" si="0"/>
        <v>5.5</v>
      </c>
      <c r="O16" s="54">
        <f t="shared" si="0"/>
        <v>8</v>
      </c>
      <c r="P16" s="54">
        <f t="shared" si="0"/>
        <v>2.5</v>
      </c>
      <c r="Q16" s="54">
        <f t="shared" si="0"/>
        <v>2.5</v>
      </c>
      <c r="R16" s="54">
        <f t="shared" si="0"/>
        <v>8</v>
      </c>
      <c r="S16" s="54">
        <f t="shared" si="0"/>
        <v>2.5</v>
      </c>
      <c r="T16" s="54">
        <f t="shared" si="0"/>
        <v>2.5</v>
      </c>
      <c r="U16" s="54">
        <f t="shared" si="0"/>
        <v>8</v>
      </c>
      <c r="V16" s="54">
        <f t="shared" si="0"/>
        <v>5.5</v>
      </c>
      <c r="W16" s="91">
        <f t="shared" si="2"/>
        <v>45</v>
      </c>
    </row>
    <row r="17" spans="1:23" x14ac:dyDescent="0.2">
      <c r="A17" s="54">
        <v>15</v>
      </c>
      <c r="B17" s="54" t="s">
        <v>76</v>
      </c>
      <c r="C17" s="54">
        <v>3</v>
      </c>
      <c r="D17" s="54">
        <v>3</v>
      </c>
      <c r="E17" s="54">
        <v>3</v>
      </c>
      <c r="F17" s="54">
        <v>3</v>
      </c>
      <c r="G17" s="54">
        <v>3</v>
      </c>
      <c r="H17" s="54">
        <v>3</v>
      </c>
      <c r="I17" s="54">
        <v>3</v>
      </c>
      <c r="J17" s="54">
        <v>3</v>
      </c>
      <c r="K17" s="54">
        <v>3</v>
      </c>
      <c r="L17" s="72">
        <f t="shared" si="1"/>
        <v>27</v>
      </c>
      <c r="M17" s="80"/>
      <c r="N17" s="79">
        <f t="shared" si="0"/>
        <v>5</v>
      </c>
      <c r="O17" s="54">
        <f t="shared" si="0"/>
        <v>5</v>
      </c>
      <c r="P17" s="54">
        <f t="shared" si="0"/>
        <v>5</v>
      </c>
      <c r="Q17" s="54">
        <f t="shared" si="0"/>
        <v>5</v>
      </c>
      <c r="R17" s="54">
        <f t="shared" si="0"/>
        <v>5</v>
      </c>
      <c r="S17" s="54">
        <f t="shared" si="0"/>
        <v>5</v>
      </c>
      <c r="T17" s="54">
        <f t="shared" si="0"/>
        <v>5</v>
      </c>
      <c r="U17" s="54">
        <f t="shared" si="0"/>
        <v>5</v>
      </c>
      <c r="V17" s="54">
        <f t="shared" si="0"/>
        <v>5</v>
      </c>
      <c r="W17" s="91">
        <f t="shared" si="2"/>
        <v>45</v>
      </c>
    </row>
    <row r="18" spans="1:23" x14ac:dyDescent="0.2">
      <c r="A18" s="54">
        <v>16</v>
      </c>
      <c r="B18" s="54" t="s">
        <v>77</v>
      </c>
      <c r="C18" s="54">
        <v>3</v>
      </c>
      <c r="D18" s="54">
        <v>3</v>
      </c>
      <c r="E18" s="54">
        <v>3</v>
      </c>
      <c r="F18" s="54">
        <v>3</v>
      </c>
      <c r="G18" s="54">
        <v>4</v>
      </c>
      <c r="H18" s="54">
        <v>2</v>
      </c>
      <c r="I18" s="54">
        <v>3</v>
      </c>
      <c r="J18" s="54">
        <v>2</v>
      </c>
      <c r="K18" s="54">
        <v>3</v>
      </c>
      <c r="L18" s="72">
        <f t="shared" si="1"/>
        <v>26</v>
      </c>
      <c r="M18" s="80"/>
      <c r="N18" s="79">
        <f t="shared" si="0"/>
        <v>5.5</v>
      </c>
      <c r="O18" s="54">
        <f t="shared" si="0"/>
        <v>5.5</v>
      </c>
      <c r="P18" s="54">
        <f t="shared" si="0"/>
        <v>5.5</v>
      </c>
      <c r="Q18" s="54">
        <f t="shared" si="0"/>
        <v>5.5</v>
      </c>
      <c r="R18" s="54">
        <f t="shared" si="0"/>
        <v>9</v>
      </c>
      <c r="S18" s="54">
        <f t="shared" si="0"/>
        <v>1.5</v>
      </c>
      <c r="T18" s="54">
        <f t="shared" si="0"/>
        <v>5.5</v>
      </c>
      <c r="U18" s="54">
        <f t="shared" si="0"/>
        <v>1.5</v>
      </c>
      <c r="V18" s="54">
        <f t="shared" si="0"/>
        <v>5.5</v>
      </c>
      <c r="W18" s="91">
        <f t="shared" si="2"/>
        <v>45</v>
      </c>
    </row>
    <row r="19" spans="1:23" x14ac:dyDescent="0.2">
      <c r="A19" s="54">
        <v>17</v>
      </c>
      <c r="B19" s="54" t="s">
        <v>78</v>
      </c>
      <c r="C19" s="54">
        <v>4</v>
      </c>
      <c r="D19" s="54">
        <v>4</v>
      </c>
      <c r="E19" s="54">
        <v>4</v>
      </c>
      <c r="F19" s="54">
        <v>4</v>
      </c>
      <c r="G19" s="54">
        <v>5</v>
      </c>
      <c r="H19" s="54">
        <v>3</v>
      </c>
      <c r="I19" s="54">
        <v>4</v>
      </c>
      <c r="J19" s="54">
        <v>3</v>
      </c>
      <c r="K19" s="54">
        <v>4</v>
      </c>
      <c r="L19" s="72">
        <f t="shared" si="1"/>
        <v>35</v>
      </c>
      <c r="M19" s="80"/>
      <c r="N19" s="79">
        <f t="shared" si="0"/>
        <v>5.5</v>
      </c>
      <c r="O19" s="54">
        <f t="shared" si="0"/>
        <v>5.5</v>
      </c>
      <c r="P19" s="54">
        <f t="shared" si="0"/>
        <v>5.5</v>
      </c>
      <c r="Q19" s="54">
        <f t="shared" si="0"/>
        <v>5.5</v>
      </c>
      <c r="R19" s="54">
        <f t="shared" si="0"/>
        <v>9</v>
      </c>
      <c r="S19" s="54">
        <f t="shared" si="0"/>
        <v>1.5</v>
      </c>
      <c r="T19" s="54">
        <f t="shared" si="0"/>
        <v>5.5</v>
      </c>
      <c r="U19" s="54">
        <f t="shared" si="0"/>
        <v>1.5</v>
      </c>
      <c r="V19" s="54">
        <f t="shared" si="0"/>
        <v>5.5</v>
      </c>
      <c r="W19" s="91">
        <f t="shared" si="2"/>
        <v>45</v>
      </c>
    </row>
    <row r="20" spans="1:23" x14ac:dyDescent="0.2">
      <c r="A20" s="54">
        <v>18</v>
      </c>
      <c r="B20" s="54" t="s">
        <v>79</v>
      </c>
      <c r="C20" s="54">
        <v>2</v>
      </c>
      <c r="D20" s="54">
        <v>2</v>
      </c>
      <c r="E20" s="54">
        <v>2</v>
      </c>
      <c r="F20" s="54">
        <v>2</v>
      </c>
      <c r="G20" s="54">
        <v>2</v>
      </c>
      <c r="H20" s="54">
        <v>2</v>
      </c>
      <c r="I20" s="54">
        <v>2</v>
      </c>
      <c r="J20" s="54">
        <v>2</v>
      </c>
      <c r="K20" s="54">
        <v>2</v>
      </c>
      <c r="L20" s="72">
        <f t="shared" si="1"/>
        <v>18</v>
      </c>
      <c r="M20" s="80"/>
      <c r="N20" s="79">
        <f t="shared" si="0"/>
        <v>5</v>
      </c>
      <c r="O20" s="54">
        <f t="shared" si="0"/>
        <v>5</v>
      </c>
      <c r="P20" s="54">
        <f t="shared" si="0"/>
        <v>5</v>
      </c>
      <c r="Q20" s="54">
        <f t="shared" si="0"/>
        <v>5</v>
      </c>
      <c r="R20" s="54">
        <f t="shared" si="0"/>
        <v>5</v>
      </c>
      <c r="S20" s="54">
        <f t="shared" si="0"/>
        <v>5</v>
      </c>
      <c r="T20" s="54">
        <f t="shared" si="0"/>
        <v>5</v>
      </c>
      <c r="U20" s="54">
        <f t="shared" si="0"/>
        <v>5</v>
      </c>
      <c r="V20" s="54">
        <f t="shared" si="0"/>
        <v>5</v>
      </c>
      <c r="W20" s="91">
        <f t="shared" si="2"/>
        <v>45</v>
      </c>
    </row>
    <row r="21" spans="1:23" x14ac:dyDescent="0.2">
      <c r="A21" s="54">
        <v>19</v>
      </c>
      <c r="B21" s="54" t="s">
        <v>80</v>
      </c>
      <c r="C21" s="54">
        <v>3</v>
      </c>
      <c r="D21" s="54">
        <v>2</v>
      </c>
      <c r="E21" s="54">
        <v>2</v>
      </c>
      <c r="F21" s="54">
        <v>2</v>
      </c>
      <c r="G21" s="54">
        <v>2</v>
      </c>
      <c r="H21" s="54">
        <v>2</v>
      </c>
      <c r="I21" s="54">
        <v>4</v>
      </c>
      <c r="J21" s="54">
        <v>2</v>
      </c>
      <c r="K21" s="54">
        <v>4</v>
      </c>
      <c r="L21" s="72">
        <f t="shared" si="1"/>
        <v>23</v>
      </c>
      <c r="M21" s="80"/>
      <c r="N21" s="79">
        <f t="shared" si="0"/>
        <v>7</v>
      </c>
      <c r="O21" s="54">
        <f t="shared" si="0"/>
        <v>3.5</v>
      </c>
      <c r="P21" s="54">
        <f t="shared" si="0"/>
        <v>3.5</v>
      </c>
      <c r="Q21" s="54">
        <f t="shared" si="0"/>
        <v>3.5</v>
      </c>
      <c r="R21" s="54">
        <f t="shared" si="0"/>
        <v>3.5</v>
      </c>
      <c r="S21" s="54">
        <f t="shared" si="0"/>
        <v>3.5</v>
      </c>
      <c r="T21" s="54">
        <f t="shared" si="0"/>
        <v>8.5</v>
      </c>
      <c r="U21" s="54">
        <f t="shared" si="0"/>
        <v>3.5</v>
      </c>
      <c r="V21" s="54">
        <f t="shared" si="0"/>
        <v>8.5</v>
      </c>
      <c r="W21" s="91">
        <f t="shared" si="2"/>
        <v>45</v>
      </c>
    </row>
    <row r="22" spans="1:23" x14ac:dyDescent="0.2">
      <c r="A22" s="54">
        <v>20</v>
      </c>
      <c r="B22" s="54" t="s">
        <v>81</v>
      </c>
      <c r="C22" s="54">
        <v>2</v>
      </c>
      <c r="D22" s="54">
        <v>3</v>
      </c>
      <c r="E22" s="54">
        <v>3</v>
      </c>
      <c r="F22" s="54">
        <v>4</v>
      </c>
      <c r="G22" s="54">
        <v>4</v>
      </c>
      <c r="H22" s="54">
        <v>2</v>
      </c>
      <c r="I22" s="54">
        <v>3</v>
      </c>
      <c r="J22" s="54">
        <v>3</v>
      </c>
      <c r="K22" s="54">
        <v>4</v>
      </c>
      <c r="L22" s="72">
        <f t="shared" si="1"/>
        <v>28</v>
      </c>
      <c r="M22" s="80"/>
      <c r="N22" s="79">
        <f t="shared" si="0"/>
        <v>1.5</v>
      </c>
      <c r="O22" s="54">
        <f t="shared" si="0"/>
        <v>4.5</v>
      </c>
      <c r="P22" s="54">
        <f t="shared" si="0"/>
        <v>4.5</v>
      </c>
      <c r="Q22" s="54">
        <f t="shared" si="0"/>
        <v>8</v>
      </c>
      <c r="R22" s="54">
        <f t="shared" si="0"/>
        <v>8</v>
      </c>
      <c r="S22" s="54">
        <f t="shared" si="0"/>
        <v>1.5</v>
      </c>
      <c r="T22" s="54">
        <f t="shared" si="0"/>
        <v>4.5</v>
      </c>
      <c r="U22" s="54">
        <f t="shared" si="0"/>
        <v>4.5</v>
      </c>
      <c r="V22" s="54">
        <f t="shared" si="0"/>
        <v>8</v>
      </c>
      <c r="W22" s="91">
        <f t="shared" si="2"/>
        <v>45</v>
      </c>
    </row>
    <row r="23" spans="1:23" x14ac:dyDescent="0.2">
      <c r="A23" s="54">
        <v>21</v>
      </c>
      <c r="B23" s="54" t="s">
        <v>82</v>
      </c>
      <c r="C23" s="54">
        <v>4</v>
      </c>
      <c r="D23" s="54">
        <v>4</v>
      </c>
      <c r="E23" s="54">
        <v>4</v>
      </c>
      <c r="F23" s="54">
        <v>4</v>
      </c>
      <c r="G23" s="54">
        <v>4</v>
      </c>
      <c r="H23" s="54">
        <v>4</v>
      </c>
      <c r="I23" s="54">
        <v>4</v>
      </c>
      <c r="J23" s="54">
        <v>4</v>
      </c>
      <c r="K23" s="54">
        <v>4</v>
      </c>
      <c r="L23" s="72">
        <f t="shared" si="1"/>
        <v>36</v>
      </c>
      <c r="M23" s="80"/>
      <c r="N23" s="79">
        <f t="shared" si="0"/>
        <v>5</v>
      </c>
      <c r="O23" s="54">
        <f t="shared" si="0"/>
        <v>5</v>
      </c>
      <c r="P23" s="54">
        <f t="shared" si="0"/>
        <v>5</v>
      </c>
      <c r="Q23" s="54">
        <f t="shared" si="0"/>
        <v>5</v>
      </c>
      <c r="R23" s="54">
        <f t="shared" si="0"/>
        <v>5</v>
      </c>
      <c r="S23" s="54">
        <f t="shared" si="0"/>
        <v>5</v>
      </c>
      <c r="T23" s="54">
        <f t="shared" si="0"/>
        <v>5</v>
      </c>
      <c r="U23" s="54">
        <f t="shared" si="0"/>
        <v>5</v>
      </c>
      <c r="V23" s="54">
        <f t="shared" si="0"/>
        <v>5</v>
      </c>
      <c r="W23" s="91">
        <f t="shared" si="2"/>
        <v>45</v>
      </c>
    </row>
    <row r="24" spans="1:23" x14ac:dyDescent="0.2">
      <c r="A24" s="54">
        <v>22</v>
      </c>
      <c r="B24" s="54" t="s">
        <v>83</v>
      </c>
      <c r="C24" s="54">
        <v>2</v>
      </c>
      <c r="D24" s="54">
        <v>2</v>
      </c>
      <c r="E24" s="54">
        <v>2</v>
      </c>
      <c r="F24" s="54">
        <v>4</v>
      </c>
      <c r="G24" s="54">
        <v>2</v>
      </c>
      <c r="H24" s="54">
        <v>2</v>
      </c>
      <c r="I24" s="54">
        <v>2</v>
      </c>
      <c r="J24" s="54">
        <v>2</v>
      </c>
      <c r="K24" s="54">
        <v>2</v>
      </c>
      <c r="L24" s="72">
        <f t="shared" si="1"/>
        <v>20</v>
      </c>
      <c r="M24" s="80"/>
      <c r="N24" s="79">
        <f t="shared" si="0"/>
        <v>4.5</v>
      </c>
      <c r="O24" s="54">
        <f t="shared" si="0"/>
        <v>4.5</v>
      </c>
      <c r="P24" s="54">
        <f t="shared" si="0"/>
        <v>4.5</v>
      </c>
      <c r="Q24" s="54">
        <f t="shared" si="0"/>
        <v>9</v>
      </c>
      <c r="R24" s="54">
        <f t="shared" si="0"/>
        <v>4.5</v>
      </c>
      <c r="S24" s="54">
        <f t="shared" si="0"/>
        <v>4.5</v>
      </c>
      <c r="T24" s="54">
        <f t="shared" si="0"/>
        <v>4.5</v>
      </c>
      <c r="U24" s="54">
        <f t="shared" si="0"/>
        <v>4.5</v>
      </c>
      <c r="V24" s="54">
        <f t="shared" si="0"/>
        <v>4.5</v>
      </c>
      <c r="W24" s="91">
        <f t="shared" si="2"/>
        <v>45</v>
      </c>
    </row>
    <row r="25" spans="1:23" x14ac:dyDescent="0.2">
      <c r="A25" s="54">
        <v>23</v>
      </c>
      <c r="B25" s="54" t="s">
        <v>84</v>
      </c>
      <c r="C25" s="54">
        <v>2</v>
      </c>
      <c r="D25" s="54">
        <v>2</v>
      </c>
      <c r="E25" s="54">
        <v>2</v>
      </c>
      <c r="F25" s="54">
        <v>2</v>
      </c>
      <c r="G25" s="54">
        <v>2</v>
      </c>
      <c r="H25" s="54">
        <v>2</v>
      </c>
      <c r="I25" s="54">
        <v>2</v>
      </c>
      <c r="J25" s="54">
        <v>2</v>
      </c>
      <c r="K25" s="54">
        <v>2</v>
      </c>
      <c r="L25" s="72">
        <f t="shared" si="1"/>
        <v>18</v>
      </c>
      <c r="M25" s="80"/>
      <c r="N25" s="79">
        <f t="shared" si="0"/>
        <v>5</v>
      </c>
      <c r="O25" s="54">
        <f t="shared" si="0"/>
        <v>5</v>
      </c>
      <c r="P25" s="54">
        <f t="shared" si="0"/>
        <v>5</v>
      </c>
      <c r="Q25" s="54">
        <f t="shared" si="0"/>
        <v>5</v>
      </c>
      <c r="R25" s="54">
        <f t="shared" si="0"/>
        <v>5</v>
      </c>
      <c r="S25" s="54">
        <f t="shared" si="0"/>
        <v>5</v>
      </c>
      <c r="T25" s="54">
        <f t="shared" si="0"/>
        <v>5</v>
      </c>
      <c r="U25" s="54">
        <f t="shared" si="0"/>
        <v>5</v>
      </c>
      <c r="V25" s="54">
        <f t="shared" si="0"/>
        <v>5</v>
      </c>
      <c r="W25" s="91">
        <f t="shared" si="2"/>
        <v>45</v>
      </c>
    </row>
    <row r="26" spans="1:23" x14ac:dyDescent="0.2">
      <c r="A26" s="54">
        <v>24</v>
      </c>
      <c r="B26" s="54" t="s">
        <v>85</v>
      </c>
      <c r="C26" s="54">
        <v>4</v>
      </c>
      <c r="D26" s="54">
        <v>4</v>
      </c>
      <c r="E26" s="54">
        <v>4</v>
      </c>
      <c r="F26" s="54">
        <v>3</v>
      </c>
      <c r="G26" s="54">
        <v>3</v>
      </c>
      <c r="H26" s="54">
        <v>3</v>
      </c>
      <c r="I26" s="54">
        <v>4</v>
      </c>
      <c r="J26" s="54">
        <v>3</v>
      </c>
      <c r="K26" s="54">
        <v>5</v>
      </c>
      <c r="L26" s="72">
        <f t="shared" si="1"/>
        <v>33</v>
      </c>
      <c r="M26" s="80"/>
      <c r="N26" s="79">
        <f t="shared" si="0"/>
        <v>6.5</v>
      </c>
      <c r="O26" s="54">
        <f t="shared" si="0"/>
        <v>6.5</v>
      </c>
      <c r="P26" s="54">
        <f t="shared" si="0"/>
        <v>6.5</v>
      </c>
      <c r="Q26" s="54">
        <f t="shared" si="0"/>
        <v>2.5</v>
      </c>
      <c r="R26" s="54">
        <f t="shared" si="0"/>
        <v>2.5</v>
      </c>
      <c r="S26" s="54">
        <f t="shared" si="0"/>
        <v>2.5</v>
      </c>
      <c r="T26" s="54">
        <f t="shared" si="0"/>
        <v>6.5</v>
      </c>
      <c r="U26" s="54">
        <f t="shared" si="0"/>
        <v>2.5</v>
      </c>
      <c r="V26" s="54">
        <f t="shared" si="0"/>
        <v>9</v>
      </c>
      <c r="W26" s="91">
        <f t="shared" si="2"/>
        <v>45</v>
      </c>
    </row>
    <row r="27" spans="1:23" x14ac:dyDescent="0.2">
      <c r="A27" s="54">
        <v>25</v>
      </c>
      <c r="B27" s="54" t="s">
        <v>86</v>
      </c>
      <c r="C27" s="54">
        <v>3</v>
      </c>
      <c r="D27" s="54">
        <v>4</v>
      </c>
      <c r="E27" s="54">
        <v>4</v>
      </c>
      <c r="F27" s="54">
        <v>4</v>
      </c>
      <c r="G27" s="54">
        <v>4</v>
      </c>
      <c r="H27" s="54">
        <v>2</v>
      </c>
      <c r="I27" s="54">
        <v>4</v>
      </c>
      <c r="J27" s="54">
        <v>2</v>
      </c>
      <c r="K27" s="54">
        <v>2</v>
      </c>
      <c r="L27" s="72">
        <f t="shared" si="1"/>
        <v>29</v>
      </c>
      <c r="M27" s="80"/>
      <c r="N27" s="79">
        <f t="shared" si="0"/>
        <v>4</v>
      </c>
      <c r="O27" s="54">
        <f t="shared" si="0"/>
        <v>7</v>
      </c>
      <c r="P27" s="54">
        <f t="shared" si="0"/>
        <v>7</v>
      </c>
      <c r="Q27" s="54">
        <f t="shared" si="0"/>
        <v>7</v>
      </c>
      <c r="R27" s="54">
        <f t="shared" si="0"/>
        <v>7</v>
      </c>
      <c r="S27" s="54">
        <f t="shared" si="0"/>
        <v>2</v>
      </c>
      <c r="T27" s="54">
        <f t="shared" si="0"/>
        <v>7</v>
      </c>
      <c r="U27" s="54">
        <f t="shared" si="0"/>
        <v>2</v>
      </c>
      <c r="V27" s="54">
        <f t="shared" si="0"/>
        <v>2</v>
      </c>
      <c r="W27" s="91">
        <f t="shared" si="2"/>
        <v>45</v>
      </c>
    </row>
    <row r="28" spans="1:23" x14ac:dyDescent="0.2">
      <c r="A28" s="54">
        <v>26</v>
      </c>
      <c r="B28" s="54" t="s">
        <v>87</v>
      </c>
      <c r="C28" s="54">
        <v>4</v>
      </c>
      <c r="D28" s="54">
        <v>4</v>
      </c>
      <c r="E28" s="54">
        <v>4</v>
      </c>
      <c r="F28" s="54">
        <v>4</v>
      </c>
      <c r="G28" s="54">
        <v>2</v>
      </c>
      <c r="H28" s="54">
        <v>4</v>
      </c>
      <c r="I28" s="54">
        <v>4</v>
      </c>
      <c r="J28" s="54">
        <v>4</v>
      </c>
      <c r="K28" s="54">
        <v>2</v>
      </c>
      <c r="L28" s="72">
        <f t="shared" si="1"/>
        <v>32</v>
      </c>
      <c r="M28" s="80"/>
      <c r="N28" s="79">
        <f t="shared" si="0"/>
        <v>6</v>
      </c>
      <c r="O28" s="54">
        <f t="shared" si="0"/>
        <v>6</v>
      </c>
      <c r="P28" s="54">
        <f t="shared" si="0"/>
        <v>6</v>
      </c>
      <c r="Q28" s="54">
        <f t="shared" si="0"/>
        <v>6</v>
      </c>
      <c r="R28" s="54">
        <f t="shared" si="0"/>
        <v>1.5</v>
      </c>
      <c r="S28" s="54">
        <f t="shared" si="0"/>
        <v>6</v>
      </c>
      <c r="T28" s="54">
        <f t="shared" si="0"/>
        <v>6</v>
      </c>
      <c r="U28" s="54">
        <f t="shared" si="0"/>
        <v>6</v>
      </c>
      <c r="V28" s="54">
        <f t="shared" si="0"/>
        <v>1.5</v>
      </c>
      <c r="W28" s="91">
        <f t="shared" si="2"/>
        <v>45</v>
      </c>
    </row>
    <row r="29" spans="1:23" x14ac:dyDescent="0.2">
      <c r="A29" s="54">
        <v>27</v>
      </c>
      <c r="B29" s="54" t="s">
        <v>88</v>
      </c>
      <c r="C29" s="54">
        <v>2</v>
      </c>
      <c r="D29" s="54">
        <v>4</v>
      </c>
      <c r="E29" s="54">
        <v>2</v>
      </c>
      <c r="F29" s="54">
        <v>4</v>
      </c>
      <c r="G29" s="54">
        <v>4</v>
      </c>
      <c r="H29" s="54">
        <v>2</v>
      </c>
      <c r="I29" s="54">
        <v>4</v>
      </c>
      <c r="J29" s="54">
        <v>4</v>
      </c>
      <c r="K29" s="54">
        <v>4</v>
      </c>
      <c r="L29" s="72">
        <f t="shared" si="1"/>
        <v>30</v>
      </c>
      <c r="M29" s="80"/>
      <c r="N29" s="79">
        <f t="shared" si="0"/>
        <v>2</v>
      </c>
      <c r="O29" s="54">
        <f t="shared" si="0"/>
        <v>6.5</v>
      </c>
      <c r="P29" s="54">
        <f t="shared" si="0"/>
        <v>2</v>
      </c>
      <c r="Q29" s="54">
        <f t="shared" si="0"/>
        <v>6.5</v>
      </c>
      <c r="R29" s="54">
        <f t="shared" si="0"/>
        <v>6.5</v>
      </c>
      <c r="S29" s="54">
        <f t="shared" si="0"/>
        <v>2</v>
      </c>
      <c r="T29" s="54">
        <f t="shared" si="0"/>
        <v>6.5</v>
      </c>
      <c r="U29" s="54">
        <f t="shared" si="0"/>
        <v>6.5</v>
      </c>
      <c r="V29" s="54">
        <f t="shared" si="0"/>
        <v>6.5</v>
      </c>
      <c r="W29" s="91">
        <f t="shared" si="2"/>
        <v>45</v>
      </c>
    </row>
    <row r="30" spans="1:23" x14ac:dyDescent="0.2">
      <c r="A30" s="54">
        <v>28</v>
      </c>
      <c r="B30" s="54" t="s">
        <v>89</v>
      </c>
      <c r="C30" s="54">
        <v>2</v>
      </c>
      <c r="D30" s="54">
        <v>2</v>
      </c>
      <c r="E30" s="54">
        <v>2</v>
      </c>
      <c r="F30" s="54">
        <v>1</v>
      </c>
      <c r="G30" s="54">
        <v>1</v>
      </c>
      <c r="H30" s="54">
        <v>1</v>
      </c>
      <c r="I30" s="54">
        <v>1</v>
      </c>
      <c r="J30" s="54">
        <v>1</v>
      </c>
      <c r="K30" s="54">
        <v>1</v>
      </c>
      <c r="L30" s="72">
        <f t="shared" si="1"/>
        <v>12</v>
      </c>
      <c r="M30" s="80"/>
      <c r="N30" s="79">
        <f t="shared" si="0"/>
        <v>8</v>
      </c>
      <c r="O30" s="54">
        <f t="shared" si="0"/>
        <v>8</v>
      </c>
      <c r="P30" s="54">
        <f t="shared" si="0"/>
        <v>8</v>
      </c>
      <c r="Q30" s="54">
        <f t="shared" si="0"/>
        <v>3.5</v>
      </c>
      <c r="R30" s="54">
        <f t="shared" si="0"/>
        <v>3.5</v>
      </c>
      <c r="S30" s="54">
        <f t="shared" si="0"/>
        <v>3.5</v>
      </c>
      <c r="T30" s="54">
        <f t="shared" si="0"/>
        <v>3.5</v>
      </c>
      <c r="U30" s="54">
        <f t="shared" si="0"/>
        <v>3.5</v>
      </c>
      <c r="V30" s="54">
        <f t="shared" si="0"/>
        <v>3.5</v>
      </c>
      <c r="W30" s="91">
        <f t="shared" si="2"/>
        <v>45</v>
      </c>
    </row>
    <row r="31" spans="1:23" x14ac:dyDescent="0.2">
      <c r="A31" s="54">
        <v>29</v>
      </c>
      <c r="B31" s="54" t="s">
        <v>90</v>
      </c>
      <c r="C31" s="54">
        <v>1</v>
      </c>
      <c r="D31" s="54">
        <v>1</v>
      </c>
      <c r="E31" s="54">
        <v>2</v>
      </c>
      <c r="F31" s="54">
        <v>2</v>
      </c>
      <c r="G31" s="54">
        <v>2</v>
      </c>
      <c r="H31" s="54">
        <v>2</v>
      </c>
      <c r="I31" s="54">
        <v>1</v>
      </c>
      <c r="J31" s="54">
        <v>1</v>
      </c>
      <c r="K31" s="54">
        <v>1</v>
      </c>
      <c r="L31" s="72">
        <f t="shared" si="1"/>
        <v>13</v>
      </c>
      <c r="M31" s="80"/>
      <c r="N31" s="79">
        <f t="shared" si="0"/>
        <v>3</v>
      </c>
      <c r="O31" s="54">
        <f t="shared" si="0"/>
        <v>3</v>
      </c>
      <c r="P31" s="54">
        <f t="shared" si="0"/>
        <v>7.5</v>
      </c>
      <c r="Q31" s="54">
        <f t="shared" ref="Q31:V32" si="3">_xlfn.RANK.AVG(F31,$C31:$K31,1)</f>
        <v>7.5</v>
      </c>
      <c r="R31" s="54">
        <f t="shared" si="3"/>
        <v>7.5</v>
      </c>
      <c r="S31" s="54">
        <f t="shared" si="3"/>
        <v>7.5</v>
      </c>
      <c r="T31" s="54">
        <f t="shared" si="3"/>
        <v>3</v>
      </c>
      <c r="U31" s="54">
        <f t="shared" si="3"/>
        <v>3</v>
      </c>
      <c r="V31" s="54">
        <f t="shared" si="3"/>
        <v>3</v>
      </c>
      <c r="W31" s="91">
        <f t="shared" si="2"/>
        <v>45</v>
      </c>
    </row>
    <row r="32" spans="1:23" x14ac:dyDescent="0.2">
      <c r="A32" s="54">
        <v>30</v>
      </c>
      <c r="B32" s="54" t="s">
        <v>91</v>
      </c>
      <c r="C32" s="54">
        <v>3</v>
      </c>
      <c r="D32" s="54">
        <v>3</v>
      </c>
      <c r="E32" s="54">
        <v>2</v>
      </c>
      <c r="F32" s="54">
        <v>2</v>
      </c>
      <c r="G32" s="54">
        <v>3</v>
      </c>
      <c r="H32" s="54">
        <v>3</v>
      </c>
      <c r="I32" s="54">
        <v>3</v>
      </c>
      <c r="J32" s="54">
        <v>3</v>
      </c>
      <c r="K32" s="54">
        <v>3</v>
      </c>
      <c r="L32" s="72">
        <f t="shared" si="1"/>
        <v>25</v>
      </c>
      <c r="M32" s="80"/>
      <c r="N32" s="79">
        <f t="shared" ref="N32:P32" si="4">_xlfn.RANK.AVG(C32,$C32:$K32,1)</f>
        <v>6</v>
      </c>
      <c r="O32" s="54">
        <f t="shared" si="4"/>
        <v>6</v>
      </c>
      <c r="P32" s="54">
        <f t="shared" si="4"/>
        <v>1.5</v>
      </c>
      <c r="Q32" s="54">
        <f t="shared" si="3"/>
        <v>1.5</v>
      </c>
      <c r="R32" s="54">
        <f t="shared" si="3"/>
        <v>6</v>
      </c>
      <c r="S32" s="54">
        <f t="shared" si="3"/>
        <v>6</v>
      </c>
      <c r="T32" s="54">
        <f t="shared" si="3"/>
        <v>6</v>
      </c>
      <c r="U32" s="54">
        <f t="shared" si="3"/>
        <v>6</v>
      </c>
      <c r="V32" s="54">
        <f t="shared" si="3"/>
        <v>6</v>
      </c>
      <c r="W32" s="91">
        <f t="shared" si="2"/>
        <v>45</v>
      </c>
    </row>
    <row r="33" spans="2:22" x14ac:dyDescent="0.2">
      <c r="B33" s="54" t="s">
        <v>19</v>
      </c>
      <c r="C33" s="54">
        <f>SUM(C3:C32)</f>
        <v>82</v>
      </c>
      <c r="D33" s="54">
        <f t="shared" ref="D33:K33" si="5">SUM(D3:D32)</f>
        <v>89</v>
      </c>
      <c r="E33" s="54">
        <f t="shared" si="5"/>
        <v>83</v>
      </c>
      <c r="F33" s="86">
        <f t="shared" si="5"/>
        <v>92</v>
      </c>
      <c r="G33" s="54">
        <f t="shared" si="5"/>
        <v>87</v>
      </c>
      <c r="H33" s="54">
        <f t="shared" si="5"/>
        <v>82</v>
      </c>
      <c r="I33" s="54">
        <f t="shared" si="5"/>
        <v>87</v>
      </c>
      <c r="J33" s="54">
        <f t="shared" si="5"/>
        <v>86</v>
      </c>
      <c r="K33" s="54">
        <f t="shared" si="5"/>
        <v>96</v>
      </c>
      <c r="L33" s="72"/>
      <c r="M33" s="80"/>
      <c r="N33" s="79">
        <f>SUM(N3:N32)</f>
        <v>136.5</v>
      </c>
      <c r="O33" s="54">
        <f t="shared" ref="O33:V33" si="6">SUM(O3:O32)</f>
        <v>156</v>
      </c>
      <c r="P33" s="54">
        <f t="shared" si="6"/>
        <v>148</v>
      </c>
      <c r="Q33" s="54">
        <f>SUM(Q3:Q32)</f>
        <v>163</v>
      </c>
      <c r="R33" s="54">
        <f t="shared" si="6"/>
        <v>155.5</v>
      </c>
      <c r="S33" s="54">
        <f t="shared" si="6"/>
        <v>131</v>
      </c>
      <c r="T33" s="54">
        <f t="shared" si="6"/>
        <v>140.5</v>
      </c>
      <c r="U33" s="54">
        <f t="shared" si="6"/>
        <v>144</v>
      </c>
      <c r="V33" s="54">
        <f t="shared" si="6"/>
        <v>175.5</v>
      </c>
    </row>
    <row r="34" spans="2:22" x14ac:dyDescent="0.2">
      <c r="B34" s="54" t="s">
        <v>93</v>
      </c>
      <c r="C34" s="54">
        <f>AVERAGE(C3:C32)</f>
        <v>2.7333333333333334</v>
      </c>
      <c r="D34" s="54">
        <f t="shared" ref="D34:K34" si="7">AVERAGE(D3:D32)</f>
        <v>2.9666666666666668</v>
      </c>
      <c r="E34" s="54">
        <f t="shared" si="7"/>
        <v>2.7666666666666666</v>
      </c>
      <c r="F34" s="54">
        <f t="shared" si="7"/>
        <v>3.0666666666666669</v>
      </c>
      <c r="G34" s="54">
        <f t="shared" si="7"/>
        <v>2.9</v>
      </c>
      <c r="H34" s="54">
        <f t="shared" si="7"/>
        <v>2.7333333333333334</v>
      </c>
      <c r="I34" s="54">
        <f t="shared" si="7"/>
        <v>2.9</v>
      </c>
      <c r="J34" s="54">
        <f t="shared" si="7"/>
        <v>2.8666666666666667</v>
      </c>
      <c r="K34" s="54">
        <f t="shared" si="7"/>
        <v>3.2</v>
      </c>
      <c r="L34" s="72"/>
      <c r="M34" s="80"/>
      <c r="N34" s="79">
        <f>AVERAGE(N3:N32)</f>
        <v>4.55</v>
      </c>
      <c r="O34" s="79">
        <f t="shared" ref="O34:V34" si="8">AVERAGE(O3:O32)</f>
        <v>5.2</v>
      </c>
      <c r="P34" s="79">
        <f t="shared" si="8"/>
        <v>4.9333333333333336</v>
      </c>
      <c r="Q34" s="79">
        <f t="shared" si="8"/>
        <v>5.4333333333333336</v>
      </c>
      <c r="R34" s="79">
        <f t="shared" si="8"/>
        <v>5.1833333333333336</v>
      </c>
      <c r="S34" s="79">
        <f t="shared" si="8"/>
        <v>4.3666666666666663</v>
      </c>
      <c r="T34" s="79">
        <f t="shared" si="8"/>
        <v>4.6833333333333336</v>
      </c>
      <c r="U34" s="79">
        <f t="shared" si="8"/>
        <v>4.8</v>
      </c>
      <c r="V34" s="79">
        <f t="shared" si="8"/>
        <v>5.85</v>
      </c>
    </row>
    <row r="35" spans="2:22" x14ac:dyDescent="0.2">
      <c r="C35" s="51">
        <f>STDEV(C3:C32)</f>
        <v>0.86834497091060958</v>
      </c>
      <c r="D35" s="51">
        <f t="shared" ref="D35:K35" si="9">STDEV(D3:D32)</f>
        <v>0.99942512211402945</v>
      </c>
      <c r="E35" s="51">
        <f t="shared" si="9"/>
        <v>0.89763418297031328</v>
      </c>
      <c r="F35" s="51">
        <f t="shared" si="9"/>
        <v>1.0148325268098499</v>
      </c>
      <c r="G35" s="51">
        <f t="shared" si="9"/>
        <v>0.92288901712558813</v>
      </c>
      <c r="H35" s="51">
        <f t="shared" si="9"/>
        <v>0.9444331755018488</v>
      </c>
      <c r="I35" s="51">
        <f t="shared" si="9"/>
        <v>0.99481413963302345</v>
      </c>
      <c r="J35" s="51">
        <f t="shared" si="9"/>
        <v>1.0080138659874618</v>
      </c>
      <c r="K35" s="51">
        <f t="shared" si="9"/>
        <v>1.1861267013789625</v>
      </c>
      <c r="L35" s="72"/>
      <c r="M35" s="80"/>
      <c r="N35" s="51">
        <f>STDEV(N3:N32)</f>
        <v>1.7288126282070808</v>
      </c>
      <c r="O35" s="51">
        <f t="shared" ref="O35:V35" si="10">STDEV(O3:O32)</f>
        <v>1.5569643319724704</v>
      </c>
      <c r="P35" s="51">
        <f t="shared" si="10"/>
        <v>1.7846729311737677</v>
      </c>
      <c r="Q35" s="51">
        <f t="shared" si="10"/>
        <v>1.8464006613676378</v>
      </c>
      <c r="R35" s="51">
        <f t="shared" si="10"/>
        <v>2.0781429596925087</v>
      </c>
      <c r="S35" s="51">
        <f t="shared" si="10"/>
        <v>2.0800088417141875</v>
      </c>
      <c r="T35" s="51">
        <f t="shared" si="10"/>
        <v>1.9274931608328658</v>
      </c>
      <c r="U35" s="51">
        <f t="shared" si="10"/>
        <v>1.9809436970884562</v>
      </c>
      <c r="V35" s="51">
        <f t="shared" si="10"/>
        <v>2.047496368570735</v>
      </c>
    </row>
    <row r="37" spans="2:22" x14ac:dyDescent="0.2">
      <c r="C37" s="53">
        <v>2.7333333333333334</v>
      </c>
      <c r="D37" s="51">
        <v>136.5</v>
      </c>
    </row>
    <row r="38" spans="2:22" x14ac:dyDescent="0.2">
      <c r="C38" s="53">
        <v>2.9666666666666668</v>
      </c>
      <c r="D38" s="51">
        <v>156</v>
      </c>
      <c r="Q38" s="43" t="s">
        <v>194</v>
      </c>
      <c r="R38" s="44">
        <f>(12/((30*9)*(9+1))*SUMSQ(N33:V33)-(3*30)*(9+1))</f>
        <v>6.9288888888888778</v>
      </c>
    </row>
    <row r="39" spans="2:22" x14ac:dyDescent="0.2">
      <c r="C39" s="53">
        <v>2.7666666666666666</v>
      </c>
      <c r="D39" s="51">
        <v>148</v>
      </c>
      <c r="Q39" s="43" t="s">
        <v>195</v>
      </c>
      <c r="R39" s="92">
        <v>15507</v>
      </c>
    </row>
    <row r="40" spans="2:22" x14ac:dyDescent="0.2">
      <c r="C40" s="53">
        <v>3.0666666666666669</v>
      </c>
      <c r="D40" s="51">
        <v>163</v>
      </c>
      <c r="Q40" s="45" t="s">
        <v>196</v>
      </c>
      <c r="R40" s="45" t="s">
        <v>197</v>
      </c>
      <c r="S40" s="33" t="s">
        <v>208</v>
      </c>
    </row>
    <row r="41" spans="2:22" x14ac:dyDescent="0.2">
      <c r="C41" s="53">
        <v>2.9</v>
      </c>
      <c r="D41" s="51">
        <v>155.5</v>
      </c>
    </row>
    <row r="42" spans="2:22" x14ac:dyDescent="0.2">
      <c r="C42" s="53">
        <v>2.7333333333333334</v>
      </c>
      <c r="D42" s="51">
        <v>131</v>
      </c>
    </row>
    <row r="43" spans="2:22" x14ac:dyDescent="0.2">
      <c r="C43" s="53">
        <v>2.9</v>
      </c>
      <c r="D43" s="51">
        <v>140.5</v>
      </c>
      <c r="N43" s="162" t="s">
        <v>200</v>
      </c>
      <c r="O43" s="163"/>
      <c r="P43" s="163"/>
      <c r="Q43" s="163"/>
      <c r="R43" s="163"/>
      <c r="S43" s="34" t="s">
        <v>201</v>
      </c>
      <c r="T43" s="164" t="s">
        <v>202</v>
      </c>
      <c r="U43" s="164"/>
    </row>
    <row r="44" spans="2:22" x14ac:dyDescent="0.2">
      <c r="C44" s="53">
        <v>2.8666666666666667</v>
      </c>
      <c r="D44" s="51">
        <v>144</v>
      </c>
      <c r="N44" s="128" t="s">
        <v>51</v>
      </c>
      <c r="O44" s="128"/>
      <c r="P44" s="128"/>
      <c r="Q44" s="128"/>
      <c r="R44" s="128"/>
      <c r="S44" s="35">
        <v>3.2333333333333334</v>
      </c>
      <c r="T44" s="157">
        <f>N33</f>
        <v>136.5</v>
      </c>
      <c r="U44" s="157"/>
    </row>
    <row r="45" spans="2:22" x14ac:dyDescent="0.2">
      <c r="C45" s="53">
        <v>3.2</v>
      </c>
      <c r="D45" s="51">
        <v>175.5</v>
      </c>
      <c r="N45" s="128" t="s">
        <v>53</v>
      </c>
      <c r="O45" s="128"/>
      <c r="P45" s="128"/>
      <c r="Q45" s="128"/>
      <c r="R45" s="128"/>
      <c r="S45" s="35">
        <v>3.4666666666666668</v>
      </c>
      <c r="T45" s="154">
        <f>O33</f>
        <v>156</v>
      </c>
      <c r="U45" s="154"/>
    </row>
    <row r="46" spans="2:22" x14ac:dyDescent="0.2">
      <c r="N46" s="128" t="s">
        <v>54</v>
      </c>
      <c r="O46" s="128"/>
      <c r="P46" s="128"/>
      <c r="Q46" s="128"/>
      <c r="R46" s="128"/>
      <c r="S46" s="35">
        <v>3.1666666666666665</v>
      </c>
      <c r="T46" s="154">
        <f>P33</f>
        <v>148</v>
      </c>
      <c r="U46" s="154"/>
    </row>
    <row r="47" spans="2:22" x14ac:dyDescent="0.2">
      <c r="N47" s="128" t="s">
        <v>55</v>
      </c>
      <c r="O47" s="128"/>
      <c r="P47" s="128"/>
      <c r="Q47" s="128"/>
      <c r="R47" s="128"/>
      <c r="S47" s="35">
        <v>3.3</v>
      </c>
      <c r="T47" s="154">
        <f>Q33</f>
        <v>163</v>
      </c>
      <c r="U47" s="154"/>
    </row>
    <row r="48" spans="2:22" x14ac:dyDescent="0.2">
      <c r="N48" s="128" t="s">
        <v>52</v>
      </c>
      <c r="O48" s="128"/>
      <c r="P48" s="128"/>
      <c r="Q48" s="128"/>
      <c r="R48" s="128"/>
      <c r="S48" s="35">
        <v>3.4333333333333331</v>
      </c>
      <c r="T48" s="154">
        <f>R33</f>
        <v>155.5</v>
      </c>
      <c r="U48" s="154"/>
    </row>
    <row r="49" spans="14:21" x14ac:dyDescent="0.2">
      <c r="N49" s="128" t="s">
        <v>56</v>
      </c>
      <c r="O49" s="128"/>
      <c r="P49" s="128"/>
      <c r="Q49" s="128"/>
      <c r="R49" s="128"/>
      <c r="S49" s="35">
        <v>3.3333333333333335</v>
      </c>
      <c r="T49" s="154">
        <f>S33</f>
        <v>131</v>
      </c>
      <c r="U49" s="154"/>
    </row>
    <row r="50" spans="14:21" x14ac:dyDescent="0.2">
      <c r="N50" s="128" t="s">
        <v>57</v>
      </c>
      <c r="O50" s="128"/>
      <c r="P50" s="128"/>
      <c r="Q50" s="128"/>
      <c r="R50" s="128"/>
      <c r="S50" s="35">
        <v>3.3333333333333335</v>
      </c>
      <c r="T50" s="154">
        <f>T33</f>
        <v>140.5</v>
      </c>
      <c r="U50" s="154"/>
    </row>
    <row r="51" spans="14:21" x14ac:dyDescent="0.2">
      <c r="N51" s="128" t="s">
        <v>58</v>
      </c>
      <c r="O51" s="128"/>
      <c r="P51" s="128"/>
      <c r="Q51" s="128"/>
      <c r="R51" s="128"/>
      <c r="S51" s="35">
        <v>3.7666666666666666</v>
      </c>
      <c r="T51" s="154">
        <f>U33</f>
        <v>144</v>
      </c>
      <c r="U51" s="154"/>
    </row>
    <row r="52" spans="14:21" x14ac:dyDescent="0.2">
      <c r="N52" s="166" t="s">
        <v>59</v>
      </c>
      <c r="O52" s="166"/>
      <c r="P52" s="166"/>
      <c r="Q52" s="166"/>
      <c r="R52" s="166"/>
      <c r="S52" s="35">
        <v>3.6666666666666665</v>
      </c>
      <c r="T52" s="155">
        <f>V33</f>
        <v>175.5</v>
      </c>
      <c r="U52" s="155"/>
    </row>
    <row r="53" spans="14:21" x14ac:dyDescent="0.2">
      <c r="N53" s="159" t="s">
        <v>203</v>
      </c>
      <c r="O53" s="160"/>
      <c r="P53" s="160"/>
      <c r="Q53" s="160"/>
      <c r="R53" s="160"/>
      <c r="S53" s="36" t="s">
        <v>207</v>
      </c>
      <c r="T53" s="156"/>
      <c r="U53" s="156"/>
    </row>
  </sheetData>
  <mergeCells count="26">
    <mergeCell ref="A1:A2"/>
    <mergeCell ref="B1:B2"/>
    <mergeCell ref="C1:K1"/>
    <mergeCell ref="N1:V1"/>
    <mergeCell ref="N43:R43"/>
    <mergeCell ref="T43:U43"/>
    <mergeCell ref="N44:R44"/>
    <mergeCell ref="T44:U44"/>
    <mergeCell ref="N45:R45"/>
    <mergeCell ref="T45:U45"/>
    <mergeCell ref="N46:R46"/>
    <mergeCell ref="T46:U46"/>
    <mergeCell ref="N47:R47"/>
    <mergeCell ref="T47:U47"/>
    <mergeCell ref="N48:R48"/>
    <mergeCell ref="T48:U48"/>
    <mergeCell ref="N49:R49"/>
    <mergeCell ref="T49:U49"/>
    <mergeCell ref="N53:R53"/>
    <mergeCell ref="T53:U53"/>
    <mergeCell ref="N50:R50"/>
    <mergeCell ref="T50:U50"/>
    <mergeCell ref="N51:R51"/>
    <mergeCell ref="T51:U51"/>
    <mergeCell ref="N52:R52"/>
    <mergeCell ref="T52:U52"/>
  </mergeCells>
  <conditionalFormatting sqref="C3:K32">
    <cfRule type="colorScale" priority="1">
      <colorScale>
        <cfvo type="min"/>
        <cfvo type="max"/>
        <color rgb="FFFCFCFF"/>
        <color rgb="FFF8696B"/>
      </colorScale>
    </cfRule>
  </conditionalFormatting>
  <conditionalFormatting sqref="P43">
    <cfRule type="colorScale" priority="2">
      <colorScale>
        <cfvo type="min"/>
        <cfvo type="max"/>
        <color rgb="FF63BE7B"/>
        <color rgb="FFFCFCFF"/>
      </colorScale>
    </cfRule>
  </conditionalFormatting>
  <pageMargins left="0.7" right="0.7" top="0.75" bottom="0.75" header="0.3" footer="0.3"/>
  <pageSetup paperSize="9" orientation="portrait" horizontalDpi="0" verticalDpi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F8E37-DC9B-0042-835A-BD1A382B26D9}">
  <dimension ref="A1:Z53"/>
  <sheetViews>
    <sheetView topLeftCell="B20" zoomScale="133" workbookViewId="0">
      <selection activeCell="C34" sqref="C34:K34"/>
    </sheetView>
  </sheetViews>
  <sheetFormatPr baseColWidth="10" defaultRowHeight="16" x14ac:dyDescent="0.2"/>
  <cols>
    <col min="1" max="1" width="3.83203125" style="51" bestFit="1" customWidth="1"/>
    <col min="2" max="2" width="18.83203125" style="51" bestFit="1" customWidth="1"/>
    <col min="3" max="11" width="7.33203125" style="51" bestFit="1" customWidth="1"/>
    <col min="12" max="12" width="7.33203125" style="72" customWidth="1"/>
    <col min="13" max="13" width="7.33203125" style="80" customWidth="1"/>
    <col min="14" max="16384" width="10.83203125" style="51"/>
  </cols>
  <sheetData>
    <row r="1" spans="1:26" x14ac:dyDescent="0.2">
      <c r="A1" s="121" t="s">
        <v>62</v>
      </c>
      <c r="B1" s="121" t="s">
        <v>27</v>
      </c>
      <c r="C1" s="121" t="s">
        <v>60</v>
      </c>
      <c r="D1" s="121"/>
      <c r="E1" s="121"/>
      <c r="F1" s="121"/>
      <c r="G1" s="121"/>
      <c r="H1" s="121"/>
      <c r="I1" s="121"/>
      <c r="J1" s="121"/>
      <c r="K1" s="121"/>
      <c r="L1" s="89"/>
      <c r="M1" s="90"/>
      <c r="N1" s="121" t="s">
        <v>182</v>
      </c>
      <c r="O1" s="121"/>
      <c r="P1" s="121"/>
      <c r="Q1" s="121"/>
      <c r="R1" s="121"/>
      <c r="S1" s="121"/>
      <c r="T1" s="121"/>
      <c r="U1" s="121"/>
      <c r="V1" s="121"/>
      <c r="W1" s="65"/>
    </row>
    <row r="2" spans="1:26" x14ac:dyDescent="0.2">
      <c r="A2" s="121"/>
      <c r="B2" s="121"/>
      <c r="C2" s="54" t="s">
        <v>51</v>
      </c>
      <c r="D2" s="54" t="s">
        <v>53</v>
      </c>
      <c r="E2" s="54" t="s">
        <v>54</v>
      </c>
      <c r="F2" s="54" t="s">
        <v>55</v>
      </c>
      <c r="G2" s="54" t="s">
        <v>52</v>
      </c>
      <c r="H2" s="54" t="s">
        <v>56</v>
      </c>
      <c r="I2" s="54" t="s">
        <v>57</v>
      </c>
      <c r="J2" s="54" t="s">
        <v>58</v>
      </c>
      <c r="K2" s="60" t="s">
        <v>59</v>
      </c>
      <c r="N2" s="79" t="s">
        <v>51</v>
      </c>
      <c r="O2" s="54" t="s">
        <v>53</v>
      </c>
      <c r="P2" s="54" t="s">
        <v>54</v>
      </c>
      <c r="Q2" s="54" t="s">
        <v>55</v>
      </c>
      <c r="R2" s="54" t="s">
        <v>52</v>
      </c>
      <c r="S2" s="54" t="s">
        <v>56</v>
      </c>
      <c r="T2" s="54" t="s">
        <v>57</v>
      </c>
      <c r="U2" s="54" t="s">
        <v>58</v>
      </c>
      <c r="V2" s="54" t="s">
        <v>59</v>
      </c>
      <c r="Y2" s="51" t="s">
        <v>183</v>
      </c>
      <c r="Z2" s="51">
        <v>30</v>
      </c>
    </row>
    <row r="3" spans="1:26" x14ac:dyDescent="0.2">
      <c r="A3" s="54">
        <v>1</v>
      </c>
      <c r="B3" s="54" t="s">
        <v>61</v>
      </c>
      <c r="C3" s="54">
        <v>4</v>
      </c>
      <c r="D3" s="54">
        <v>2</v>
      </c>
      <c r="E3" s="54">
        <v>2</v>
      </c>
      <c r="F3" s="54">
        <v>3</v>
      </c>
      <c r="G3" s="54">
        <v>4</v>
      </c>
      <c r="H3" s="54">
        <v>1</v>
      </c>
      <c r="I3" s="54">
        <v>2</v>
      </c>
      <c r="J3" s="54">
        <v>2</v>
      </c>
      <c r="K3" s="60">
        <v>1</v>
      </c>
      <c r="L3" s="72">
        <f>SUM(C3:K3)</f>
        <v>21</v>
      </c>
      <c r="N3" s="79">
        <f t="shared" ref="N3:N32" si="0">_xlfn.RANK.AVG(C3,$C3:$K3,1)</f>
        <v>8.5</v>
      </c>
      <c r="O3" s="54">
        <f t="shared" ref="O3:O32" si="1">_xlfn.RANK.AVG(D3,$C3:$K3,1)</f>
        <v>4.5</v>
      </c>
      <c r="P3" s="54">
        <f t="shared" ref="P3:P32" si="2">_xlfn.RANK.AVG(E3,$C3:$K3,1)</f>
        <v>4.5</v>
      </c>
      <c r="Q3" s="54">
        <f t="shared" ref="Q3:Q32" si="3">_xlfn.RANK.AVG(F3,$C3:$K3,1)</f>
        <v>7</v>
      </c>
      <c r="R3" s="54">
        <f t="shared" ref="R3:R32" si="4">_xlfn.RANK.AVG(G3,$C3:$K3,1)</f>
        <v>8.5</v>
      </c>
      <c r="S3" s="54">
        <f t="shared" ref="S3:S32" si="5">_xlfn.RANK.AVG(H3,$C3:$K3,1)</f>
        <v>1.5</v>
      </c>
      <c r="T3" s="54">
        <f t="shared" ref="T3:T32" si="6">_xlfn.RANK.AVG(I3,$C3:$K3,1)</f>
        <v>4.5</v>
      </c>
      <c r="U3" s="54">
        <f t="shared" ref="U3:U32" si="7">_xlfn.RANK.AVG(J3,$C3:$K3,1)</f>
        <v>4.5</v>
      </c>
      <c r="V3" s="54">
        <f t="shared" ref="V3:V32" si="8">_xlfn.RANK.AVG(K3,$C3:$K3,1)</f>
        <v>1.5</v>
      </c>
      <c r="W3" s="91">
        <f>SUM(N3:V3)</f>
        <v>45</v>
      </c>
      <c r="Y3" s="51" t="s">
        <v>184</v>
      </c>
      <c r="Z3" s="51">
        <v>9</v>
      </c>
    </row>
    <row r="4" spans="1:26" x14ac:dyDescent="0.2">
      <c r="A4" s="54">
        <v>2</v>
      </c>
      <c r="B4" s="54" t="s">
        <v>63</v>
      </c>
      <c r="C4" s="54">
        <v>4</v>
      </c>
      <c r="D4" s="54">
        <v>4</v>
      </c>
      <c r="E4" s="54">
        <v>4</v>
      </c>
      <c r="F4" s="54">
        <v>2</v>
      </c>
      <c r="G4" s="54">
        <v>4</v>
      </c>
      <c r="H4" s="54">
        <v>2</v>
      </c>
      <c r="I4" s="54">
        <v>4</v>
      </c>
      <c r="J4" s="54">
        <v>4</v>
      </c>
      <c r="K4" s="60">
        <v>4</v>
      </c>
      <c r="L4" s="72">
        <f t="shared" ref="L4:L32" si="9">SUM(C4:K4)</f>
        <v>32</v>
      </c>
      <c r="N4" s="79">
        <f t="shared" si="0"/>
        <v>6</v>
      </c>
      <c r="O4" s="54">
        <f t="shared" si="1"/>
        <v>6</v>
      </c>
      <c r="P4" s="54">
        <f t="shared" si="2"/>
        <v>6</v>
      </c>
      <c r="Q4" s="54">
        <f t="shared" si="3"/>
        <v>1.5</v>
      </c>
      <c r="R4" s="54">
        <f t="shared" si="4"/>
        <v>6</v>
      </c>
      <c r="S4" s="54">
        <f t="shared" si="5"/>
        <v>1.5</v>
      </c>
      <c r="T4" s="54">
        <f t="shared" si="6"/>
        <v>6</v>
      </c>
      <c r="U4" s="54">
        <f t="shared" si="7"/>
        <v>6</v>
      </c>
      <c r="V4" s="54">
        <f t="shared" si="8"/>
        <v>6</v>
      </c>
      <c r="W4" s="91">
        <f t="shared" ref="W4:W32" si="10">SUM(N4:V4)</f>
        <v>45</v>
      </c>
    </row>
    <row r="5" spans="1:26" x14ac:dyDescent="0.2">
      <c r="A5" s="54">
        <v>3</v>
      </c>
      <c r="B5" s="54" t="s">
        <v>64</v>
      </c>
      <c r="C5" s="54">
        <v>5</v>
      </c>
      <c r="D5" s="54">
        <v>4</v>
      </c>
      <c r="E5" s="54">
        <v>2</v>
      </c>
      <c r="F5" s="54">
        <v>5</v>
      </c>
      <c r="G5" s="54">
        <v>5</v>
      </c>
      <c r="H5" s="54">
        <v>5</v>
      </c>
      <c r="I5" s="54">
        <v>2</v>
      </c>
      <c r="J5" s="54">
        <v>5</v>
      </c>
      <c r="K5" s="60">
        <v>2</v>
      </c>
      <c r="L5" s="72">
        <f t="shared" si="9"/>
        <v>35</v>
      </c>
      <c r="N5" s="79">
        <f t="shared" si="0"/>
        <v>7</v>
      </c>
      <c r="O5" s="54">
        <f t="shared" si="1"/>
        <v>4</v>
      </c>
      <c r="P5" s="54">
        <f t="shared" si="2"/>
        <v>2</v>
      </c>
      <c r="Q5" s="54">
        <f t="shared" si="3"/>
        <v>7</v>
      </c>
      <c r="R5" s="54">
        <f t="shared" si="4"/>
        <v>7</v>
      </c>
      <c r="S5" s="54">
        <f t="shared" si="5"/>
        <v>7</v>
      </c>
      <c r="T5" s="54">
        <f t="shared" si="6"/>
        <v>2</v>
      </c>
      <c r="U5" s="54">
        <f t="shared" si="7"/>
        <v>7</v>
      </c>
      <c r="V5" s="54">
        <f t="shared" si="8"/>
        <v>2</v>
      </c>
      <c r="W5" s="91">
        <f t="shared" si="10"/>
        <v>45</v>
      </c>
    </row>
    <row r="6" spans="1:26" x14ac:dyDescent="0.2">
      <c r="A6" s="54">
        <v>4</v>
      </c>
      <c r="B6" s="54" t="s">
        <v>65</v>
      </c>
      <c r="C6" s="54">
        <v>4</v>
      </c>
      <c r="D6" s="54">
        <v>4</v>
      </c>
      <c r="E6" s="54">
        <v>2</v>
      </c>
      <c r="F6" s="54">
        <v>2</v>
      </c>
      <c r="G6" s="54">
        <v>2</v>
      </c>
      <c r="H6" s="54">
        <v>4</v>
      </c>
      <c r="I6" s="54">
        <v>4</v>
      </c>
      <c r="J6" s="54">
        <v>4</v>
      </c>
      <c r="K6" s="60">
        <v>4</v>
      </c>
      <c r="L6" s="72">
        <f t="shared" si="9"/>
        <v>30</v>
      </c>
      <c r="N6" s="79">
        <f t="shared" si="0"/>
        <v>6.5</v>
      </c>
      <c r="O6" s="54">
        <f t="shared" si="1"/>
        <v>6.5</v>
      </c>
      <c r="P6" s="54">
        <f t="shared" si="2"/>
        <v>2</v>
      </c>
      <c r="Q6" s="54">
        <f t="shared" si="3"/>
        <v>2</v>
      </c>
      <c r="R6" s="54">
        <f t="shared" si="4"/>
        <v>2</v>
      </c>
      <c r="S6" s="54">
        <f t="shared" si="5"/>
        <v>6.5</v>
      </c>
      <c r="T6" s="54">
        <f t="shared" si="6"/>
        <v>6.5</v>
      </c>
      <c r="U6" s="54">
        <f t="shared" si="7"/>
        <v>6.5</v>
      </c>
      <c r="V6" s="54">
        <f t="shared" si="8"/>
        <v>6.5</v>
      </c>
      <c r="W6" s="91">
        <f t="shared" si="10"/>
        <v>45</v>
      </c>
    </row>
    <row r="7" spans="1:26" x14ac:dyDescent="0.2">
      <c r="A7" s="54">
        <v>5</v>
      </c>
      <c r="B7" s="54" t="s">
        <v>66</v>
      </c>
      <c r="C7" s="54">
        <v>4</v>
      </c>
      <c r="D7" s="54">
        <v>4</v>
      </c>
      <c r="E7" s="54">
        <v>5</v>
      </c>
      <c r="F7" s="54">
        <v>5</v>
      </c>
      <c r="G7" s="54">
        <v>4</v>
      </c>
      <c r="H7" s="54">
        <v>4</v>
      </c>
      <c r="I7" s="54">
        <v>4</v>
      </c>
      <c r="J7" s="54">
        <v>4</v>
      </c>
      <c r="K7" s="60">
        <v>4</v>
      </c>
      <c r="L7" s="72">
        <f t="shared" si="9"/>
        <v>38</v>
      </c>
      <c r="N7" s="79">
        <f t="shared" si="0"/>
        <v>4</v>
      </c>
      <c r="O7" s="54">
        <f t="shared" si="1"/>
        <v>4</v>
      </c>
      <c r="P7" s="54">
        <f t="shared" si="2"/>
        <v>8.5</v>
      </c>
      <c r="Q7" s="54">
        <f t="shared" si="3"/>
        <v>8.5</v>
      </c>
      <c r="R7" s="54">
        <f t="shared" si="4"/>
        <v>4</v>
      </c>
      <c r="S7" s="54">
        <f t="shared" si="5"/>
        <v>4</v>
      </c>
      <c r="T7" s="54">
        <f t="shared" si="6"/>
        <v>4</v>
      </c>
      <c r="U7" s="54">
        <f t="shared" si="7"/>
        <v>4</v>
      </c>
      <c r="V7" s="54">
        <f t="shared" si="8"/>
        <v>4</v>
      </c>
      <c r="W7" s="91">
        <f t="shared" si="10"/>
        <v>45</v>
      </c>
    </row>
    <row r="8" spans="1:26" x14ac:dyDescent="0.2">
      <c r="A8" s="54">
        <v>6</v>
      </c>
      <c r="B8" s="54" t="s">
        <v>67</v>
      </c>
      <c r="C8" s="54">
        <v>3</v>
      </c>
      <c r="D8" s="54">
        <v>4</v>
      </c>
      <c r="E8" s="54">
        <v>3</v>
      </c>
      <c r="F8" s="54">
        <v>3</v>
      </c>
      <c r="G8" s="54">
        <v>3</v>
      </c>
      <c r="H8" s="54">
        <v>2</v>
      </c>
      <c r="I8" s="54">
        <v>3</v>
      </c>
      <c r="J8" s="54">
        <v>4</v>
      </c>
      <c r="K8" s="60">
        <v>3</v>
      </c>
      <c r="L8" s="72">
        <f t="shared" si="9"/>
        <v>28</v>
      </c>
      <c r="N8" s="79">
        <f t="shared" si="0"/>
        <v>4.5</v>
      </c>
      <c r="O8" s="54">
        <f t="shared" si="1"/>
        <v>8.5</v>
      </c>
      <c r="P8" s="54">
        <f t="shared" si="2"/>
        <v>4.5</v>
      </c>
      <c r="Q8" s="54">
        <f t="shared" si="3"/>
        <v>4.5</v>
      </c>
      <c r="R8" s="54">
        <f t="shared" si="4"/>
        <v>4.5</v>
      </c>
      <c r="S8" s="54">
        <f t="shared" si="5"/>
        <v>1</v>
      </c>
      <c r="T8" s="54">
        <f t="shared" si="6"/>
        <v>4.5</v>
      </c>
      <c r="U8" s="54">
        <f t="shared" si="7"/>
        <v>8.5</v>
      </c>
      <c r="V8" s="54">
        <f t="shared" si="8"/>
        <v>4.5</v>
      </c>
      <c r="W8" s="91">
        <f t="shared" si="10"/>
        <v>45</v>
      </c>
    </row>
    <row r="9" spans="1:26" x14ac:dyDescent="0.2">
      <c r="A9" s="54">
        <v>7</v>
      </c>
      <c r="B9" s="54" t="s">
        <v>68</v>
      </c>
      <c r="C9" s="54">
        <v>4</v>
      </c>
      <c r="D9" s="54">
        <v>2</v>
      </c>
      <c r="E9" s="54">
        <v>4</v>
      </c>
      <c r="F9" s="54">
        <v>2</v>
      </c>
      <c r="G9" s="54">
        <v>2</v>
      </c>
      <c r="H9" s="54">
        <v>4</v>
      </c>
      <c r="I9" s="54">
        <v>4</v>
      </c>
      <c r="J9" s="54">
        <v>4</v>
      </c>
      <c r="K9" s="60">
        <v>5</v>
      </c>
      <c r="L9" s="72">
        <f t="shared" si="9"/>
        <v>31</v>
      </c>
      <c r="N9" s="79">
        <f t="shared" si="0"/>
        <v>6</v>
      </c>
      <c r="O9" s="54">
        <f t="shared" si="1"/>
        <v>2</v>
      </c>
      <c r="P9" s="54">
        <f t="shared" si="2"/>
        <v>6</v>
      </c>
      <c r="Q9" s="54">
        <f t="shared" si="3"/>
        <v>2</v>
      </c>
      <c r="R9" s="54">
        <f t="shared" si="4"/>
        <v>2</v>
      </c>
      <c r="S9" s="54">
        <f t="shared" si="5"/>
        <v>6</v>
      </c>
      <c r="T9" s="54">
        <f t="shared" si="6"/>
        <v>6</v>
      </c>
      <c r="U9" s="54">
        <f t="shared" si="7"/>
        <v>6</v>
      </c>
      <c r="V9" s="54">
        <f t="shared" si="8"/>
        <v>9</v>
      </c>
      <c r="W9" s="91">
        <f t="shared" si="10"/>
        <v>45</v>
      </c>
    </row>
    <row r="10" spans="1:26" x14ac:dyDescent="0.2">
      <c r="A10" s="54">
        <v>8</v>
      </c>
      <c r="B10" s="54" t="s">
        <v>69</v>
      </c>
      <c r="C10" s="54">
        <v>4</v>
      </c>
      <c r="D10" s="54">
        <v>4</v>
      </c>
      <c r="E10" s="54">
        <v>4</v>
      </c>
      <c r="F10" s="54">
        <v>4</v>
      </c>
      <c r="G10" s="54">
        <v>4</v>
      </c>
      <c r="H10" s="54">
        <v>4</v>
      </c>
      <c r="I10" s="54">
        <v>4</v>
      </c>
      <c r="J10" s="54">
        <v>4</v>
      </c>
      <c r="K10" s="60">
        <v>4</v>
      </c>
      <c r="L10" s="72">
        <f t="shared" si="9"/>
        <v>36</v>
      </c>
      <c r="N10" s="79">
        <f t="shared" si="0"/>
        <v>5</v>
      </c>
      <c r="O10" s="54">
        <f t="shared" si="1"/>
        <v>5</v>
      </c>
      <c r="P10" s="54">
        <f t="shared" si="2"/>
        <v>5</v>
      </c>
      <c r="Q10" s="54">
        <f t="shared" si="3"/>
        <v>5</v>
      </c>
      <c r="R10" s="54">
        <f t="shared" si="4"/>
        <v>5</v>
      </c>
      <c r="S10" s="54">
        <f t="shared" si="5"/>
        <v>5</v>
      </c>
      <c r="T10" s="54">
        <f t="shared" si="6"/>
        <v>5</v>
      </c>
      <c r="U10" s="54">
        <f t="shared" si="7"/>
        <v>5</v>
      </c>
      <c r="V10" s="54">
        <f t="shared" si="8"/>
        <v>5</v>
      </c>
      <c r="W10" s="91">
        <f t="shared" si="10"/>
        <v>45</v>
      </c>
    </row>
    <row r="11" spans="1:26" x14ac:dyDescent="0.2">
      <c r="A11" s="54">
        <v>9</v>
      </c>
      <c r="B11" s="54" t="s">
        <v>70</v>
      </c>
      <c r="C11" s="54">
        <v>4</v>
      </c>
      <c r="D11" s="54">
        <v>3</v>
      </c>
      <c r="E11" s="54">
        <v>4</v>
      </c>
      <c r="F11" s="54">
        <v>4</v>
      </c>
      <c r="G11" s="54">
        <v>4</v>
      </c>
      <c r="H11" s="54">
        <v>2</v>
      </c>
      <c r="I11" s="54">
        <v>4</v>
      </c>
      <c r="J11" s="54">
        <v>2</v>
      </c>
      <c r="K11" s="60">
        <v>5</v>
      </c>
      <c r="L11" s="72">
        <f t="shared" si="9"/>
        <v>32</v>
      </c>
      <c r="N11" s="79">
        <f t="shared" si="0"/>
        <v>6</v>
      </c>
      <c r="O11" s="54">
        <f t="shared" si="1"/>
        <v>3</v>
      </c>
      <c r="P11" s="54">
        <f t="shared" si="2"/>
        <v>6</v>
      </c>
      <c r="Q11" s="54">
        <f t="shared" si="3"/>
        <v>6</v>
      </c>
      <c r="R11" s="54">
        <f t="shared" si="4"/>
        <v>6</v>
      </c>
      <c r="S11" s="54">
        <f t="shared" si="5"/>
        <v>1.5</v>
      </c>
      <c r="T11" s="54">
        <f t="shared" si="6"/>
        <v>6</v>
      </c>
      <c r="U11" s="54">
        <f t="shared" si="7"/>
        <v>1.5</v>
      </c>
      <c r="V11" s="54">
        <f t="shared" si="8"/>
        <v>9</v>
      </c>
      <c r="W11" s="91">
        <f t="shared" si="10"/>
        <v>45</v>
      </c>
    </row>
    <row r="12" spans="1:26" x14ac:dyDescent="0.2">
      <c r="A12" s="54">
        <v>10</v>
      </c>
      <c r="B12" s="54" t="s">
        <v>71</v>
      </c>
      <c r="C12" s="54">
        <v>4</v>
      </c>
      <c r="D12" s="54">
        <v>4</v>
      </c>
      <c r="E12" s="54">
        <v>5</v>
      </c>
      <c r="F12" s="54">
        <v>5</v>
      </c>
      <c r="G12" s="54">
        <v>5</v>
      </c>
      <c r="H12" s="54">
        <v>5</v>
      </c>
      <c r="I12" s="54">
        <v>3</v>
      </c>
      <c r="J12" s="54">
        <v>3</v>
      </c>
      <c r="K12" s="60">
        <v>4</v>
      </c>
      <c r="L12" s="72">
        <f t="shared" si="9"/>
        <v>38</v>
      </c>
      <c r="N12" s="79">
        <f t="shared" si="0"/>
        <v>4</v>
      </c>
      <c r="O12" s="54">
        <f t="shared" si="1"/>
        <v>4</v>
      </c>
      <c r="P12" s="54">
        <f t="shared" si="2"/>
        <v>7.5</v>
      </c>
      <c r="Q12" s="54">
        <f t="shared" si="3"/>
        <v>7.5</v>
      </c>
      <c r="R12" s="54">
        <f t="shared" si="4"/>
        <v>7.5</v>
      </c>
      <c r="S12" s="54">
        <f t="shared" si="5"/>
        <v>7.5</v>
      </c>
      <c r="T12" s="54">
        <f t="shared" si="6"/>
        <v>1.5</v>
      </c>
      <c r="U12" s="54">
        <f t="shared" si="7"/>
        <v>1.5</v>
      </c>
      <c r="V12" s="54">
        <f t="shared" si="8"/>
        <v>4</v>
      </c>
      <c r="W12" s="91">
        <f t="shared" si="10"/>
        <v>45</v>
      </c>
    </row>
    <row r="13" spans="1:26" x14ac:dyDescent="0.2">
      <c r="A13" s="54">
        <v>11</v>
      </c>
      <c r="B13" s="54" t="s">
        <v>72</v>
      </c>
      <c r="C13" s="54">
        <v>4</v>
      </c>
      <c r="D13" s="54">
        <v>4</v>
      </c>
      <c r="E13" s="54">
        <v>5</v>
      </c>
      <c r="F13" s="54">
        <v>5</v>
      </c>
      <c r="G13" s="54">
        <v>2</v>
      </c>
      <c r="H13" s="54">
        <v>4</v>
      </c>
      <c r="I13" s="54">
        <v>2</v>
      </c>
      <c r="J13" s="54">
        <v>5</v>
      </c>
      <c r="K13" s="60">
        <v>2</v>
      </c>
      <c r="L13" s="72">
        <f t="shared" si="9"/>
        <v>33</v>
      </c>
      <c r="N13" s="79">
        <f t="shared" si="0"/>
        <v>5</v>
      </c>
      <c r="O13" s="54">
        <f t="shared" si="1"/>
        <v>5</v>
      </c>
      <c r="P13" s="54">
        <f t="shared" si="2"/>
        <v>8</v>
      </c>
      <c r="Q13" s="54">
        <f t="shared" si="3"/>
        <v>8</v>
      </c>
      <c r="R13" s="54">
        <f t="shared" si="4"/>
        <v>2</v>
      </c>
      <c r="S13" s="54">
        <f t="shared" si="5"/>
        <v>5</v>
      </c>
      <c r="T13" s="54">
        <f t="shared" si="6"/>
        <v>2</v>
      </c>
      <c r="U13" s="54">
        <f t="shared" si="7"/>
        <v>8</v>
      </c>
      <c r="V13" s="54">
        <f t="shared" si="8"/>
        <v>2</v>
      </c>
      <c r="W13" s="91">
        <f t="shared" si="10"/>
        <v>45</v>
      </c>
    </row>
    <row r="14" spans="1:26" x14ac:dyDescent="0.2">
      <c r="A14" s="54">
        <v>12</v>
      </c>
      <c r="B14" s="54" t="s">
        <v>73</v>
      </c>
      <c r="C14" s="54">
        <v>4</v>
      </c>
      <c r="D14" s="54">
        <v>4</v>
      </c>
      <c r="E14" s="54">
        <v>3</v>
      </c>
      <c r="F14" s="54">
        <v>4</v>
      </c>
      <c r="G14" s="54">
        <v>3</v>
      </c>
      <c r="H14" s="54">
        <v>4</v>
      </c>
      <c r="I14" s="54">
        <v>3</v>
      </c>
      <c r="J14" s="54">
        <v>2</v>
      </c>
      <c r="K14" s="60">
        <v>4</v>
      </c>
      <c r="L14" s="72">
        <f t="shared" si="9"/>
        <v>31</v>
      </c>
      <c r="N14" s="79">
        <f t="shared" si="0"/>
        <v>7</v>
      </c>
      <c r="O14" s="54">
        <f t="shared" si="1"/>
        <v>7</v>
      </c>
      <c r="P14" s="54">
        <f t="shared" si="2"/>
        <v>3</v>
      </c>
      <c r="Q14" s="54">
        <f t="shared" si="3"/>
        <v>7</v>
      </c>
      <c r="R14" s="54">
        <f t="shared" si="4"/>
        <v>3</v>
      </c>
      <c r="S14" s="54">
        <f t="shared" si="5"/>
        <v>7</v>
      </c>
      <c r="T14" s="54">
        <f t="shared" si="6"/>
        <v>3</v>
      </c>
      <c r="U14" s="54">
        <f t="shared" si="7"/>
        <v>1</v>
      </c>
      <c r="V14" s="54">
        <f t="shared" si="8"/>
        <v>7</v>
      </c>
      <c r="W14" s="91">
        <f t="shared" si="10"/>
        <v>45</v>
      </c>
    </row>
    <row r="15" spans="1:26" x14ac:dyDescent="0.2">
      <c r="A15" s="54">
        <v>13</v>
      </c>
      <c r="B15" s="54" t="s">
        <v>74</v>
      </c>
      <c r="C15" s="54">
        <v>3</v>
      </c>
      <c r="D15" s="54">
        <v>4</v>
      </c>
      <c r="E15" s="54">
        <v>3</v>
      </c>
      <c r="F15" s="54">
        <v>4</v>
      </c>
      <c r="G15" s="54">
        <v>3</v>
      </c>
      <c r="H15" s="54">
        <v>4</v>
      </c>
      <c r="I15" s="54">
        <v>5</v>
      </c>
      <c r="J15" s="54">
        <v>5</v>
      </c>
      <c r="K15" s="60">
        <v>4</v>
      </c>
      <c r="L15" s="72">
        <f t="shared" si="9"/>
        <v>35</v>
      </c>
      <c r="N15" s="79">
        <f t="shared" si="0"/>
        <v>2</v>
      </c>
      <c r="O15" s="54">
        <f t="shared" si="1"/>
        <v>5.5</v>
      </c>
      <c r="P15" s="54">
        <f t="shared" si="2"/>
        <v>2</v>
      </c>
      <c r="Q15" s="54">
        <f t="shared" si="3"/>
        <v>5.5</v>
      </c>
      <c r="R15" s="54">
        <f t="shared" si="4"/>
        <v>2</v>
      </c>
      <c r="S15" s="54">
        <f t="shared" si="5"/>
        <v>5.5</v>
      </c>
      <c r="T15" s="54">
        <f t="shared" si="6"/>
        <v>8.5</v>
      </c>
      <c r="U15" s="54">
        <f t="shared" si="7"/>
        <v>8.5</v>
      </c>
      <c r="V15" s="54">
        <f t="shared" si="8"/>
        <v>5.5</v>
      </c>
      <c r="W15" s="91">
        <f t="shared" si="10"/>
        <v>45</v>
      </c>
    </row>
    <row r="16" spans="1:26" x14ac:dyDescent="0.2">
      <c r="A16" s="54">
        <v>14</v>
      </c>
      <c r="B16" s="54" t="s">
        <v>75</v>
      </c>
      <c r="C16" s="54">
        <v>4</v>
      </c>
      <c r="D16" s="54">
        <v>4</v>
      </c>
      <c r="E16" s="54">
        <v>5</v>
      </c>
      <c r="F16" s="54">
        <v>2</v>
      </c>
      <c r="G16" s="54">
        <v>1</v>
      </c>
      <c r="H16" s="54">
        <v>1</v>
      </c>
      <c r="I16" s="54">
        <v>2</v>
      </c>
      <c r="J16" s="54">
        <v>5</v>
      </c>
      <c r="K16" s="60">
        <v>4</v>
      </c>
      <c r="L16" s="72">
        <f t="shared" si="9"/>
        <v>28</v>
      </c>
      <c r="N16" s="79">
        <f t="shared" si="0"/>
        <v>6</v>
      </c>
      <c r="O16" s="54">
        <f t="shared" si="1"/>
        <v>6</v>
      </c>
      <c r="P16" s="54">
        <f t="shared" si="2"/>
        <v>8.5</v>
      </c>
      <c r="Q16" s="54">
        <f t="shared" si="3"/>
        <v>3.5</v>
      </c>
      <c r="R16" s="54">
        <f t="shared" si="4"/>
        <v>1.5</v>
      </c>
      <c r="S16" s="54">
        <f t="shared" si="5"/>
        <v>1.5</v>
      </c>
      <c r="T16" s="54">
        <f t="shared" si="6"/>
        <v>3.5</v>
      </c>
      <c r="U16" s="54">
        <f t="shared" si="7"/>
        <v>8.5</v>
      </c>
      <c r="V16" s="54">
        <f t="shared" si="8"/>
        <v>6</v>
      </c>
      <c r="W16" s="91">
        <f t="shared" si="10"/>
        <v>45</v>
      </c>
    </row>
    <row r="17" spans="1:23" x14ac:dyDescent="0.2">
      <c r="A17" s="54">
        <v>15</v>
      </c>
      <c r="B17" s="54" t="s">
        <v>76</v>
      </c>
      <c r="C17" s="54">
        <v>3</v>
      </c>
      <c r="D17" s="54">
        <v>2</v>
      </c>
      <c r="E17" s="54">
        <v>3</v>
      </c>
      <c r="F17" s="54">
        <v>3</v>
      </c>
      <c r="G17" s="54">
        <v>3</v>
      </c>
      <c r="H17" s="54">
        <v>2</v>
      </c>
      <c r="I17" s="54">
        <v>2</v>
      </c>
      <c r="J17" s="54">
        <v>2</v>
      </c>
      <c r="K17" s="60">
        <v>4</v>
      </c>
      <c r="L17" s="72">
        <f t="shared" si="9"/>
        <v>24</v>
      </c>
      <c r="N17" s="79">
        <f t="shared" si="0"/>
        <v>6.5</v>
      </c>
      <c r="O17" s="54">
        <f t="shared" si="1"/>
        <v>2.5</v>
      </c>
      <c r="P17" s="54">
        <f t="shared" si="2"/>
        <v>6.5</v>
      </c>
      <c r="Q17" s="54">
        <f t="shared" si="3"/>
        <v>6.5</v>
      </c>
      <c r="R17" s="54">
        <f t="shared" si="4"/>
        <v>6.5</v>
      </c>
      <c r="S17" s="54">
        <f t="shared" si="5"/>
        <v>2.5</v>
      </c>
      <c r="T17" s="54">
        <f t="shared" si="6"/>
        <v>2.5</v>
      </c>
      <c r="U17" s="54">
        <f t="shared" si="7"/>
        <v>2.5</v>
      </c>
      <c r="V17" s="54">
        <f t="shared" si="8"/>
        <v>9</v>
      </c>
      <c r="W17" s="91">
        <f t="shared" si="10"/>
        <v>45</v>
      </c>
    </row>
    <row r="18" spans="1:23" x14ac:dyDescent="0.2">
      <c r="A18" s="54">
        <v>16</v>
      </c>
      <c r="B18" s="54" t="s">
        <v>77</v>
      </c>
      <c r="C18" s="54">
        <v>5</v>
      </c>
      <c r="D18" s="54">
        <v>4</v>
      </c>
      <c r="E18" s="54">
        <v>4</v>
      </c>
      <c r="F18" s="54">
        <v>5</v>
      </c>
      <c r="G18" s="54">
        <v>4</v>
      </c>
      <c r="H18" s="54">
        <v>3</v>
      </c>
      <c r="I18" s="54">
        <v>4</v>
      </c>
      <c r="J18" s="54">
        <v>4</v>
      </c>
      <c r="K18" s="60">
        <v>4</v>
      </c>
      <c r="L18" s="72">
        <f t="shared" si="9"/>
        <v>37</v>
      </c>
      <c r="N18" s="79">
        <f t="shared" si="0"/>
        <v>8.5</v>
      </c>
      <c r="O18" s="54">
        <f t="shared" si="1"/>
        <v>4.5</v>
      </c>
      <c r="P18" s="54">
        <f t="shared" si="2"/>
        <v>4.5</v>
      </c>
      <c r="Q18" s="54">
        <f t="shared" si="3"/>
        <v>8.5</v>
      </c>
      <c r="R18" s="54">
        <f t="shared" si="4"/>
        <v>4.5</v>
      </c>
      <c r="S18" s="54">
        <f t="shared" si="5"/>
        <v>1</v>
      </c>
      <c r="T18" s="54">
        <f t="shared" si="6"/>
        <v>4.5</v>
      </c>
      <c r="U18" s="54">
        <f t="shared" si="7"/>
        <v>4.5</v>
      </c>
      <c r="V18" s="54">
        <f t="shared" si="8"/>
        <v>4.5</v>
      </c>
      <c r="W18" s="91">
        <f t="shared" si="10"/>
        <v>45</v>
      </c>
    </row>
    <row r="19" spans="1:23" x14ac:dyDescent="0.2">
      <c r="A19" s="54">
        <v>17</v>
      </c>
      <c r="B19" s="54" t="s">
        <v>78</v>
      </c>
      <c r="C19" s="54">
        <v>4</v>
      </c>
      <c r="D19" s="54">
        <v>5</v>
      </c>
      <c r="E19" s="54">
        <v>5</v>
      </c>
      <c r="F19" s="54">
        <v>5</v>
      </c>
      <c r="G19" s="54">
        <v>5</v>
      </c>
      <c r="H19" s="54">
        <v>4</v>
      </c>
      <c r="I19" s="54">
        <v>5</v>
      </c>
      <c r="J19" s="54">
        <v>3</v>
      </c>
      <c r="K19" s="60">
        <v>5</v>
      </c>
      <c r="L19" s="72">
        <f t="shared" si="9"/>
        <v>41</v>
      </c>
      <c r="N19" s="79">
        <f t="shared" si="0"/>
        <v>2.5</v>
      </c>
      <c r="O19" s="54">
        <f t="shared" si="1"/>
        <v>6.5</v>
      </c>
      <c r="P19" s="54">
        <f t="shared" si="2"/>
        <v>6.5</v>
      </c>
      <c r="Q19" s="54">
        <f t="shared" si="3"/>
        <v>6.5</v>
      </c>
      <c r="R19" s="54">
        <f t="shared" si="4"/>
        <v>6.5</v>
      </c>
      <c r="S19" s="54">
        <f t="shared" si="5"/>
        <v>2.5</v>
      </c>
      <c r="T19" s="54">
        <f t="shared" si="6"/>
        <v>6.5</v>
      </c>
      <c r="U19" s="54">
        <f t="shared" si="7"/>
        <v>1</v>
      </c>
      <c r="V19" s="54">
        <f t="shared" si="8"/>
        <v>6.5</v>
      </c>
      <c r="W19" s="91">
        <f t="shared" si="10"/>
        <v>45</v>
      </c>
    </row>
    <row r="20" spans="1:23" x14ac:dyDescent="0.2">
      <c r="A20" s="54">
        <v>18</v>
      </c>
      <c r="B20" s="54" t="s">
        <v>79</v>
      </c>
      <c r="C20" s="54">
        <v>4</v>
      </c>
      <c r="D20" s="54">
        <v>2</v>
      </c>
      <c r="E20" s="54">
        <v>4</v>
      </c>
      <c r="F20" s="54">
        <v>2</v>
      </c>
      <c r="G20" s="54">
        <v>2</v>
      </c>
      <c r="H20" s="54">
        <v>4</v>
      </c>
      <c r="I20" s="54">
        <v>2</v>
      </c>
      <c r="J20" s="54">
        <v>4</v>
      </c>
      <c r="K20" s="60">
        <v>4</v>
      </c>
      <c r="L20" s="72">
        <f t="shared" si="9"/>
        <v>28</v>
      </c>
      <c r="N20" s="79">
        <f t="shared" si="0"/>
        <v>7</v>
      </c>
      <c r="O20" s="54">
        <f t="shared" si="1"/>
        <v>2.5</v>
      </c>
      <c r="P20" s="54">
        <f t="shared" si="2"/>
        <v>7</v>
      </c>
      <c r="Q20" s="54">
        <f t="shared" si="3"/>
        <v>2.5</v>
      </c>
      <c r="R20" s="54">
        <f t="shared" si="4"/>
        <v>2.5</v>
      </c>
      <c r="S20" s="54">
        <f t="shared" si="5"/>
        <v>7</v>
      </c>
      <c r="T20" s="54">
        <f t="shared" si="6"/>
        <v>2.5</v>
      </c>
      <c r="U20" s="54">
        <f t="shared" si="7"/>
        <v>7</v>
      </c>
      <c r="V20" s="54">
        <f t="shared" si="8"/>
        <v>7</v>
      </c>
      <c r="W20" s="91">
        <f t="shared" si="10"/>
        <v>45</v>
      </c>
    </row>
    <row r="21" spans="1:23" x14ac:dyDescent="0.2">
      <c r="A21" s="54">
        <v>19</v>
      </c>
      <c r="B21" s="54" t="s">
        <v>80</v>
      </c>
      <c r="C21" s="54">
        <v>5</v>
      </c>
      <c r="D21" s="54">
        <v>5</v>
      </c>
      <c r="E21" s="54">
        <v>4</v>
      </c>
      <c r="F21" s="54">
        <v>4</v>
      </c>
      <c r="G21" s="54">
        <v>4</v>
      </c>
      <c r="H21" s="54">
        <v>2</v>
      </c>
      <c r="I21" s="54">
        <v>2</v>
      </c>
      <c r="J21" s="54">
        <v>2</v>
      </c>
      <c r="K21" s="60">
        <v>4</v>
      </c>
      <c r="L21" s="72">
        <f t="shared" si="9"/>
        <v>32</v>
      </c>
      <c r="N21" s="79">
        <f t="shared" si="0"/>
        <v>8.5</v>
      </c>
      <c r="O21" s="54">
        <f t="shared" si="1"/>
        <v>8.5</v>
      </c>
      <c r="P21" s="54">
        <f t="shared" si="2"/>
        <v>5.5</v>
      </c>
      <c r="Q21" s="54">
        <f t="shared" si="3"/>
        <v>5.5</v>
      </c>
      <c r="R21" s="54">
        <f t="shared" si="4"/>
        <v>5.5</v>
      </c>
      <c r="S21" s="54">
        <f t="shared" si="5"/>
        <v>2</v>
      </c>
      <c r="T21" s="54">
        <f t="shared" si="6"/>
        <v>2</v>
      </c>
      <c r="U21" s="54">
        <f t="shared" si="7"/>
        <v>2</v>
      </c>
      <c r="V21" s="54">
        <f t="shared" si="8"/>
        <v>5.5</v>
      </c>
      <c r="W21" s="91">
        <f t="shared" si="10"/>
        <v>45</v>
      </c>
    </row>
    <row r="22" spans="1:23" x14ac:dyDescent="0.2">
      <c r="A22" s="54">
        <v>20</v>
      </c>
      <c r="B22" s="54" t="s">
        <v>81</v>
      </c>
      <c r="C22" s="54">
        <v>4</v>
      </c>
      <c r="D22" s="54">
        <v>2</v>
      </c>
      <c r="E22" s="54">
        <v>5</v>
      </c>
      <c r="F22" s="54">
        <v>3</v>
      </c>
      <c r="G22" s="54">
        <v>3</v>
      </c>
      <c r="H22" s="54">
        <v>2</v>
      </c>
      <c r="I22" s="54">
        <v>3</v>
      </c>
      <c r="J22" s="54">
        <v>3</v>
      </c>
      <c r="K22" s="60">
        <v>3</v>
      </c>
      <c r="L22" s="72">
        <f t="shared" si="9"/>
        <v>28</v>
      </c>
      <c r="N22" s="79">
        <f t="shared" si="0"/>
        <v>8</v>
      </c>
      <c r="O22" s="54">
        <f t="shared" si="1"/>
        <v>1.5</v>
      </c>
      <c r="P22" s="54">
        <f t="shared" si="2"/>
        <v>9</v>
      </c>
      <c r="Q22" s="54">
        <f t="shared" si="3"/>
        <v>5</v>
      </c>
      <c r="R22" s="54">
        <f t="shared" si="4"/>
        <v>5</v>
      </c>
      <c r="S22" s="54">
        <f t="shared" si="5"/>
        <v>1.5</v>
      </c>
      <c r="T22" s="54">
        <f t="shared" si="6"/>
        <v>5</v>
      </c>
      <c r="U22" s="54">
        <f t="shared" si="7"/>
        <v>5</v>
      </c>
      <c r="V22" s="54">
        <f t="shared" si="8"/>
        <v>5</v>
      </c>
      <c r="W22" s="91">
        <f t="shared" si="10"/>
        <v>45</v>
      </c>
    </row>
    <row r="23" spans="1:23" x14ac:dyDescent="0.2">
      <c r="A23" s="54">
        <v>21</v>
      </c>
      <c r="B23" s="54" t="s">
        <v>82</v>
      </c>
      <c r="C23" s="54">
        <v>4</v>
      </c>
      <c r="D23" s="54">
        <v>4</v>
      </c>
      <c r="E23" s="54">
        <v>4</v>
      </c>
      <c r="F23" s="54">
        <v>4</v>
      </c>
      <c r="G23" s="54">
        <v>5</v>
      </c>
      <c r="H23" s="54">
        <v>5</v>
      </c>
      <c r="I23" s="54">
        <v>4</v>
      </c>
      <c r="J23" s="54">
        <v>5</v>
      </c>
      <c r="K23" s="60">
        <v>5</v>
      </c>
      <c r="L23" s="72">
        <f t="shared" si="9"/>
        <v>40</v>
      </c>
      <c r="N23" s="79">
        <f t="shared" si="0"/>
        <v>3</v>
      </c>
      <c r="O23" s="54">
        <f t="shared" si="1"/>
        <v>3</v>
      </c>
      <c r="P23" s="54">
        <f t="shared" si="2"/>
        <v>3</v>
      </c>
      <c r="Q23" s="54">
        <f t="shared" si="3"/>
        <v>3</v>
      </c>
      <c r="R23" s="54">
        <f t="shared" si="4"/>
        <v>7.5</v>
      </c>
      <c r="S23" s="54">
        <f t="shared" si="5"/>
        <v>7.5</v>
      </c>
      <c r="T23" s="54">
        <f t="shared" si="6"/>
        <v>3</v>
      </c>
      <c r="U23" s="54">
        <f t="shared" si="7"/>
        <v>7.5</v>
      </c>
      <c r="V23" s="54">
        <f t="shared" si="8"/>
        <v>7.5</v>
      </c>
      <c r="W23" s="91">
        <f t="shared" si="10"/>
        <v>45</v>
      </c>
    </row>
    <row r="24" spans="1:23" x14ac:dyDescent="0.2">
      <c r="A24" s="54">
        <v>22</v>
      </c>
      <c r="B24" s="54" t="s">
        <v>83</v>
      </c>
      <c r="C24" s="54">
        <v>4</v>
      </c>
      <c r="D24" s="54">
        <v>2</v>
      </c>
      <c r="E24" s="54">
        <v>4</v>
      </c>
      <c r="F24" s="54">
        <v>5</v>
      </c>
      <c r="G24" s="54">
        <v>2</v>
      </c>
      <c r="H24" s="54">
        <v>2</v>
      </c>
      <c r="I24" s="54">
        <v>4</v>
      </c>
      <c r="J24" s="54">
        <v>4</v>
      </c>
      <c r="K24" s="60">
        <v>4</v>
      </c>
      <c r="L24" s="72">
        <f t="shared" si="9"/>
        <v>31</v>
      </c>
      <c r="N24" s="79">
        <f t="shared" si="0"/>
        <v>6</v>
      </c>
      <c r="O24" s="54">
        <f t="shared" si="1"/>
        <v>2</v>
      </c>
      <c r="P24" s="54">
        <f t="shared" si="2"/>
        <v>6</v>
      </c>
      <c r="Q24" s="54">
        <f t="shared" si="3"/>
        <v>9</v>
      </c>
      <c r="R24" s="54">
        <f t="shared" si="4"/>
        <v>2</v>
      </c>
      <c r="S24" s="54">
        <f t="shared" si="5"/>
        <v>2</v>
      </c>
      <c r="T24" s="54">
        <f t="shared" si="6"/>
        <v>6</v>
      </c>
      <c r="U24" s="54">
        <f t="shared" si="7"/>
        <v>6</v>
      </c>
      <c r="V24" s="54">
        <f t="shared" si="8"/>
        <v>6</v>
      </c>
      <c r="W24" s="91">
        <f t="shared" si="10"/>
        <v>45</v>
      </c>
    </row>
    <row r="25" spans="1:23" x14ac:dyDescent="0.2">
      <c r="A25" s="54">
        <v>23</v>
      </c>
      <c r="B25" s="54" t="s">
        <v>84</v>
      </c>
      <c r="C25" s="54">
        <v>5</v>
      </c>
      <c r="D25" s="54">
        <v>5</v>
      </c>
      <c r="E25" s="54">
        <v>5</v>
      </c>
      <c r="F25" s="54">
        <v>4</v>
      </c>
      <c r="G25" s="54">
        <v>4</v>
      </c>
      <c r="H25" s="54">
        <v>5</v>
      </c>
      <c r="I25" s="54">
        <v>4</v>
      </c>
      <c r="J25" s="54">
        <v>5</v>
      </c>
      <c r="K25" s="60">
        <v>5</v>
      </c>
      <c r="L25" s="72">
        <f t="shared" si="9"/>
        <v>42</v>
      </c>
      <c r="N25" s="79">
        <f t="shared" si="0"/>
        <v>6.5</v>
      </c>
      <c r="O25" s="54">
        <f t="shared" si="1"/>
        <v>6.5</v>
      </c>
      <c r="P25" s="54">
        <f t="shared" si="2"/>
        <v>6.5</v>
      </c>
      <c r="Q25" s="54">
        <f t="shared" si="3"/>
        <v>2</v>
      </c>
      <c r="R25" s="54">
        <f t="shared" si="4"/>
        <v>2</v>
      </c>
      <c r="S25" s="54">
        <f t="shared" si="5"/>
        <v>6.5</v>
      </c>
      <c r="T25" s="54">
        <f t="shared" si="6"/>
        <v>2</v>
      </c>
      <c r="U25" s="54">
        <f t="shared" si="7"/>
        <v>6.5</v>
      </c>
      <c r="V25" s="54">
        <f t="shared" si="8"/>
        <v>6.5</v>
      </c>
      <c r="W25" s="91">
        <f t="shared" si="10"/>
        <v>45</v>
      </c>
    </row>
    <row r="26" spans="1:23" x14ac:dyDescent="0.2">
      <c r="A26" s="54">
        <v>24</v>
      </c>
      <c r="B26" s="54" t="s">
        <v>85</v>
      </c>
      <c r="C26" s="54">
        <v>4</v>
      </c>
      <c r="D26" s="54">
        <v>2</v>
      </c>
      <c r="E26" s="54">
        <v>3</v>
      </c>
      <c r="F26" s="54">
        <v>3</v>
      </c>
      <c r="G26" s="54">
        <v>4</v>
      </c>
      <c r="H26" s="54">
        <v>4</v>
      </c>
      <c r="I26" s="54">
        <v>4</v>
      </c>
      <c r="J26" s="54">
        <v>3</v>
      </c>
      <c r="K26" s="60">
        <v>5</v>
      </c>
      <c r="L26" s="72">
        <f t="shared" si="9"/>
        <v>32</v>
      </c>
      <c r="N26" s="79">
        <f t="shared" si="0"/>
        <v>6.5</v>
      </c>
      <c r="O26" s="54">
        <f t="shared" si="1"/>
        <v>1</v>
      </c>
      <c r="P26" s="54">
        <f t="shared" si="2"/>
        <v>3</v>
      </c>
      <c r="Q26" s="54">
        <f t="shared" si="3"/>
        <v>3</v>
      </c>
      <c r="R26" s="54">
        <f t="shared" si="4"/>
        <v>6.5</v>
      </c>
      <c r="S26" s="54">
        <f t="shared" si="5"/>
        <v>6.5</v>
      </c>
      <c r="T26" s="54">
        <f t="shared" si="6"/>
        <v>6.5</v>
      </c>
      <c r="U26" s="54">
        <f t="shared" si="7"/>
        <v>3</v>
      </c>
      <c r="V26" s="54">
        <f t="shared" si="8"/>
        <v>9</v>
      </c>
      <c r="W26" s="91">
        <f t="shared" si="10"/>
        <v>45</v>
      </c>
    </row>
    <row r="27" spans="1:23" x14ac:dyDescent="0.2">
      <c r="A27" s="54">
        <v>25</v>
      </c>
      <c r="B27" s="54" t="s">
        <v>86</v>
      </c>
      <c r="C27" s="54">
        <v>2</v>
      </c>
      <c r="D27" s="54">
        <v>4</v>
      </c>
      <c r="E27" s="54">
        <v>4</v>
      </c>
      <c r="F27" s="54">
        <v>4</v>
      </c>
      <c r="G27" s="54">
        <v>4</v>
      </c>
      <c r="H27" s="54">
        <v>2</v>
      </c>
      <c r="I27" s="54">
        <v>2</v>
      </c>
      <c r="J27" s="54">
        <v>2</v>
      </c>
      <c r="K27" s="60">
        <v>2</v>
      </c>
      <c r="L27" s="72">
        <f t="shared" si="9"/>
        <v>26</v>
      </c>
      <c r="N27" s="79">
        <f t="shared" si="0"/>
        <v>3</v>
      </c>
      <c r="O27" s="54">
        <f t="shared" si="1"/>
        <v>7.5</v>
      </c>
      <c r="P27" s="54">
        <f t="shared" si="2"/>
        <v>7.5</v>
      </c>
      <c r="Q27" s="54">
        <f t="shared" si="3"/>
        <v>7.5</v>
      </c>
      <c r="R27" s="54">
        <f t="shared" si="4"/>
        <v>7.5</v>
      </c>
      <c r="S27" s="54">
        <f t="shared" si="5"/>
        <v>3</v>
      </c>
      <c r="T27" s="54">
        <f t="shared" si="6"/>
        <v>3</v>
      </c>
      <c r="U27" s="54">
        <f t="shared" si="7"/>
        <v>3</v>
      </c>
      <c r="V27" s="54">
        <f t="shared" si="8"/>
        <v>3</v>
      </c>
      <c r="W27" s="91">
        <f t="shared" si="10"/>
        <v>45</v>
      </c>
    </row>
    <row r="28" spans="1:23" x14ac:dyDescent="0.2">
      <c r="A28" s="54">
        <v>26</v>
      </c>
      <c r="B28" s="54" t="s">
        <v>87</v>
      </c>
      <c r="C28" s="54">
        <v>4</v>
      </c>
      <c r="D28" s="54">
        <v>4</v>
      </c>
      <c r="E28" s="54">
        <v>4</v>
      </c>
      <c r="F28" s="54">
        <v>2</v>
      </c>
      <c r="G28" s="54">
        <v>4</v>
      </c>
      <c r="H28" s="54">
        <v>2</v>
      </c>
      <c r="I28" s="54">
        <v>2</v>
      </c>
      <c r="J28" s="54">
        <v>2</v>
      </c>
      <c r="K28" s="60">
        <v>2</v>
      </c>
      <c r="L28" s="72">
        <f t="shared" si="9"/>
        <v>26</v>
      </c>
      <c r="N28" s="79">
        <f t="shared" si="0"/>
        <v>7.5</v>
      </c>
      <c r="O28" s="54">
        <f t="shared" si="1"/>
        <v>7.5</v>
      </c>
      <c r="P28" s="54">
        <f t="shared" si="2"/>
        <v>7.5</v>
      </c>
      <c r="Q28" s="54">
        <f t="shared" si="3"/>
        <v>3</v>
      </c>
      <c r="R28" s="54">
        <f t="shared" si="4"/>
        <v>7.5</v>
      </c>
      <c r="S28" s="54">
        <f t="shared" si="5"/>
        <v>3</v>
      </c>
      <c r="T28" s="54">
        <f t="shared" si="6"/>
        <v>3</v>
      </c>
      <c r="U28" s="54">
        <f t="shared" si="7"/>
        <v>3</v>
      </c>
      <c r="V28" s="54">
        <f t="shared" si="8"/>
        <v>3</v>
      </c>
      <c r="W28" s="91">
        <f t="shared" si="10"/>
        <v>45</v>
      </c>
    </row>
    <row r="29" spans="1:23" x14ac:dyDescent="0.2">
      <c r="A29" s="54">
        <v>27</v>
      </c>
      <c r="B29" s="54" t="s">
        <v>88</v>
      </c>
      <c r="C29" s="54">
        <v>4</v>
      </c>
      <c r="D29" s="54">
        <v>2</v>
      </c>
      <c r="E29" s="54">
        <v>4</v>
      </c>
      <c r="F29" s="54">
        <v>4</v>
      </c>
      <c r="G29" s="54">
        <v>4</v>
      </c>
      <c r="H29" s="54">
        <v>2</v>
      </c>
      <c r="I29" s="54">
        <v>4</v>
      </c>
      <c r="J29" s="54">
        <v>5</v>
      </c>
      <c r="K29" s="60">
        <v>5</v>
      </c>
      <c r="L29" s="72">
        <f t="shared" si="9"/>
        <v>34</v>
      </c>
      <c r="N29" s="79">
        <f t="shared" si="0"/>
        <v>5</v>
      </c>
      <c r="O29" s="54">
        <f t="shared" si="1"/>
        <v>1.5</v>
      </c>
      <c r="P29" s="54">
        <f t="shared" si="2"/>
        <v>5</v>
      </c>
      <c r="Q29" s="54">
        <f t="shared" si="3"/>
        <v>5</v>
      </c>
      <c r="R29" s="54">
        <f t="shared" si="4"/>
        <v>5</v>
      </c>
      <c r="S29" s="54">
        <f t="shared" si="5"/>
        <v>1.5</v>
      </c>
      <c r="T29" s="54">
        <f t="shared" si="6"/>
        <v>5</v>
      </c>
      <c r="U29" s="54">
        <f t="shared" si="7"/>
        <v>8.5</v>
      </c>
      <c r="V29" s="54">
        <f t="shared" si="8"/>
        <v>8.5</v>
      </c>
      <c r="W29" s="91">
        <f t="shared" si="10"/>
        <v>45</v>
      </c>
    </row>
    <row r="30" spans="1:23" x14ac:dyDescent="0.2">
      <c r="A30" s="54">
        <v>28</v>
      </c>
      <c r="B30" s="54" t="s">
        <v>89</v>
      </c>
      <c r="C30" s="54">
        <v>4</v>
      </c>
      <c r="D30" s="54">
        <v>4</v>
      </c>
      <c r="E30" s="54">
        <v>4</v>
      </c>
      <c r="F30" s="54">
        <v>2</v>
      </c>
      <c r="G30" s="54">
        <v>2</v>
      </c>
      <c r="H30" s="54">
        <v>2</v>
      </c>
      <c r="I30" s="54">
        <v>4</v>
      </c>
      <c r="J30" s="54">
        <v>2</v>
      </c>
      <c r="K30" s="60">
        <v>4</v>
      </c>
      <c r="L30" s="72">
        <f t="shared" si="9"/>
        <v>28</v>
      </c>
      <c r="N30" s="79">
        <f t="shared" si="0"/>
        <v>7</v>
      </c>
      <c r="O30" s="54">
        <f t="shared" si="1"/>
        <v>7</v>
      </c>
      <c r="P30" s="54">
        <f t="shared" si="2"/>
        <v>7</v>
      </c>
      <c r="Q30" s="54">
        <f t="shared" si="3"/>
        <v>2.5</v>
      </c>
      <c r="R30" s="54">
        <f t="shared" si="4"/>
        <v>2.5</v>
      </c>
      <c r="S30" s="54">
        <f t="shared" si="5"/>
        <v>2.5</v>
      </c>
      <c r="T30" s="54">
        <f t="shared" si="6"/>
        <v>7</v>
      </c>
      <c r="U30" s="54">
        <f t="shared" si="7"/>
        <v>2.5</v>
      </c>
      <c r="V30" s="54">
        <f t="shared" si="8"/>
        <v>7</v>
      </c>
      <c r="W30" s="91">
        <f t="shared" si="10"/>
        <v>45</v>
      </c>
    </row>
    <row r="31" spans="1:23" x14ac:dyDescent="0.2">
      <c r="A31" s="54">
        <v>29</v>
      </c>
      <c r="B31" s="54" t="s">
        <v>90</v>
      </c>
      <c r="C31" s="54">
        <v>2</v>
      </c>
      <c r="D31" s="54">
        <v>4</v>
      </c>
      <c r="E31" s="54">
        <v>4</v>
      </c>
      <c r="F31" s="54">
        <v>4</v>
      </c>
      <c r="G31" s="54">
        <v>4</v>
      </c>
      <c r="H31" s="54">
        <v>4</v>
      </c>
      <c r="I31" s="54">
        <v>2</v>
      </c>
      <c r="J31" s="54">
        <v>4</v>
      </c>
      <c r="K31" s="60">
        <v>4</v>
      </c>
      <c r="L31" s="72">
        <f t="shared" si="9"/>
        <v>32</v>
      </c>
      <c r="N31" s="79">
        <f t="shared" si="0"/>
        <v>1.5</v>
      </c>
      <c r="O31" s="54">
        <f t="shared" si="1"/>
        <v>6</v>
      </c>
      <c r="P31" s="54">
        <f t="shared" si="2"/>
        <v>6</v>
      </c>
      <c r="Q31" s="54">
        <f t="shared" si="3"/>
        <v>6</v>
      </c>
      <c r="R31" s="54">
        <f t="shared" si="4"/>
        <v>6</v>
      </c>
      <c r="S31" s="54">
        <f t="shared" si="5"/>
        <v>6</v>
      </c>
      <c r="T31" s="54">
        <f t="shared" si="6"/>
        <v>1.5</v>
      </c>
      <c r="U31" s="54">
        <f t="shared" si="7"/>
        <v>6</v>
      </c>
      <c r="V31" s="54">
        <f t="shared" si="8"/>
        <v>6</v>
      </c>
      <c r="W31" s="91">
        <f t="shared" si="10"/>
        <v>45</v>
      </c>
    </row>
    <row r="32" spans="1:23" x14ac:dyDescent="0.2">
      <c r="A32" s="54">
        <v>30</v>
      </c>
      <c r="B32" s="54" t="s">
        <v>91</v>
      </c>
      <c r="C32" s="54">
        <v>3</v>
      </c>
      <c r="D32" s="54">
        <v>1</v>
      </c>
      <c r="E32" s="54">
        <v>2</v>
      </c>
      <c r="F32" s="54">
        <v>4</v>
      </c>
      <c r="G32" s="54">
        <v>3</v>
      </c>
      <c r="H32" s="54">
        <v>3</v>
      </c>
      <c r="I32" s="54">
        <v>2</v>
      </c>
      <c r="J32" s="54">
        <v>3</v>
      </c>
      <c r="K32" s="60">
        <v>3</v>
      </c>
      <c r="L32" s="72">
        <f t="shared" si="9"/>
        <v>24</v>
      </c>
      <c r="N32" s="79">
        <f t="shared" si="0"/>
        <v>6</v>
      </c>
      <c r="O32" s="54">
        <f t="shared" si="1"/>
        <v>1</v>
      </c>
      <c r="P32" s="54">
        <f t="shared" si="2"/>
        <v>2.5</v>
      </c>
      <c r="Q32" s="54">
        <f t="shared" si="3"/>
        <v>9</v>
      </c>
      <c r="R32" s="54">
        <f t="shared" si="4"/>
        <v>6</v>
      </c>
      <c r="S32" s="54">
        <f t="shared" si="5"/>
        <v>6</v>
      </c>
      <c r="T32" s="54">
        <f t="shared" si="6"/>
        <v>2.5</v>
      </c>
      <c r="U32" s="54">
        <f t="shared" si="7"/>
        <v>6</v>
      </c>
      <c r="V32" s="54">
        <f t="shared" si="8"/>
        <v>6</v>
      </c>
      <c r="W32" s="91">
        <f t="shared" si="10"/>
        <v>45</v>
      </c>
    </row>
    <row r="33" spans="1:22" x14ac:dyDescent="0.2">
      <c r="A33" s="54"/>
      <c r="B33" s="54" t="s">
        <v>19</v>
      </c>
      <c r="C33" s="86">
        <f>SUM(C3:C32)</f>
        <v>116</v>
      </c>
      <c r="D33" s="54">
        <f t="shared" ref="D33:K33" si="11">SUM(D3:D32)</f>
        <v>103</v>
      </c>
      <c r="E33" s="54">
        <f t="shared" si="11"/>
        <v>114</v>
      </c>
      <c r="F33" s="54">
        <f t="shared" si="11"/>
        <v>108</v>
      </c>
      <c r="G33" s="54">
        <f t="shared" si="11"/>
        <v>103</v>
      </c>
      <c r="H33" s="54">
        <f t="shared" si="11"/>
        <v>94</v>
      </c>
      <c r="I33" s="54">
        <f t="shared" si="11"/>
        <v>96</v>
      </c>
      <c r="J33" s="54">
        <f t="shared" si="11"/>
        <v>106</v>
      </c>
      <c r="K33" s="54">
        <f t="shared" si="11"/>
        <v>113</v>
      </c>
      <c r="N33" s="79">
        <f>SUM(N3:N32)</f>
        <v>170.5</v>
      </c>
      <c r="O33" s="54">
        <f t="shared" ref="O33:V33" si="12">SUM(O3:O32)</f>
        <v>140</v>
      </c>
      <c r="P33" s="54">
        <f t="shared" si="12"/>
        <v>166.5</v>
      </c>
      <c r="Q33" s="54">
        <f>SUM(Q3:Q32)</f>
        <v>159.5</v>
      </c>
      <c r="R33" s="54">
        <f t="shared" si="12"/>
        <v>144</v>
      </c>
      <c r="S33" s="54">
        <f t="shared" si="12"/>
        <v>121.5</v>
      </c>
      <c r="T33" s="54">
        <f t="shared" si="12"/>
        <v>125.5</v>
      </c>
      <c r="U33" s="54">
        <f t="shared" si="12"/>
        <v>150.5</v>
      </c>
      <c r="V33" s="54">
        <f t="shared" si="12"/>
        <v>172</v>
      </c>
    </row>
    <row r="34" spans="1:22" x14ac:dyDescent="0.2">
      <c r="A34" s="54"/>
      <c r="B34" s="54" t="s">
        <v>93</v>
      </c>
      <c r="C34" s="54">
        <f>AVERAGE(C3:C32)</f>
        <v>3.8666666666666667</v>
      </c>
      <c r="D34" s="54">
        <f t="shared" ref="D34:K34" si="13">AVERAGE(D3:D32)</f>
        <v>3.4333333333333331</v>
      </c>
      <c r="E34" s="54">
        <f t="shared" si="13"/>
        <v>3.8</v>
      </c>
      <c r="F34" s="54">
        <f t="shared" si="13"/>
        <v>3.6</v>
      </c>
      <c r="G34" s="54">
        <f t="shared" si="13"/>
        <v>3.4333333333333331</v>
      </c>
      <c r="H34" s="54">
        <f t="shared" si="13"/>
        <v>3.1333333333333333</v>
      </c>
      <c r="I34" s="54">
        <f t="shared" si="13"/>
        <v>3.2</v>
      </c>
      <c r="J34" s="54">
        <f t="shared" si="13"/>
        <v>3.5333333333333332</v>
      </c>
      <c r="K34" s="54">
        <f t="shared" si="13"/>
        <v>3.7666666666666666</v>
      </c>
      <c r="N34" s="79">
        <f>AVERAGE(N3:N32)</f>
        <v>5.6833333333333336</v>
      </c>
      <c r="O34" s="79">
        <f t="shared" ref="O34:V34" si="14">AVERAGE(O3:O32)</f>
        <v>4.666666666666667</v>
      </c>
      <c r="P34" s="79">
        <f t="shared" si="14"/>
        <v>5.55</v>
      </c>
      <c r="Q34" s="79">
        <f t="shared" si="14"/>
        <v>5.3166666666666664</v>
      </c>
      <c r="R34" s="79">
        <f t="shared" si="14"/>
        <v>4.8</v>
      </c>
      <c r="S34" s="79">
        <f t="shared" si="14"/>
        <v>4.05</v>
      </c>
      <c r="T34" s="79">
        <f t="shared" si="14"/>
        <v>4.1833333333333336</v>
      </c>
      <c r="U34" s="79">
        <f t="shared" si="14"/>
        <v>5.0166666666666666</v>
      </c>
      <c r="V34" s="79">
        <f t="shared" si="14"/>
        <v>5.7333333333333334</v>
      </c>
    </row>
    <row r="35" spans="1:22" x14ac:dyDescent="0.2">
      <c r="C35" s="51">
        <f>STDEV(C3:C32)</f>
        <v>0.73029674334022088</v>
      </c>
      <c r="D35" s="51">
        <f t="shared" ref="D35:K35" si="15">STDEV(D3:D32)</f>
        <v>1.1043279539543758</v>
      </c>
      <c r="E35" s="51">
        <f t="shared" si="15"/>
        <v>0.96132093030084553</v>
      </c>
      <c r="F35" s="51">
        <f t="shared" si="15"/>
        <v>1.1017227888394954</v>
      </c>
      <c r="G35" s="51">
        <f t="shared" si="15"/>
        <v>1.0726484571581123</v>
      </c>
      <c r="H35" s="51">
        <f t="shared" si="15"/>
        <v>1.2521246311585847</v>
      </c>
      <c r="I35" s="51">
        <f t="shared" si="15"/>
        <v>1.0305673027596216</v>
      </c>
      <c r="J35" s="51">
        <f t="shared" si="15"/>
        <v>1.1366415543118706</v>
      </c>
      <c r="K35" s="51">
        <f t="shared" si="15"/>
        <v>1.0726484571581123</v>
      </c>
      <c r="N35" s="51">
        <f>STDEV(N3:N32)</f>
        <v>1.9185273327312231</v>
      </c>
      <c r="O35" s="51">
        <f t="shared" ref="O35:V35" si="16">STDEV(O3:O32)</f>
        <v>2.2755572766995407</v>
      </c>
      <c r="P35" s="51">
        <f t="shared" si="16"/>
        <v>2.0775897839431212</v>
      </c>
      <c r="Q35" s="51">
        <f t="shared" si="16"/>
        <v>2.3506541031473938</v>
      </c>
      <c r="R35" s="51">
        <f t="shared" si="16"/>
        <v>2.1599808428269238</v>
      </c>
      <c r="S35" s="51">
        <f t="shared" si="16"/>
        <v>2.3391348238478971</v>
      </c>
      <c r="T35" s="51">
        <f t="shared" si="16"/>
        <v>1.9140286693585435</v>
      </c>
      <c r="U35" s="51">
        <f t="shared" si="16"/>
        <v>2.4441461852173747</v>
      </c>
      <c r="V35" s="51">
        <f t="shared" si="16"/>
        <v>2.1283526628524854</v>
      </c>
    </row>
    <row r="37" spans="1:22" x14ac:dyDescent="0.2">
      <c r="B37" s="51" t="s">
        <v>187</v>
      </c>
    </row>
    <row r="38" spans="1:22" x14ac:dyDescent="0.2">
      <c r="A38" s="51">
        <v>1</v>
      </c>
      <c r="B38" s="51">
        <f>12/(Z2*Z3*(Z3+1))</f>
        <v>4.4444444444444444E-3</v>
      </c>
      <c r="C38" s="51">
        <f>(12/((Z2*Z3)*(Z3+1))*N34+O34+P34+Q34+R34+S34+T34+U34+V34)-3*(Z2)*Z3+1</f>
        <v>-769.65807407407408</v>
      </c>
      <c r="Q38" s="43" t="s">
        <v>194</v>
      </c>
      <c r="R38" s="44">
        <f>((12/(30*9*(9+1)))*SUMSQ(N33:V33))-((3*30)*(9+1))</f>
        <v>12.513333333333321</v>
      </c>
    </row>
    <row r="39" spans="1:22" x14ac:dyDescent="0.2">
      <c r="A39" s="51">
        <v>2</v>
      </c>
      <c r="B39" s="51">
        <f>SUMSQ(N33:V33)</f>
        <v>205315.5</v>
      </c>
      <c r="Q39" s="43" t="s">
        <v>195</v>
      </c>
      <c r="R39" s="92">
        <v>15507</v>
      </c>
    </row>
    <row r="40" spans="1:22" x14ac:dyDescent="0.2">
      <c r="A40" s="51">
        <v>3</v>
      </c>
      <c r="B40" s="51">
        <f>-3*30*(9+1)</f>
        <v>-900</v>
      </c>
      <c r="C40" s="51" t="s">
        <v>185</v>
      </c>
      <c r="D40" s="51">
        <f>B38*B39+B40</f>
        <v>12.513333333333321</v>
      </c>
      <c r="G40" s="51">
        <f>30*9*(9+1)</f>
        <v>2700</v>
      </c>
      <c r="Q40" s="45" t="s">
        <v>196</v>
      </c>
      <c r="R40" s="45" t="s">
        <v>197</v>
      </c>
      <c r="S40" s="33" t="s">
        <v>208</v>
      </c>
    </row>
    <row r="41" spans="1:22" x14ac:dyDescent="0.2">
      <c r="B41" s="51">
        <f>CHIINV(0.05,2)</f>
        <v>5.9914645471079817</v>
      </c>
      <c r="C41" s="51" t="s">
        <v>186</v>
      </c>
      <c r="G41" s="51">
        <f>12/G40</f>
        <v>4.4444444444444444E-3</v>
      </c>
    </row>
    <row r="42" spans="1:22" x14ac:dyDescent="0.2">
      <c r="F42" s="51" t="s">
        <v>216</v>
      </c>
      <c r="G42" s="51">
        <f>SUMSQ(N33:V33)</f>
        <v>205315.5</v>
      </c>
      <c r="H42" s="51">
        <f>G41*G42</f>
        <v>912.51333333333332</v>
      </c>
    </row>
    <row r="43" spans="1:22" x14ac:dyDescent="0.2">
      <c r="G43" s="51">
        <f>3*30*(9+1)</f>
        <v>900</v>
      </c>
      <c r="H43" s="51">
        <f>H42-G43</f>
        <v>12.513333333333321</v>
      </c>
      <c r="N43" s="162" t="s">
        <v>200</v>
      </c>
      <c r="O43" s="163"/>
      <c r="P43" s="163"/>
      <c r="Q43" s="163"/>
      <c r="R43" s="163"/>
      <c r="S43" s="34" t="s">
        <v>201</v>
      </c>
      <c r="T43" s="164" t="s">
        <v>202</v>
      </c>
      <c r="U43" s="164"/>
    </row>
    <row r="44" spans="1:22" x14ac:dyDescent="0.2">
      <c r="C44" s="53">
        <v>3.8666666666666667</v>
      </c>
      <c r="D44" s="51">
        <v>170.5</v>
      </c>
      <c r="N44" s="128" t="s">
        <v>51</v>
      </c>
      <c r="O44" s="128"/>
      <c r="P44" s="128"/>
      <c r="Q44" s="128"/>
      <c r="R44" s="128"/>
      <c r="S44" s="35">
        <v>3.8666666666666667</v>
      </c>
      <c r="T44" s="157">
        <f>N33</f>
        <v>170.5</v>
      </c>
      <c r="U44" s="157"/>
    </row>
    <row r="45" spans="1:22" x14ac:dyDescent="0.2">
      <c r="C45" s="53">
        <v>3.4333333333333331</v>
      </c>
      <c r="D45" s="51">
        <v>140</v>
      </c>
      <c r="N45" s="128" t="s">
        <v>53</v>
      </c>
      <c r="O45" s="128"/>
      <c r="P45" s="128"/>
      <c r="Q45" s="128"/>
      <c r="R45" s="128"/>
      <c r="S45" s="35">
        <v>3.4333333333333331</v>
      </c>
      <c r="T45" s="154">
        <f>O33</f>
        <v>140</v>
      </c>
      <c r="U45" s="154"/>
    </row>
    <row r="46" spans="1:22" x14ac:dyDescent="0.2">
      <c r="C46" s="53">
        <v>3.8</v>
      </c>
      <c r="D46" s="51">
        <v>166.5</v>
      </c>
      <c r="N46" s="128" t="s">
        <v>54</v>
      </c>
      <c r="O46" s="128"/>
      <c r="P46" s="128"/>
      <c r="Q46" s="128"/>
      <c r="R46" s="128"/>
      <c r="S46" s="35">
        <v>3.8</v>
      </c>
      <c r="T46" s="154">
        <f>P33</f>
        <v>166.5</v>
      </c>
      <c r="U46" s="154"/>
    </row>
    <row r="47" spans="1:22" x14ac:dyDescent="0.2">
      <c r="C47" s="53">
        <v>3.6</v>
      </c>
      <c r="D47" s="51">
        <v>159.5</v>
      </c>
      <c r="N47" s="128" t="s">
        <v>55</v>
      </c>
      <c r="O47" s="128"/>
      <c r="P47" s="128"/>
      <c r="Q47" s="128"/>
      <c r="R47" s="128"/>
      <c r="S47" s="35">
        <v>3.6</v>
      </c>
      <c r="T47" s="154">
        <f>Q33</f>
        <v>159.5</v>
      </c>
      <c r="U47" s="154"/>
    </row>
    <row r="48" spans="1:22" x14ac:dyDescent="0.2">
      <c r="C48" s="53">
        <v>3.4333333333333331</v>
      </c>
      <c r="D48" s="51">
        <v>144</v>
      </c>
      <c r="N48" s="128" t="s">
        <v>52</v>
      </c>
      <c r="O48" s="128"/>
      <c r="P48" s="128"/>
      <c r="Q48" s="128"/>
      <c r="R48" s="128"/>
      <c r="S48" s="35">
        <v>3.4333333333333331</v>
      </c>
      <c r="T48" s="154">
        <f>R33</f>
        <v>144</v>
      </c>
      <c r="U48" s="154"/>
    </row>
    <row r="49" spans="3:21" x14ac:dyDescent="0.2">
      <c r="C49" s="53">
        <v>3.1333333333333333</v>
      </c>
      <c r="D49" s="51">
        <v>121.5</v>
      </c>
      <c r="N49" s="128" t="s">
        <v>56</v>
      </c>
      <c r="O49" s="128"/>
      <c r="P49" s="128"/>
      <c r="Q49" s="128"/>
      <c r="R49" s="128"/>
      <c r="S49" s="35">
        <v>3.1333333333333333</v>
      </c>
      <c r="T49" s="154">
        <f>S33</f>
        <v>121.5</v>
      </c>
      <c r="U49" s="154"/>
    </row>
    <row r="50" spans="3:21" x14ac:dyDescent="0.2">
      <c r="C50" s="53">
        <v>3.2</v>
      </c>
      <c r="D50" s="51">
        <v>125.5</v>
      </c>
      <c r="N50" s="128" t="s">
        <v>57</v>
      </c>
      <c r="O50" s="128"/>
      <c r="P50" s="128"/>
      <c r="Q50" s="128"/>
      <c r="R50" s="128"/>
      <c r="S50" s="35">
        <v>3.2</v>
      </c>
      <c r="T50" s="154">
        <f>T33</f>
        <v>125.5</v>
      </c>
      <c r="U50" s="154"/>
    </row>
    <row r="51" spans="3:21" x14ac:dyDescent="0.2">
      <c r="C51" s="53">
        <v>3.5333333333333332</v>
      </c>
      <c r="D51" s="51">
        <v>150.5</v>
      </c>
      <c r="N51" s="128" t="s">
        <v>58</v>
      </c>
      <c r="O51" s="128"/>
      <c r="P51" s="128"/>
      <c r="Q51" s="128"/>
      <c r="R51" s="128"/>
      <c r="S51" s="35">
        <v>3.5333333333333332</v>
      </c>
      <c r="T51" s="154">
        <f>U33</f>
        <v>150.5</v>
      </c>
      <c r="U51" s="154"/>
    </row>
    <row r="52" spans="3:21" x14ac:dyDescent="0.2">
      <c r="C52" s="53">
        <v>3.7666666666666666</v>
      </c>
      <c r="D52" s="51">
        <v>172</v>
      </c>
      <c r="N52" s="166" t="s">
        <v>59</v>
      </c>
      <c r="O52" s="166"/>
      <c r="P52" s="166"/>
      <c r="Q52" s="166"/>
      <c r="R52" s="166"/>
      <c r="S52" s="35">
        <v>3.7666666666666666</v>
      </c>
      <c r="T52" s="155">
        <f>V33</f>
        <v>172</v>
      </c>
      <c r="U52" s="155"/>
    </row>
    <row r="53" spans="3:21" x14ac:dyDescent="0.2">
      <c r="N53" s="159" t="s">
        <v>203</v>
      </c>
      <c r="O53" s="160"/>
      <c r="P53" s="160"/>
      <c r="Q53" s="160"/>
      <c r="R53" s="160"/>
      <c r="S53" s="36" t="s">
        <v>207</v>
      </c>
      <c r="T53" s="156"/>
      <c r="U53" s="156"/>
    </row>
  </sheetData>
  <mergeCells count="26">
    <mergeCell ref="A1:A2"/>
    <mergeCell ref="B1:B2"/>
    <mergeCell ref="C1:K1"/>
    <mergeCell ref="N1:V1"/>
    <mergeCell ref="N43:R43"/>
    <mergeCell ref="T43:U43"/>
    <mergeCell ref="N44:R44"/>
    <mergeCell ref="T44:U44"/>
    <mergeCell ref="N45:R45"/>
    <mergeCell ref="T45:U45"/>
    <mergeCell ref="N46:R46"/>
    <mergeCell ref="T46:U46"/>
    <mergeCell ref="N47:R47"/>
    <mergeCell ref="T47:U47"/>
    <mergeCell ref="N48:R48"/>
    <mergeCell ref="T48:U48"/>
    <mergeCell ref="N49:R49"/>
    <mergeCell ref="T49:U49"/>
    <mergeCell ref="N53:R53"/>
    <mergeCell ref="T53:U53"/>
    <mergeCell ref="N50:R50"/>
    <mergeCell ref="T50:U50"/>
    <mergeCell ref="N51:R51"/>
    <mergeCell ref="T51:U51"/>
    <mergeCell ref="N52:R52"/>
    <mergeCell ref="T52:U52"/>
  </mergeCells>
  <conditionalFormatting sqref="C3:K32">
    <cfRule type="colorScale" priority="1">
      <colorScale>
        <cfvo type="min"/>
        <cfvo type="max"/>
        <color rgb="FFFCFCFF"/>
        <color rgb="FFF8696B"/>
      </colorScale>
    </cfRule>
  </conditionalFormatting>
  <conditionalFormatting sqref="P43">
    <cfRule type="colorScale" priority="2">
      <colorScale>
        <cfvo type="min"/>
        <cfvo type="max"/>
        <color rgb="FF63BE7B"/>
        <color rgb="FFFCFCFF"/>
      </colorScale>
    </cfRule>
  </conditionalFormatting>
  <conditionalFormatting sqref="Y3">
    <cfRule type="colorScale" priority="3">
      <colorScale>
        <cfvo type="min"/>
        <cfvo type="max"/>
        <color rgb="FFF8696B"/>
        <color rgb="FFFCFCFF"/>
      </colorScale>
    </cfRule>
    <cfRule type="colorScale" priority="4">
      <colorScale>
        <cfvo type="min"/>
        <cfvo type="max"/>
        <color rgb="FF63BE7B"/>
        <color rgb="FFFCFCFF"/>
      </colorScale>
    </cfRule>
  </conditionalFormatting>
  <pageMargins left="0.7" right="0.7" top="0.75" bottom="0.75" header="0.3" footer="0.3"/>
  <pageSetup paperSize="9" orientation="portrait" horizontalDpi="0" verticalDpi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909AE-DAA2-834C-BAAC-9F36C5C267B4}">
  <dimension ref="A1:AG43"/>
  <sheetViews>
    <sheetView workbookViewId="0">
      <selection activeCell="P17" sqref="P17"/>
    </sheetView>
  </sheetViews>
  <sheetFormatPr baseColWidth="10" defaultRowHeight="16" x14ac:dyDescent="0.2"/>
  <cols>
    <col min="1" max="1" width="18.83203125" style="51" customWidth="1"/>
    <col min="2" max="2" width="7" style="51" customWidth="1"/>
    <col min="3" max="3" width="9.5" style="51" customWidth="1"/>
    <col min="4" max="4" width="8.6640625" style="51" customWidth="1"/>
    <col min="5" max="5" width="9.5" style="51" customWidth="1"/>
    <col min="6" max="6" width="8.83203125" style="51" customWidth="1"/>
    <col min="7" max="7" width="11.33203125" style="51" customWidth="1"/>
    <col min="8" max="8" width="9.33203125" style="51" customWidth="1"/>
    <col min="9" max="9" width="9.1640625" style="51" customWidth="1"/>
    <col min="10" max="10" width="9.33203125" style="51" customWidth="1"/>
    <col min="11" max="11" width="11.5" style="51" customWidth="1"/>
    <col min="12" max="12" width="13.1640625" style="51" customWidth="1"/>
    <col min="13" max="13" width="12.1640625" style="51" customWidth="1"/>
    <col min="14" max="14" width="5.6640625" style="51" customWidth="1"/>
    <col min="15" max="15" width="6.33203125" style="51" customWidth="1"/>
    <col min="16" max="16" width="6.6640625" style="51" customWidth="1"/>
    <col min="17" max="17" width="7.33203125" style="51" customWidth="1"/>
    <col min="18" max="18" width="6.83203125" style="51" customWidth="1"/>
    <col min="19" max="20" width="7.33203125" style="51" customWidth="1"/>
    <col min="21" max="21" width="4.6640625" style="51" customWidth="1"/>
    <col min="22" max="22" width="5.6640625" style="51" customWidth="1"/>
    <col min="23" max="23" width="4.6640625" style="51" customWidth="1"/>
    <col min="24" max="24" width="4.33203125" style="51" customWidth="1"/>
    <col min="25" max="25" width="9.5" style="51" customWidth="1"/>
    <col min="26" max="26" width="4.6640625" style="51" customWidth="1"/>
    <col min="27" max="27" width="5" style="51" customWidth="1"/>
    <col min="28" max="28" width="5.33203125" style="51" customWidth="1"/>
    <col min="29" max="29" width="5" style="51" customWidth="1"/>
    <col min="30" max="30" width="5.5" style="51" customWidth="1"/>
    <col min="31" max="31" width="5.83203125" style="51" customWidth="1"/>
    <col min="32" max="16384" width="10.83203125" style="51"/>
  </cols>
  <sheetData>
    <row r="1" spans="1:33" x14ac:dyDescent="0.2">
      <c r="A1" s="167" t="s">
        <v>228</v>
      </c>
      <c r="B1" s="168" t="s">
        <v>229</v>
      </c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69"/>
      <c r="AA1" s="169"/>
      <c r="AB1" s="169"/>
      <c r="AC1" s="169"/>
      <c r="AD1" s="169"/>
      <c r="AE1" s="169"/>
      <c r="AF1" s="169"/>
      <c r="AG1" s="170"/>
    </row>
    <row r="2" spans="1:33" x14ac:dyDescent="0.2">
      <c r="A2" s="167"/>
      <c r="B2" s="94" t="s">
        <v>230</v>
      </c>
      <c r="C2" s="94" t="s">
        <v>231</v>
      </c>
      <c r="D2" s="94" t="s">
        <v>232</v>
      </c>
      <c r="E2" s="94" t="s">
        <v>233</v>
      </c>
      <c r="F2" s="94" t="s">
        <v>234</v>
      </c>
      <c r="G2" s="94" t="s">
        <v>235</v>
      </c>
      <c r="H2" s="94" t="s">
        <v>236</v>
      </c>
      <c r="I2" s="94" t="s">
        <v>237</v>
      </c>
      <c r="J2" s="94" t="s">
        <v>238</v>
      </c>
      <c r="K2" s="94" t="s">
        <v>239</v>
      </c>
      <c r="L2" s="94" t="s">
        <v>240</v>
      </c>
      <c r="M2" s="94" t="s">
        <v>65</v>
      </c>
      <c r="N2" s="94" t="s">
        <v>241</v>
      </c>
      <c r="O2" s="94" t="s">
        <v>242</v>
      </c>
      <c r="P2" s="94" t="s">
        <v>243</v>
      </c>
      <c r="Q2" s="94" t="s">
        <v>77</v>
      </c>
      <c r="R2" s="94" t="s">
        <v>244</v>
      </c>
      <c r="S2" s="94" t="s">
        <v>245</v>
      </c>
      <c r="T2" s="94" t="s">
        <v>246</v>
      </c>
      <c r="U2" s="94" t="s">
        <v>247</v>
      </c>
      <c r="V2" s="94" t="s">
        <v>248</v>
      </c>
      <c r="W2" s="94" t="s">
        <v>249</v>
      </c>
      <c r="X2" s="94" t="s">
        <v>250</v>
      </c>
      <c r="Y2" s="94" t="s">
        <v>251</v>
      </c>
      <c r="Z2" s="94" t="s">
        <v>252</v>
      </c>
      <c r="AA2" s="94" t="s">
        <v>253</v>
      </c>
      <c r="AB2" s="94" t="s">
        <v>90</v>
      </c>
      <c r="AC2" s="94" t="s">
        <v>254</v>
      </c>
      <c r="AD2" s="94" t="s">
        <v>255</v>
      </c>
      <c r="AE2" s="94" t="s">
        <v>256</v>
      </c>
      <c r="AF2" s="94" t="s">
        <v>19</v>
      </c>
      <c r="AG2" s="94" t="s">
        <v>267</v>
      </c>
    </row>
    <row r="3" spans="1:33" x14ac:dyDescent="0.2">
      <c r="A3" s="94" t="s">
        <v>257</v>
      </c>
      <c r="B3" s="54">
        <v>0.6</v>
      </c>
      <c r="C3" s="54">
        <v>0.5</v>
      </c>
      <c r="D3" s="54">
        <v>0.7</v>
      </c>
      <c r="E3" s="54">
        <v>1</v>
      </c>
      <c r="F3" s="54">
        <v>0.6</v>
      </c>
      <c r="G3" s="54">
        <v>0.4</v>
      </c>
      <c r="H3" s="54">
        <v>1</v>
      </c>
      <c r="I3" s="54">
        <v>0.6</v>
      </c>
      <c r="J3" s="54">
        <v>0.7</v>
      </c>
      <c r="K3" s="54">
        <v>0.7</v>
      </c>
      <c r="L3" s="54">
        <v>0.8</v>
      </c>
      <c r="M3" s="54">
        <v>0.9</v>
      </c>
      <c r="N3" s="54">
        <v>0.9</v>
      </c>
      <c r="O3" s="54">
        <v>0.5</v>
      </c>
      <c r="P3" s="54">
        <v>0.4</v>
      </c>
      <c r="Q3" s="54">
        <v>0.8</v>
      </c>
      <c r="R3" s="54">
        <v>0.1</v>
      </c>
      <c r="S3" s="54">
        <v>0.8</v>
      </c>
      <c r="T3" s="54">
        <v>0.3</v>
      </c>
      <c r="U3" s="54">
        <v>0.7</v>
      </c>
      <c r="V3" s="54">
        <v>0.5</v>
      </c>
      <c r="W3" s="54">
        <v>1</v>
      </c>
      <c r="X3" s="54">
        <v>0.3</v>
      </c>
      <c r="Y3" s="54">
        <v>0.6</v>
      </c>
      <c r="Z3" s="54">
        <v>0.9</v>
      </c>
      <c r="AA3" s="54">
        <v>0.7</v>
      </c>
      <c r="AB3" s="54">
        <v>0.8</v>
      </c>
      <c r="AC3" s="54">
        <v>0.5</v>
      </c>
      <c r="AD3" s="54">
        <v>1</v>
      </c>
      <c r="AE3" s="54">
        <v>0.4</v>
      </c>
      <c r="AF3" s="54">
        <f>SUM(B3:AE3)</f>
        <v>19.7</v>
      </c>
      <c r="AG3" s="55">
        <f>AF3/$AF$13</f>
        <v>9.205607476635512E-2</v>
      </c>
    </row>
    <row r="4" spans="1:33" x14ac:dyDescent="0.2">
      <c r="A4" s="94" t="s">
        <v>258</v>
      </c>
      <c r="B4" s="54">
        <v>0.4</v>
      </c>
      <c r="C4" s="54">
        <v>0.5</v>
      </c>
      <c r="D4" s="54">
        <v>0.8</v>
      </c>
      <c r="E4" s="54">
        <v>0.9</v>
      </c>
      <c r="F4" s="54">
        <v>0.4</v>
      </c>
      <c r="G4" s="54">
        <v>0.3</v>
      </c>
      <c r="H4" s="54">
        <v>0.9</v>
      </c>
      <c r="I4" s="54">
        <v>0.7</v>
      </c>
      <c r="J4" s="54">
        <v>0.6</v>
      </c>
      <c r="K4" s="54">
        <v>0.6</v>
      </c>
      <c r="L4" s="54">
        <v>0.8</v>
      </c>
      <c r="M4" s="54">
        <v>0.6</v>
      </c>
      <c r="N4" s="54">
        <v>0.6</v>
      </c>
      <c r="O4" s="54">
        <v>0.1</v>
      </c>
      <c r="P4" s="54">
        <v>0.6</v>
      </c>
      <c r="Q4" s="54">
        <v>0.8</v>
      </c>
      <c r="R4" s="54">
        <v>1</v>
      </c>
      <c r="S4" s="54">
        <v>0.6</v>
      </c>
      <c r="T4" s="54">
        <v>0.4</v>
      </c>
      <c r="U4" s="54">
        <v>0.2</v>
      </c>
      <c r="V4" s="54">
        <v>0.4</v>
      </c>
      <c r="W4" s="54">
        <v>0.9</v>
      </c>
      <c r="X4" s="54">
        <v>0.2</v>
      </c>
      <c r="Y4" s="54">
        <v>0.3</v>
      </c>
      <c r="Z4" s="54">
        <v>0.5</v>
      </c>
      <c r="AA4" s="54">
        <v>0.6</v>
      </c>
      <c r="AB4" s="54">
        <v>0.8</v>
      </c>
      <c r="AC4" s="54">
        <v>0.4</v>
      </c>
      <c r="AD4" s="54">
        <v>0.7</v>
      </c>
      <c r="AE4" s="54">
        <v>0.1</v>
      </c>
      <c r="AF4" s="54">
        <f t="shared" ref="AF4:AF12" si="0">SUM(B4:AE4)</f>
        <v>16.700000000000003</v>
      </c>
      <c r="AG4" s="55">
        <f t="shared" ref="AG4:AG12" si="1">AF4/$AF$13</f>
        <v>7.8037383177570099E-2</v>
      </c>
    </row>
    <row r="5" spans="1:33" x14ac:dyDescent="0.2">
      <c r="A5" s="94" t="s">
        <v>259</v>
      </c>
      <c r="B5" s="54">
        <v>0.1</v>
      </c>
      <c r="C5" s="54">
        <v>0.4</v>
      </c>
      <c r="D5" s="54">
        <v>0.9</v>
      </c>
      <c r="E5" s="54">
        <v>1</v>
      </c>
      <c r="F5" s="54">
        <v>0.9</v>
      </c>
      <c r="G5" s="54">
        <v>0.5</v>
      </c>
      <c r="H5" s="54">
        <v>0.9</v>
      </c>
      <c r="I5" s="54">
        <v>0.8</v>
      </c>
      <c r="J5" s="54">
        <v>0.8</v>
      </c>
      <c r="K5" s="54">
        <v>0.6</v>
      </c>
      <c r="L5" s="54">
        <v>0.9</v>
      </c>
      <c r="M5" s="54">
        <v>0.7</v>
      </c>
      <c r="N5" s="54">
        <v>0.9</v>
      </c>
      <c r="O5" s="54">
        <v>0.7</v>
      </c>
      <c r="P5" s="54">
        <v>0.9</v>
      </c>
      <c r="Q5" s="54">
        <v>0.9</v>
      </c>
      <c r="R5" s="54">
        <v>1</v>
      </c>
      <c r="S5" s="54">
        <v>0.7</v>
      </c>
      <c r="T5" s="54">
        <v>0.6</v>
      </c>
      <c r="U5" s="54">
        <v>0.9</v>
      </c>
      <c r="V5" s="54">
        <v>0.4</v>
      </c>
      <c r="W5" s="54">
        <v>0.8</v>
      </c>
      <c r="X5" s="54">
        <v>0.4</v>
      </c>
      <c r="Y5" s="54">
        <v>0.8</v>
      </c>
      <c r="Z5" s="54">
        <v>0.8</v>
      </c>
      <c r="AA5" s="54">
        <v>0.7</v>
      </c>
      <c r="AB5" s="54">
        <v>0.7</v>
      </c>
      <c r="AC5" s="54">
        <v>0.6</v>
      </c>
      <c r="AD5" s="54">
        <v>0.8</v>
      </c>
      <c r="AE5" s="54">
        <v>0.8</v>
      </c>
      <c r="AF5" s="54">
        <f t="shared" si="0"/>
        <v>21.900000000000002</v>
      </c>
      <c r="AG5" s="55">
        <f t="shared" si="1"/>
        <v>0.10233644859813083</v>
      </c>
    </row>
    <row r="6" spans="1:33" x14ac:dyDescent="0.2">
      <c r="A6" s="94" t="s">
        <v>260</v>
      </c>
      <c r="B6" s="54">
        <v>0.4</v>
      </c>
      <c r="C6" s="54">
        <v>0.5</v>
      </c>
      <c r="D6" s="54">
        <v>0.9</v>
      </c>
      <c r="E6" s="54">
        <v>1</v>
      </c>
      <c r="F6" s="54">
        <v>0.8</v>
      </c>
      <c r="G6" s="54">
        <v>0.6</v>
      </c>
      <c r="H6" s="54">
        <v>0.9</v>
      </c>
      <c r="I6" s="54">
        <v>0.8</v>
      </c>
      <c r="J6" s="54">
        <v>0.9</v>
      </c>
      <c r="K6" s="54">
        <v>0.7</v>
      </c>
      <c r="L6" s="54">
        <v>0.9</v>
      </c>
      <c r="M6" s="54">
        <v>1</v>
      </c>
      <c r="N6" s="54">
        <v>0.8</v>
      </c>
      <c r="O6" s="54">
        <v>0.8</v>
      </c>
      <c r="P6" s="54">
        <v>0.1</v>
      </c>
      <c r="Q6" s="54">
        <v>0.9</v>
      </c>
      <c r="R6" s="54">
        <v>1</v>
      </c>
      <c r="S6" s="54">
        <v>0.9</v>
      </c>
      <c r="T6" s="54">
        <v>0.8</v>
      </c>
      <c r="U6" s="54">
        <v>0.8</v>
      </c>
      <c r="V6" s="54">
        <v>0.6</v>
      </c>
      <c r="W6" s="54">
        <v>0.9</v>
      </c>
      <c r="X6" s="54">
        <v>0.3</v>
      </c>
      <c r="Y6" s="54">
        <v>0.4</v>
      </c>
      <c r="Z6" s="54">
        <v>0.9</v>
      </c>
      <c r="AA6" s="54">
        <v>0.8</v>
      </c>
      <c r="AB6" s="54">
        <v>0.7</v>
      </c>
      <c r="AC6" s="54">
        <v>0.3</v>
      </c>
      <c r="AD6" s="54">
        <v>1</v>
      </c>
      <c r="AE6" s="54">
        <v>0.2</v>
      </c>
      <c r="AF6" s="54">
        <f t="shared" si="0"/>
        <v>21.6</v>
      </c>
      <c r="AG6" s="55">
        <f t="shared" si="1"/>
        <v>0.10093457943925233</v>
      </c>
    </row>
    <row r="7" spans="1:33" x14ac:dyDescent="0.2">
      <c r="A7" s="94" t="s">
        <v>261</v>
      </c>
      <c r="B7" s="54">
        <v>0.3</v>
      </c>
      <c r="C7" s="54">
        <v>0.5</v>
      </c>
      <c r="D7" s="54">
        <v>0.7</v>
      </c>
      <c r="E7" s="54">
        <v>0.9</v>
      </c>
      <c r="F7" s="54">
        <v>0.6</v>
      </c>
      <c r="G7" s="54">
        <v>0.2</v>
      </c>
      <c r="H7" s="54">
        <v>1</v>
      </c>
      <c r="I7" s="54">
        <v>0.9</v>
      </c>
      <c r="J7" s="54">
        <v>1</v>
      </c>
      <c r="K7" s="54">
        <v>0.5</v>
      </c>
      <c r="L7" s="54">
        <v>0.9</v>
      </c>
      <c r="M7" s="54">
        <v>0.9</v>
      </c>
      <c r="N7" s="54">
        <v>0.9</v>
      </c>
      <c r="O7" s="54">
        <v>0.9</v>
      </c>
      <c r="P7" s="54">
        <v>1</v>
      </c>
      <c r="Q7" s="54">
        <v>1</v>
      </c>
      <c r="R7" s="54">
        <v>1</v>
      </c>
      <c r="S7" s="54">
        <v>1</v>
      </c>
      <c r="T7" s="54">
        <v>0.7</v>
      </c>
      <c r="U7" s="54">
        <v>0.8</v>
      </c>
      <c r="V7" s="54">
        <v>0.6</v>
      </c>
      <c r="W7" s="54">
        <v>1</v>
      </c>
      <c r="X7" s="54">
        <v>0.9</v>
      </c>
      <c r="Y7" s="54">
        <v>0.9</v>
      </c>
      <c r="Z7" s="54">
        <v>1</v>
      </c>
      <c r="AA7" s="54">
        <v>0.7</v>
      </c>
      <c r="AB7" s="54">
        <v>0.7</v>
      </c>
      <c r="AC7" s="54">
        <v>0.7</v>
      </c>
      <c r="AD7" s="54">
        <v>1</v>
      </c>
      <c r="AE7" s="54">
        <v>0.8</v>
      </c>
      <c r="AF7" s="54">
        <f t="shared" si="0"/>
        <v>23.999999999999996</v>
      </c>
      <c r="AG7" s="55">
        <f t="shared" si="1"/>
        <v>0.11214953271028034</v>
      </c>
    </row>
    <row r="8" spans="1:33" x14ac:dyDescent="0.2">
      <c r="A8" s="94" t="s">
        <v>262</v>
      </c>
      <c r="B8" s="54">
        <v>0.2</v>
      </c>
      <c r="C8" s="54">
        <v>0.5</v>
      </c>
      <c r="D8" s="54">
        <v>0.9</v>
      </c>
      <c r="E8" s="54">
        <v>0.8</v>
      </c>
      <c r="F8" s="54">
        <v>0.8</v>
      </c>
      <c r="G8" s="54">
        <v>0.1</v>
      </c>
      <c r="H8" s="54">
        <v>0.9</v>
      </c>
      <c r="I8" s="54">
        <v>0.8</v>
      </c>
      <c r="J8" s="54">
        <v>0.5</v>
      </c>
      <c r="K8" s="54">
        <v>0.9</v>
      </c>
      <c r="L8" s="54">
        <v>0.9</v>
      </c>
      <c r="M8" s="54">
        <v>0.5</v>
      </c>
      <c r="N8" s="54">
        <v>0.9</v>
      </c>
      <c r="O8" s="54">
        <v>0.9</v>
      </c>
      <c r="P8" s="54">
        <v>0.5</v>
      </c>
      <c r="Q8" s="54">
        <v>1</v>
      </c>
      <c r="R8" s="54">
        <v>1</v>
      </c>
      <c r="S8" s="54">
        <v>0.5</v>
      </c>
      <c r="T8" s="54">
        <v>0.5</v>
      </c>
      <c r="U8" s="54">
        <v>0.7</v>
      </c>
      <c r="V8" s="54">
        <v>0.6</v>
      </c>
      <c r="W8" s="54">
        <v>0.8</v>
      </c>
      <c r="X8" s="54">
        <v>0.6</v>
      </c>
      <c r="Y8" s="54">
        <v>1</v>
      </c>
      <c r="Z8" s="54">
        <v>1</v>
      </c>
      <c r="AA8" s="54">
        <v>0.6</v>
      </c>
      <c r="AB8" s="54">
        <v>0.7</v>
      </c>
      <c r="AC8" s="54">
        <v>0.2</v>
      </c>
      <c r="AD8" s="54">
        <v>0.6</v>
      </c>
      <c r="AE8" s="54">
        <v>0.7</v>
      </c>
      <c r="AF8" s="54">
        <f t="shared" si="0"/>
        <v>20.6</v>
      </c>
      <c r="AG8" s="55">
        <f t="shared" si="1"/>
        <v>9.6261682242990643E-2</v>
      </c>
    </row>
    <row r="9" spans="1:33" x14ac:dyDescent="0.2">
      <c r="A9" s="94" t="s">
        <v>263</v>
      </c>
      <c r="B9" s="54">
        <v>0.5</v>
      </c>
      <c r="C9" s="54">
        <v>0.5</v>
      </c>
      <c r="D9" s="54">
        <v>0.8</v>
      </c>
      <c r="E9" s="54">
        <v>1</v>
      </c>
      <c r="F9" s="54">
        <v>0.7</v>
      </c>
      <c r="G9" s="54">
        <v>0.7</v>
      </c>
      <c r="H9" s="54">
        <v>1</v>
      </c>
      <c r="I9" s="54">
        <v>0.8</v>
      </c>
      <c r="J9" s="54">
        <v>0.4</v>
      </c>
      <c r="K9" s="54">
        <v>0.7</v>
      </c>
      <c r="L9" s="54">
        <v>1</v>
      </c>
      <c r="M9" s="54">
        <v>0.9</v>
      </c>
      <c r="N9" s="54">
        <v>0.9</v>
      </c>
      <c r="O9" s="54">
        <v>0.8</v>
      </c>
      <c r="P9" s="54">
        <v>0.8</v>
      </c>
      <c r="Q9" s="54">
        <v>1</v>
      </c>
      <c r="R9" s="54">
        <v>1</v>
      </c>
      <c r="S9" s="54">
        <v>0.4</v>
      </c>
      <c r="T9" s="54">
        <v>0.9</v>
      </c>
      <c r="U9" s="54">
        <v>0.6</v>
      </c>
      <c r="V9" s="54">
        <v>0.8</v>
      </c>
      <c r="W9" s="54">
        <v>0.9</v>
      </c>
      <c r="X9" s="54">
        <v>0.5</v>
      </c>
      <c r="Y9" s="54">
        <v>0.6</v>
      </c>
      <c r="Z9" s="54">
        <v>0.9</v>
      </c>
      <c r="AA9" s="54">
        <v>0.7</v>
      </c>
      <c r="AB9" s="54">
        <v>0.9</v>
      </c>
      <c r="AC9" s="54">
        <v>0.8</v>
      </c>
      <c r="AD9" s="54">
        <v>0.9</v>
      </c>
      <c r="AE9" s="54">
        <v>1</v>
      </c>
      <c r="AF9" s="54">
        <f t="shared" si="0"/>
        <v>23.4</v>
      </c>
      <c r="AG9" s="55">
        <f t="shared" si="1"/>
        <v>0.10934579439252334</v>
      </c>
    </row>
    <row r="10" spans="1:33" x14ac:dyDescent="0.2">
      <c r="A10" s="94" t="s">
        <v>264</v>
      </c>
      <c r="B10" s="54">
        <v>0.3</v>
      </c>
      <c r="C10" s="54">
        <v>0.5</v>
      </c>
      <c r="D10" s="54">
        <v>0.8</v>
      </c>
      <c r="E10" s="54">
        <v>0.8</v>
      </c>
      <c r="F10" s="54">
        <v>0.8</v>
      </c>
      <c r="G10" s="54">
        <v>0.9</v>
      </c>
      <c r="H10" s="54">
        <v>1</v>
      </c>
      <c r="I10" s="54">
        <v>0.7</v>
      </c>
      <c r="J10" s="54">
        <v>0.3</v>
      </c>
      <c r="K10" s="54">
        <v>0.8</v>
      </c>
      <c r="L10" s="54">
        <v>0.9</v>
      </c>
      <c r="M10" s="54">
        <v>0.9</v>
      </c>
      <c r="N10" s="54">
        <v>0.9</v>
      </c>
      <c r="O10" s="54">
        <v>0.8</v>
      </c>
      <c r="P10" s="54">
        <v>1</v>
      </c>
      <c r="Q10" s="54">
        <v>0.9</v>
      </c>
      <c r="R10" s="54">
        <v>1</v>
      </c>
      <c r="S10" s="54">
        <v>0.3</v>
      </c>
      <c r="T10" s="54">
        <v>0.2</v>
      </c>
      <c r="U10" s="54">
        <v>0.7</v>
      </c>
      <c r="V10" s="54">
        <v>0.7</v>
      </c>
      <c r="W10" s="54">
        <v>0.9</v>
      </c>
      <c r="X10" s="54">
        <v>0.8</v>
      </c>
      <c r="Y10" s="54">
        <v>0.7</v>
      </c>
      <c r="Z10" s="54">
        <v>0.9</v>
      </c>
      <c r="AA10" s="54">
        <v>0.8</v>
      </c>
      <c r="AB10" s="54">
        <v>0.7</v>
      </c>
      <c r="AC10" s="54">
        <v>0.1</v>
      </c>
      <c r="AD10" s="54">
        <v>0.8</v>
      </c>
      <c r="AE10" s="54">
        <v>1</v>
      </c>
      <c r="AF10" s="54">
        <f t="shared" si="0"/>
        <v>21.900000000000002</v>
      </c>
      <c r="AG10" s="55">
        <f t="shared" si="1"/>
        <v>0.10233644859813083</v>
      </c>
    </row>
    <row r="11" spans="1:33" x14ac:dyDescent="0.2">
      <c r="A11" s="94" t="s">
        <v>265</v>
      </c>
      <c r="B11" s="54">
        <v>0.7</v>
      </c>
      <c r="C11" s="54">
        <v>0.5</v>
      </c>
      <c r="D11" s="54">
        <v>0.9</v>
      </c>
      <c r="E11" s="54">
        <v>1</v>
      </c>
      <c r="F11" s="54">
        <v>0.9</v>
      </c>
      <c r="G11" s="54">
        <v>0.8</v>
      </c>
      <c r="H11" s="54">
        <v>1</v>
      </c>
      <c r="I11" s="54">
        <v>0.8</v>
      </c>
      <c r="J11" s="54">
        <v>0.1</v>
      </c>
      <c r="K11" s="54">
        <v>0.7</v>
      </c>
      <c r="L11" s="54">
        <v>0.9</v>
      </c>
      <c r="M11" s="54">
        <v>0.6</v>
      </c>
      <c r="N11" s="54">
        <v>0.9</v>
      </c>
      <c r="O11" s="54">
        <v>0.6</v>
      </c>
      <c r="P11" s="54">
        <v>1</v>
      </c>
      <c r="Q11" s="54">
        <v>0.9</v>
      </c>
      <c r="R11" s="54">
        <v>1</v>
      </c>
      <c r="S11" s="54">
        <v>0.1</v>
      </c>
      <c r="T11" s="54">
        <v>1</v>
      </c>
      <c r="U11" s="54">
        <v>0.3</v>
      </c>
      <c r="V11" s="54">
        <v>0.6</v>
      </c>
      <c r="W11" s="54">
        <v>0.8</v>
      </c>
      <c r="X11" s="54">
        <v>0.1</v>
      </c>
      <c r="Y11" s="54">
        <v>0.3</v>
      </c>
      <c r="Z11" s="54">
        <v>0.9</v>
      </c>
      <c r="AA11" s="54">
        <v>0.5</v>
      </c>
      <c r="AB11" s="54">
        <v>0.8</v>
      </c>
      <c r="AC11" s="54">
        <v>0.9</v>
      </c>
      <c r="AD11" s="54">
        <v>0.7</v>
      </c>
      <c r="AE11" s="54">
        <v>1</v>
      </c>
      <c r="AF11" s="54">
        <f t="shared" si="0"/>
        <v>21.299999999999997</v>
      </c>
      <c r="AG11" s="55">
        <f t="shared" si="1"/>
        <v>9.9532710280373804E-2</v>
      </c>
    </row>
    <row r="12" spans="1:33" x14ac:dyDescent="0.2">
      <c r="A12" s="94" t="s">
        <v>266</v>
      </c>
      <c r="B12" s="54">
        <v>0.2</v>
      </c>
      <c r="C12" s="54">
        <v>0.5</v>
      </c>
      <c r="D12" s="54">
        <v>0.8</v>
      </c>
      <c r="E12" s="54">
        <v>0.9</v>
      </c>
      <c r="F12" s="54">
        <v>0.8</v>
      </c>
      <c r="G12" s="54">
        <v>1</v>
      </c>
      <c r="H12" s="54">
        <v>1</v>
      </c>
      <c r="I12" s="54">
        <v>0.7</v>
      </c>
      <c r="J12" s="54">
        <v>0.2</v>
      </c>
      <c r="K12" s="54">
        <v>0.9</v>
      </c>
      <c r="L12" s="54">
        <v>0.9</v>
      </c>
      <c r="M12" s="54">
        <v>0.9</v>
      </c>
      <c r="N12" s="54">
        <v>0.9</v>
      </c>
      <c r="O12" s="54">
        <v>0.5</v>
      </c>
      <c r="P12" s="54">
        <v>0.8</v>
      </c>
      <c r="Q12" s="54">
        <v>0.9</v>
      </c>
      <c r="R12" s="54">
        <v>1</v>
      </c>
      <c r="S12" s="54">
        <v>0.2</v>
      </c>
      <c r="T12" s="54">
        <v>0.1</v>
      </c>
      <c r="U12" s="54">
        <v>0.8</v>
      </c>
      <c r="V12" s="54">
        <v>0.6</v>
      </c>
      <c r="W12" s="54">
        <v>1</v>
      </c>
      <c r="X12" s="54">
        <v>1</v>
      </c>
      <c r="Y12" s="54">
        <v>1</v>
      </c>
      <c r="Z12" s="54">
        <v>0.9</v>
      </c>
      <c r="AA12" s="54">
        <v>0.8</v>
      </c>
      <c r="AB12" s="54">
        <v>0.8</v>
      </c>
      <c r="AC12" s="54">
        <v>1</v>
      </c>
      <c r="AD12" s="54">
        <v>0.8</v>
      </c>
      <c r="AE12" s="54">
        <v>1</v>
      </c>
      <c r="AF12" s="54">
        <f t="shared" si="0"/>
        <v>22.900000000000002</v>
      </c>
      <c r="AG12" s="55">
        <f t="shared" si="1"/>
        <v>0.10700934579439252</v>
      </c>
    </row>
    <row r="13" spans="1:33" x14ac:dyDescent="0.2">
      <c r="A13" s="94" t="s">
        <v>19</v>
      </c>
      <c r="B13" s="54">
        <f>SUM(B3:B12)</f>
        <v>3.7</v>
      </c>
      <c r="C13" s="54">
        <f t="shared" ref="C13:AF13" si="2">SUM(C3:C12)</f>
        <v>4.9000000000000004</v>
      </c>
      <c r="D13" s="54">
        <f t="shared" si="2"/>
        <v>8.2000000000000011</v>
      </c>
      <c r="E13" s="54">
        <f t="shared" si="2"/>
        <v>9.2999999999999989</v>
      </c>
      <c r="F13" s="54">
        <f t="shared" si="2"/>
        <v>7.3000000000000007</v>
      </c>
      <c r="G13" s="54">
        <f t="shared" si="2"/>
        <v>5.5</v>
      </c>
      <c r="H13" s="54">
        <f t="shared" si="2"/>
        <v>9.6</v>
      </c>
      <c r="I13" s="54">
        <f t="shared" si="2"/>
        <v>7.6</v>
      </c>
      <c r="J13" s="54">
        <f t="shared" si="2"/>
        <v>5.5</v>
      </c>
      <c r="K13" s="54">
        <f t="shared" si="2"/>
        <v>7.1</v>
      </c>
      <c r="L13" s="54">
        <f t="shared" si="2"/>
        <v>8.9</v>
      </c>
      <c r="M13" s="54">
        <f t="shared" si="2"/>
        <v>7.9000000000000012</v>
      </c>
      <c r="N13" s="54">
        <f t="shared" si="2"/>
        <v>8.6000000000000014</v>
      </c>
      <c r="O13" s="54">
        <f t="shared" si="2"/>
        <v>6.5999999999999988</v>
      </c>
      <c r="P13" s="54">
        <f t="shared" si="2"/>
        <v>7.1</v>
      </c>
      <c r="Q13" s="54">
        <f t="shared" si="2"/>
        <v>9.1000000000000014</v>
      </c>
      <c r="R13" s="54">
        <f t="shared" si="2"/>
        <v>9.1</v>
      </c>
      <c r="S13" s="54">
        <f t="shared" si="2"/>
        <v>5.5</v>
      </c>
      <c r="T13" s="54">
        <f t="shared" si="2"/>
        <v>5.5</v>
      </c>
      <c r="U13" s="54">
        <f t="shared" si="2"/>
        <v>6.4999999999999991</v>
      </c>
      <c r="V13" s="54">
        <f t="shared" si="2"/>
        <v>5.8</v>
      </c>
      <c r="W13" s="54">
        <f t="shared" si="2"/>
        <v>9</v>
      </c>
      <c r="X13" s="54">
        <f t="shared" si="2"/>
        <v>5.0999999999999996</v>
      </c>
      <c r="Y13" s="54">
        <f t="shared" si="2"/>
        <v>6.6</v>
      </c>
      <c r="Z13" s="54">
        <f t="shared" si="2"/>
        <v>8.7000000000000011</v>
      </c>
      <c r="AA13" s="54">
        <f t="shared" si="2"/>
        <v>6.8999999999999995</v>
      </c>
      <c r="AB13" s="54">
        <f t="shared" si="2"/>
        <v>7.6000000000000005</v>
      </c>
      <c r="AC13" s="54">
        <f t="shared" si="2"/>
        <v>5.5</v>
      </c>
      <c r="AD13" s="54">
        <f t="shared" si="2"/>
        <v>8.3000000000000007</v>
      </c>
      <c r="AE13" s="54">
        <f t="shared" si="2"/>
        <v>7</v>
      </c>
      <c r="AF13" s="54">
        <f t="shared" si="2"/>
        <v>214.00000000000003</v>
      </c>
      <c r="AG13" s="54"/>
    </row>
    <row r="16" spans="1:33" x14ac:dyDescent="0.2">
      <c r="A16" s="167" t="s">
        <v>228</v>
      </c>
      <c r="B16" s="167" t="s">
        <v>131</v>
      </c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</row>
    <row r="17" spans="1:20" x14ac:dyDescent="0.2">
      <c r="A17" s="167"/>
      <c r="B17" s="94" t="s">
        <v>51</v>
      </c>
      <c r="C17" s="94" t="s">
        <v>53</v>
      </c>
      <c r="D17" s="94" t="s">
        <v>54</v>
      </c>
      <c r="E17" s="94" t="s">
        <v>55</v>
      </c>
      <c r="F17" s="94" t="s">
        <v>52</v>
      </c>
      <c r="G17" s="94" t="s">
        <v>56</v>
      </c>
      <c r="H17" s="94" t="s">
        <v>57</v>
      </c>
      <c r="I17" s="94" t="s">
        <v>58</v>
      </c>
      <c r="J17" s="94" t="s">
        <v>59</v>
      </c>
      <c r="K17" s="94" t="s">
        <v>268</v>
      </c>
      <c r="L17" s="94" t="s">
        <v>269</v>
      </c>
      <c r="M17" s="94" t="s">
        <v>270</v>
      </c>
    </row>
    <row r="18" spans="1:20" x14ac:dyDescent="0.2">
      <c r="A18" s="94" t="s">
        <v>257</v>
      </c>
      <c r="B18" s="54">
        <v>10.802150579504207</v>
      </c>
      <c r="C18" s="54">
        <v>9.6866962880759786</v>
      </c>
      <c r="D18" s="54">
        <v>11.121771510110449</v>
      </c>
      <c r="E18" s="54">
        <v>9.4255921790215034</v>
      </c>
      <c r="F18" s="54">
        <v>9.0007023275708171</v>
      </c>
      <c r="G18" s="54">
        <v>8.1954528910688449</v>
      </c>
      <c r="H18" s="54">
        <v>7.4285339632121818</v>
      </c>
      <c r="I18" s="54">
        <v>7.3921890389033678</v>
      </c>
      <c r="J18" s="54">
        <v>6.8994300014483114</v>
      </c>
      <c r="K18" s="54">
        <f>J18</f>
        <v>6.8994300014483114</v>
      </c>
      <c r="L18" s="54">
        <f>D18</f>
        <v>11.121771510110449</v>
      </c>
      <c r="M18" s="54">
        <f>K18-L18</f>
        <v>-4.2223415086621374</v>
      </c>
    </row>
    <row r="19" spans="1:20" x14ac:dyDescent="0.2">
      <c r="A19" s="94" t="s">
        <v>258</v>
      </c>
      <c r="B19" s="54">
        <v>0.25501832237409178</v>
      </c>
      <c r="C19" s="54">
        <v>0.27136859135956981</v>
      </c>
      <c r="D19" s="54">
        <v>0.27213964573661459</v>
      </c>
      <c r="E19" s="54">
        <v>0.29767225774967282</v>
      </c>
      <c r="F19" s="54">
        <v>0.30554081035484754</v>
      </c>
      <c r="G19" s="54">
        <v>0.32398521210032988</v>
      </c>
      <c r="H19" s="54">
        <v>0.31223047924826991</v>
      </c>
      <c r="I19" s="54">
        <v>0.33203500706701883</v>
      </c>
      <c r="J19" s="54">
        <v>0.36666714727914274</v>
      </c>
      <c r="K19" s="54">
        <f>B19</f>
        <v>0.25501832237409178</v>
      </c>
      <c r="L19" s="54">
        <f>J19</f>
        <v>0.36666714727914274</v>
      </c>
      <c r="M19" s="54">
        <f t="shared" ref="M19:M27" si="3">K19-L19</f>
        <v>-0.11164882490505096</v>
      </c>
    </row>
    <row r="20" spans="1:20" x14ac:dyDescent="0.2">
      <c r="A20" s="94" t="s">
        <v>259</v>
      </c>
      <c r="B20" s="54">
        <v>1.7576215119528591E-2</v>
      </c>
      <c r="C20" s="54">
        <v>1.7576219066682726E-2</v>
      </c>
      <c r="D20" s="54">
        <v>1.7578320545765681E-2</v>
      </c>
      <c r="E20" s="54">
        <v>1.7570601616361422E-2</v>
      </c>
      <c r="F20" s="54">
        <v>1.7583242632409783E-2</v>
      </c>
      <c r="G20" s="54">
        <v>1.7578554954079766E-2</v>
      </c>
      <c r="H20" s="54">
        <v>1.7584759895060548E-2</v>
      </c>
      <c r="I20" s="54">
        <v>1.7573288620013974E-2</v>
      </c>
      <c r="J20" s="54">
        <v>1.757516059570496E-2</v>
      </c>
      <c r="K20" s="54">
        <f>H20</f>
        <v>1.7584759895060548E-2</v>
      </c>
      <c r="L20" s="54">
        <f>E20</f>
        <v>1.7570601616361422E-2</v>
      </c>
      <c r="M20" s="54">
        <f>K20-L20</f>
        <v>1.4158278699126503E-5</v>
      </c>
    </row>
    <row r="21" spans="1:20" x14ac:dyDescent="0.2">
      <c r="A21" s="94" t="s">
        <v>260</v>
      </c>
      <c r="B21" s="54">
        <v>25</v>
      </c>
      <c r="C21" s="54">
        <v>26</v>
      </c>
      <c r="D21" s="54">
        <v>26</v>
      </c>
      <c r="E21" s="54">
        <v>28</v>
      </c>
      <c r="F21" s="54">
        <v>27</v>
      </c>
      <c r="G21" s="54">
        <v>27</v>
      </c>
      <c r="H21" s="54">
        <v>29</v>
      </c>
      <c r="I21" s="54">
        <v>29</v>
      </c>
      <c r="J21" s="54">
        <v>30</v>
      </c>
      <c r="K21" s="54">
        <f>J21</f>
        <v>30</v>
      </c>
      <c r="L21" s="54">
        <f>B21</f>
        <v>25</v>
      </c>
      <c r="M21" s="54">
        <f t="shared" si="3"/>
        <v>5</v>
      </c>
    </row>
    <row r="22" spans="1:20" x14ac:dyDescent="0.2">
      <c r="A22" s="94" t="s">
        <v>261</v>
      </c>
      <c r="B22" s="54">
        <v>7.9433333333333325</v>
      </c>
      <c r="C22" s="54">
        <v>8.6666666666666661</v>
      </c>
      <c r="D22" s="54">
        <v>10.200000000000001</v>
      </c>
      <c r="E22" s="54">
        <v>12.263333333333334</v>
      </c>
      <c r="F22" s="54">
        <v>14.12</v>
      </c>
      <c r="G22" s="54">
        <v>17.466666666666665</v>
      </c>
      <c r="H22" s="54">
        <v>19.336666666666666</v>
      </c>
      <c r="I22" s="54">
        <v>21.833333333333332</v>
      </c>
      <c r="J22" s="54">
        <v>24.72</v>
      </c>
      <c r="K22" s="54">
        <f>J22</f>
        <v>24.72</v>
      </c>
      <c r="L22" s="54">
        <f>B22</f>
        <v>7.9433333333333325</v>
      </c>
      <c r="M22" s="54">
        <f t="shared" si="3"/>
        <v>16.776666666666667</v>
      </c>
    </row>
    <row r="23" spans="1:20" x14ac:dyDescent="0.2">
      <c r="A23" s="94" t="s">
        <v>262</v>
      </c>
      <c r="B23" s="54">
        <v>68.965677846618973</v>
      </c>
      <c r="C23" s="54">
        <v>68.20354824654639</v>
      </c>
      <c r="D23" s="54">
        <v>69.342270351888899</v>
      </c>
      <c r="E23" s="54">
        <v>70.798190254087402</v>
      </c>
      <c r="F23" s="54">
        <v>70.665937008746596</v>
      </c>
      <c r="G23" s="54">
        <v>71.973752149928814</v>
      </c>
      <c r="H23" s="54">
        <v>75.747812949913893</v>
      </c>
      <c r="I23" s="54">
        <v>76.884951613716566</v>
      </c>
      <c r="J23" s="54">
        <v>77.566859318768536</v>
      </c>
      <c r="K23" s="54">
        <f>J23</f>
        <v>77.566859318768536</v>
      </c>
      <c r="L23" s="54">
        <f>C23</f>
        <v>68.20354824654639</v>
      </c>
      <c r="M23" s="54">
        <f t="shared" si="3"/>
        <v>9.363311072222146</v>
      </c>
    </row>
    <row r="24" spans="1:20" x14ac:dyDescent="0.2">
      <c r="A24" s="94" t="s">
        <v>263</v>
      </c>
      <c r="B24" s="54">
        <v>3.2333333333333334</v>
      </c>
      <c r="C24" s="54">
        <v>3.4666666666666668</v>
      </c>
      <c r="D24" s="54">
        <v>3.1666666666666665</v>
      </c>
      <c r="E24" s="54">
        <v>3.3</v>
      </c>
      <c r="F24" s="54">
        <v>3.4333333333333331</v>
      </c>
      <c r="G24" s="54">
        <v>3.3333333333333335</v>
      </c>
      <c r="H24" s="54">
        <v>3.3333333333333335</v>
      </c>
      <c r="I24" s="54">
        <v>3.7666666666666666</v>
      </c>
      <c r="J24" s="54">
        <v>3.6666666666666665</v>
      </c>
      <c r="K24" s="54">
        <f>I24</f>
        <v>3.7666666666666666</v>
      </c>
      <c r="L24" s="54">
        <f>D24</f>
        <v>3.1666666666666665</v>
      </c>
      <c r="M24" s="54">
        <f t="shared" si="3"/>
        <v>0.60000000000000009</v>
      </c>
    </row>
    <row r="25" spans="1:20" x14ac:dyDescent="0.2">
      <c r="A25" s="94" t="s">
        <v>264</v>
      </c>
      <c r="B25" s="54">
        <v>3.6666666666666665</v>
      </c>
      <c r="C25" s="54">
        <v>3.3666666666666667</v>
      </c>
      <c r="D25" s="54">
        <v>3.4333333333333331</v>
      </c>
      <c r="E25" s="54">
        <v>3.6</v>
      </c>
      <c r="F25" s="54">
        <v>4.0666666666666664</v>
      </c>
      <c r="G25" s="54">
        <v>3.5</v>
      </c>
      <c r="H25" s="54">
        <v>3.0666666666666669</v>
      </c>
      <c r="I25" s="54">
        <v>2.8333333333333335</v>
      </c>
      <c r="J25" s="54">
        <v>3.1333333333333333</v>
      </c>
      <c r="K25" s="54">
        <f>F25</f>
        <v>4.0666666666666664</v>
      </c>
      <c r="L25" s="54">
        <f>I25</f>
        <v>2.8333333333333335</v>
      </c>
      <c r="M25" s="54">
        <f t="shared" si="3"/>
        <v>1.2333333333333329</v>
      </c>
    </row>
    <row r="26" spans="1:20" x14ac:dyDescent="0.2">
      <c r="A26" s="94" t="s">
        <v>265</v>
      </c>
      <c r="B26" s="54">
        <v>2.7333333333333334</v>
      </c>
      <c r="C26" s="54">
        <v>2.9666666666666668</v>
      </c>
      <c r="D26" s="54">
        <v>2.7666666666666666</v>
      </c>
      <c r="E26" s="54">
        <v>3.0666666666666669</v>
      </c>
      <c r="F26" s="54">
        <v>2.9</v>
      </c>
      <c r="G26" s="54">
        <v>2.7333333333333334</v>
      </c>
      <c r="H26" s="54">
        <v>2.9</v>
      </c>
      <c r="I26" s="54">
        <v>2.8666666666666667</v>
      </c>
      <c r="J26" s="54">
        <v>3.2</v>
      </c>
      <c r="K26" s="54">
        <f>J26</f>
        <v>3.2</v>
      </c>
      <c r="L26" s="54">
        <f>G26</f>
        <v>2.7333333333333334</v>
      </c>
      <c r="M26" s="54">
        <f t="shared" si="3"/>
        <v>0.46666666666666679</v>
      </c>
    </row>
    <row r="27" spans="1:20" x14ac:dyDescent="0.2">
      <c r="A27" s="94" t="s">
        <v>266</v>
      </c>
      <c r="B27" s="54">
        <v>3.8666666666666667</v>
      </c>
      <c r="C27" s="54">
        <v>3.4333333333333331</v>
      </c>
      <c r="D27" s="54">
        <v>3.8</v>
      </c>
      <c r="E27" s="54">
        <v>3.6</v>
      </c>
      <c r="F27" s="54">
        <v>3.4333333333333331</v>
      </c>
      <c r="G27" s="54">
        <v>3.1333333333333333</v>
      </c>
      <c r="H27" s="54">
        <v>3.2</v>
      </c>
      <c r="I27" s="54">
        <v>3.5333333333333332</v>
      </c>
      <c r="J27" s="54">
        <v>3.7666666666666666</v>
      </c>
      <c r="K27" s="54">
        <f>B27</f>
        <v>3.8666666666666667</v>
      </c>
      <c r="L27" s="54">
        <f>G27</f>
        <v>3.1333333333333333</v>
      </c>
      <c r="M27" s="54">
        <f t="shared" si="3"/>
        <v>0.73333333333333339</v>
      </c>
    </row>
    <row r="30" spans="1:20" x14ac:dyDescent="0.2">
      <c r="A30" s="167" t="s">
        <v>228</v>
      </c>
      <c r="B30" s="167" t="s">
        <v>267</v>
      </c>
      <c r="C30" s="167" t="s">
        <v>131</v>
      </c>
      <c r="D30" s="167"/>
      <c r="E30" s="167"/>
      <c r="F30" s="167"/>
      <c r="G30" s="167"/>
      <c r="H30" s="167"/>
      <c r="I30" s="167"/>
      <c r="J30" s="167"/>
      <c r="K30" s="167"/>
      <c r="L30" s="167"/>
      <c r="M30" s="167"/>
      <c r="N30" s="167"/>
      <c r="O30" s="167"/>
      <c r="P30" s="167"/>
      <c r="Q30" s="167"/>
      <c r="R30" s="167"/>
      <c r="S30" s="167"/>
      <c r="T30" s="167"/>
    </row>
    <row r="31" spans="1:20" x14ac:dyDescent="0.2">
      <c r="A31" s="167"/>
      <c r="B31" s="167"/>
      <c r="C31" s="167" t="s">
        <v>51</v>
      </c>
      <c r="D31" s="167"/>
      <c r="E31" s="167" t="s">
        <v>53</v>
      </c>
      <c r="F31" s="167"/>
      <c r="G31" s="167" t="s">
        <v>54</v>
      </c>
      <c r="H31" s="167"/>
      <c r="I31" s="167" t="s">
        <v>55</v>
      </c>
      <c r="J31" s="167"/>
      <c r="K31" s="167" t="s">
        <v>52</v>
      </c>
      <c r="L31" s="167"/>
      <c r="M31" s="167" t="s">
        <v>56</v>
      </c>
      <c r="N31" s="167"/>
      <c r="O31" s="167" t="s">
        <v>57</v>
      </c>
      <c r="P31" s="167"/>
      <c r="Q31" s="167" t="s">
        <v>58</v>
      </c>
      <c r="R31" s="167"/>
      <c r="S31" s="167" t="s">
        <v>59</v>
      </c>
      <c r="T31" s="167"/>
    </row>
    <row r="32" spans="1:20" x14ac:dyDescent="0.2">
      <c r="A32" s="167"/>
      <c r="B32" s="167"/>
      <c r="C32" s="95" t="s">
        <v>271</v>
      </c>
      <c r="D32" s="94" t="s">
        <v>272</v>
      </c>
      <c r="E32" s="95" t="s">
        <v>271</v>
      </c>
      <c r="F32" s="94" t="s">
        <v>272</v>
      </c>
      <c r="G32" s="95" t="s">
        <v>271</v>
      </c>
      <c r="H32" s="94" t="s">
        <v>272</v>
      </c>
      <c r="I32" s="95" t="s">
        <v>271</v>
      </c>
      <c r="J32" s="94" t="s">
        <v>272</v>
      </c>
      <c r="K32" s="95" t="s">
        <v>271</v>
      </c>
      <c r="L32" s="94" t="s">
        <v>272</v>
      </c>
      <c r="M32" s="95" t="s">
        <v>271</v>
      </c>
      <c r="N32" s="94" t="s">
        <v>272</v>
      </c>
      <c r="O32" s="95" t="s">
        <v>271</v>
      </c>
      <c r="P32" s="94" t="s">
        <v>272</v>
      </c>
      <c r="Q32" s="95" t="s">
        <v>271</v>
      </c>
      <c r="R32" s="94" t="s">
        <v>272</v>
      </c>
      <c r="S32" s="95" t="s">
        <v>271</v>
      </c>
      <c r="T32" s="94" t="s">
        <v>272</v>
      </c>
    </row>
    <row r="33" spans="1:20" x14ac:dyDescent="0.2">
      <c r="A33" s="94" t="s">
        <v>257</v>
      </c>
      <c r="B33" s="54">
        <f>AG3</f>
        <v>9.205607476635512E-2</v>
      </c>
      <c r="C33" s="95">
        <f>(B18-L18)/M18</f>
        <v>7.5697555479711617E-2</v>
      </c>
      <c r="D33" s="69">
        <f t="shared" ref="D33:D42" si="4">C33*B33</f>
        <v>6.9684198268706475E-3</v>
      </c>
      <c r="E33" s="95">
        <f t="shared" ref="E33:E42" si="5">(C18-L18)/M18</f>
        <v>0.33987663458543371</v>
      </c>
      <c r="F33" s="69">
        <f t="shared" ref="F33:F42" si="6">E33*B33</f>
        <v>3.1287708884733846E-2</v>
      </c>
      <c r="G33" s="95">
        <f>(D18-L18)/M18</f>
        <v>0</v>
      </c>
      <c r="H33" s="69">
        <f>G33*B33</f>
        <v>0</v>
      </c>
      <c r="I33" s="95">
        <f t="shared" ref="I33:I42" si="7">(E18-L18)/M18</f>
        <v>0.40171533439662144</v>
      </c>
      <c r="J33" s="69">
        <f t="shared" ref="J33:J42" si="8">I33*B33</f>
        <v>3.6980336858006731E-2</v>
      </c>
      <c r="K33" s="95">
        <f t="shared" ref="K33:K42" si="9">(F18-L18)/M18</f>
        <v>0.50234429834447458</v>
      </c>
      <c r="L33" s="69">
        <f t="shared" ref="L33:L42" si="10">K33*B33</f>
        <v>4.6243844286851153E-2</v>
      </c>
      <c r="M33" s="95">
        <f t="shared" ref="M33:M40" si="11">(G18-L18)/M18</f>
        <v>0.69305588215407465</v>
      </c>
      <c r="N33" s="69">
        <f t="shared" ref="N33:N42" si="12">M33*B33</f>
        <v>6.3800004104837701E-2</v>
      </c>
      <c r="O33" s="95">
        <f t="shared" ref="O33:O42" si="13">(H18-L18)/M18</f>
        <v>0.87468944407305449</v>
      </c>
      <c r="P33" s="69">
        <f t="shared" ref="P33:P42" si="14">O33*B33</f>
        <v>8.0520476860930695E-2</v>
      </c>
      <c r="Q33" s="95">
        <f t="shared" ref="Q33:Q42" si="15">(I18-L18)/M18</f>
        <v>0.88329720927495781</v>
      </c>
      <c r="R33" s="69">
        <f t="shared" ref="R33:R42" si="16">Q33*B33</f>
        <v>8.131287393792834E-2</v>
      </c>
      <c r="S33" s="95">
        <f t="shared" ref="S33:S41" si="17">(J18-L18)/M18</f>
        <v>1</v>
      </c>
      <c r="T33" s="69">
        <f t="shared" ref="T33:T42" si="18">S33*B33</f>
        <v>9.205607476635512E-2</v>
      </c>
    </row>
    <row r="34" spans="1:20" x14ac:dyDescent="0.2">
      <c r="A34" s="94" t="s">
        <v>258</v>
      </c>
      <c r="B34" s="54">
        <f t="shared" ref="B34:B42" si="19">AG4</f>
        <v>7.8037383177570099E-2</v>
      </c>
      <c r="C34" s="95">
        <f>(B19-L19)/M19</f>
        <v>1</v>
      </c>
      <c r="D34" s="69">
        <f t="shared" si="4"/>
        <v>7.8037383177570099E-2</v>
      </c>
      <c r="E34" s="95">
        <f t="shared" si="5"/>
        <v>0.85355628239363268</v>
      </c>
      <c r="F34" s="69">
        <f t="shared" si="6"/>
        <v>6.6609298672774139E-2</v>
      </c>
      <c r="G34" s="95">
        <f>(D19-L19)/M19</f>
        <v>0.84665021439246468</v>
      </c>
      <c r="H34" s="69">
        <f>G34*B34</f>
        <v>6.6070367197916646E-2</v>
      </c>
      <c r="I34" s="95">
        <f t="shared" si="7"/>
        <v>0.61796341867587901</v>
      </c>
      <c r="J34" s="69">
        <f t="shared" si="8"/>
        <v>4.8224248092930751E-2</v>
      </c>
      <c r="K34" s="95">
        <f t="shared" si="9"/>
        <v>0.54748750805284885</v>
      </c>
      <c r="L34" s="69">
        <f t="shared" si="10"/>
        <v>4.2724492450853163E-2</v>
      </c>
      <c r="M34" s="95">
        <f t="shared" si="11"/>
        <v>0.38228736590027418</v>
      </c>
      <c r="N34" s="69">
        <f t="shared" si="12"/>
        <v>2.983270565670364E-2</v>
      </c>
      <c r="O34" s="95">
        <f t="shared" si="13"/>
        <v>0.4875704520595463</v>
      </c>
      <c r="P34" s="69">
        <f t="shared" si="14"/>
        <v>3.8048722193431889E-2</v>
      </c>
      <c r="Q34" s="95">
        <f t="shared" si="15"/>
        <v>0.31018812998323964</v>
      </c>
      <c r="R34" s="69">
        <f t="shared" si="16"/>
        <v>2.4206269956635992E-2</v>
      </c>
      <c r="S34" s="95">
        <f t="shared" si="17"/>
        <v>0</v>
      </c>
      <c r="T34" s="69">
        <f t="shared" si="18"/>
        <v>0</v>
      </c>
    </row>
    <row r="35" spans="1:20" x14ac:dyDescent="0.2">
      <c r="A35" s="94" t="s">
        <v>259</v>
      </c>
      <c r="B35" s="54">
        <f t="shared" si="19"/>
        <v>0.10233644859813083</v>
      </c>
      <c r="C35" s="95">
        <f>(C20-L20)/M20</f>
        <v>0.39676082387405953</v>
      </c>
      <c r="D35" s="69">
        <f t="shared" si="4"/>
        <v>4.0603093658139737E-2</v>
      </c>
      <c r="E35" s="95">
        <f t="shared" si="5"/>
        <v>0.39676082387405953</v>
      </c>
      <c r="F35" s="69">
        <f t="shared" si="6"/>
        <v>4.0603093658139737E-2</v>
      </c>
      <c r="G35" s="95">
        <f>(D20-L20)/M20</f>
        <v>0.54518840660587808</v>
      </c>
      <c r="H35" s="69">
        <f>G35*C35</f>
        <v>0.21630940137153395</v>
      </c>
      <c r="I35" s="95">
        <f t="shared" si="7"/>
        <v>0</v>
      </c>
      <c r="J35" s="69">
        <f t="shared" si="8"/>
        <v>0</v>
      </c>
      <c r="K35" s="95">
        <f t="shared" si="9"/>
        <v>0.89283565587257308</v>
      </c>
      <c r="L35" s="69">
        <f t="shared" si="10"/>
        <v>9.1369630203781999E-2</v>
      </c>
      <c r="M35" s="95">
        <f t="shared" si="11"/>
        <v>0.56174467866881805</v>
      </c>
      <c r="N35" s="69">
        <f t="shared" si="12"/>
        <v>5.748695543386502E-2</v>
      </c>
      <c r="O35" s="95">
        <f t="shared" si="13"/>
        <v>1</v>
      </c>
      <c r="P35" s="69">
        <f t="shared" si="14"/>
        <v>0.10233644859813083</v>
      </c>
      <c r="Q35" s="95">
        <f t="shared" si="15"/>
        <v>0.18978321515294622</v>
      </c>
      <c r="R35" s="69">
        <f t="shared" si="16"/>
        <v>1.9421740242287485E-2</v>
      </c>
      <c r="S35" s="95">
        <f t="shared" si="17"/>
        <v>0.32200096073965662</v>
      </c>
      <c r="T35" s="69">
        <f t="shared" si="18"/>
        <v>3.2952434767282615E-2</v>
      </c>
    </row>
    <row r="36" spans="1:20" x14ac:dyDescent="0.2">
      <c r="A36" s="94" t="s">
        <v>260</v>
      </c>
      <c r="B36" s="54">
        <f t="shared" si="19"/>
        <v>0.10093457943925233</v>
      </c>
      <c r="C36" s="95">
        <f t="shared" ref="C36:C42" si="20">(B21-L21)/M21</f>
        <v>0</v>
      </c>
      <c r="D36" s="69">
        <f t="shared" si="4"/>
        <v>0</v>
      </c>
      <c r="E36" s="95">
        <f t="shared" si="5"/>
        <v>0.2</v>
      </c>
      <c r="F36" s="69">
        <f t="shared" si="6"/>
        <v>2.0186915887850466E-2</v>
      </c>
      <c r="G36" s="95">
        <f>(D21-L21)/M21</f>
        <v>0.2</v>
      </c>
      <c r="H36" s="69">
        <f t="shared" ref="H36:H42" si="21">G36*B36</f>
        <v>2.0186915887850466E-2</v>
      </c>
      <c r="I36" s="95">
        <f t="shared" si="7"/>
        <v>0.6</v>
      </c>
      <c r="J36" s="69">
        <f t="shared" si="8"/>
        <v>6.0560747663551392E-2</v>
      </c>
      <c r="K36" s="95">
        <f t="shared" si="9"/>
        <v>0.4</v>
      </c>
      <c r="L36" s="69">
        <f t="shared" si="10"/>
        <v>4.0373831775700933E-2</v>
      </c>
      <c r="M36" s="95">
        <f t="shared" si="11"/>
        <v>0.4</v>
      </c>
      <c r="N36" s="69">
        <f t="shared" si="12"/>
        <v>4.0373831775700933E-2</v>
      </c>
      <c r="O36" s="95">
        <f t="shared" si="13"/>
        <v>0.8</v>
      </c>
      <c r="P36" s="69">
        <f t="shared" si="14"/>
        <v>8.0747663551401866E-2</v>
      </c>
      <c r="Q36" s="95">
        <f t="shared" si="15"/>
        <v>0.8</v>
      </c>
      <c r="R36" s="69">
        <f t="shared" si="16"/>
        <v>8.0747663551401866E-2</v>
      </c>
      <c r="S36" s="95">
        <f t="shared" si="17"/>
        <v>1</v>
      </c>
      <c r="T36" s="69">
        <f t="shared" si="18"/>
        <v>0.10093457943925233</v>
      </c>
    </row>
    <row r="37" spans="1:20" x14ac:dyDescent="0.2">
      <c r="A37" s="94" t="s">
        <v>261</v>
      </c>
      <c r="B37" s="54">
        <f t="shared" si="19"/>
        <v>0.11214953271028034</v>
      </c>
      <c r="C37" s="95">
        <f t="shared" si="20"/>
        <v>0</v>
      </c>
      <c r="D37" s="69">
        <f t="shared" si="4"/>
        <v>0</v>
      </c>
      <c r="E37" s="95">
        <f t="shared" si="5"/>
        <v>4.3115438108484019E-2</v>
      </c>
      <c r="F37" s="69">
        <f t="shared" si="6"/>
        <v>4.8353762364654962E-3</v>
      </c>
      <c r="G37" s="95">
        <f>(D21-L21)/M21</f>
        <v>0.2</v>
      </c>
      <c r="H37" s="69">
        <f t="shared" si="21"/>
        <v>2.242990654205607E-2</v>
      </c>
      <c r="I37" s="95">
        <f t="shared" si="7"/>
        <v>0.25750049672163727</v>
      </c>
      <c r="J37" s="69">
        <f t="shared" si="8"/>
        <v>2.8878560379996695E-2</v>
      </c>
      <c r="K37" s="95">
        <f t="shared" si="9"/>
        <v>0.36817007748857539</v>
      </c>
      <c r="L37" s="69">
        <f t="shared" si="10"/>
        <v>4.1290102148251434E-2</v>
      </c>
      <c r="M37" s="95">
        <f t="shared" si="11"/>
        <v>0.56765348698589313</v>
      </c>
      <c r="N37" s="69">
        <f t="shared" si="12"/>
        <v>6.3662073306829117E-2</v>
      </c>
      <c r="O37" s="95">
        <f t="shared" si="13"/>
        <v>0.67911782237234253</v>
      </c>
      <c r="P37" s="69">
        <f t="shared" si="14"/>
        <v>7.6162746434281392E-2</v>
      </c>
      <c r="Q37" s="95">
        <f t="shared" si="15"/>
        <v>0.82793562487581962</v>
      </c>
      <c r="R37" s="69">
        <f t="shared" si="16"/>
        <v>9.2852593444017126E-2</v>
      </c>
      <c r="S37" s="95">
        <f t="shared" si="17"/>
        <v>1</v>
      </c>
      <c r="T37" s="69">
        <f t="shared" si="18"/>
        <v>0.11214953271028034</v>
      </c>
    </row>
    <row r="38" spans="1:20" x14ac:dyDescent="0.2">
      <c r="A38" s="94" t="s">
        <v>262</v>
      </c>
      <c r="B38" s="54">
        <f t="shared" si="19"/>
        <v>9.6261682242990643E-2</v>
      </c>
      <c r="C38" s="95">
        <f t="shared" si="20"/>
        <v>8.1395309222778087E-2</v>
      </c>
      <c r="D38" s="69">
        <f t="shared" si="4"/>
        <v>7.8352493924730305E-3</v>
      </c>
      <c r="E38" s="95">
        <f t="shared" si="5"/>
        <v>0</v>
      </c>
      <c r="F38" s="69">
        <f t="shared" si="6"/>
        <v>0</v>
      </c>
      <c r="G38" s="95">
        <f>(D23-L23)/M23</f>
        <v>0.12161532352809704</v>
      </c>
      <c r="H38" s="69">
        <f t="shared" si="21"/>
        <v>1.1706895629340181E-2</v>
      </c>
      <c r="I38" s="95">
        <f t="shared" si="7"/>
        <v>0.27710731679506606</v>
      </c>
      <c r="J38" s="69">
        <f t="shared" si="8"/>
        <v>2.6674816476534392E-2</v>
      </c>
      <c r="K38" s="95">
        <f t="shared" si="9"/>
        <v>0.26298269311005812</v>
      </c>
      <c r="L38" s="69">
        <f t="shared" si="10"/>
        <v>2.531515643956634E-2</v>
      </c>
      <c r="M38" s="95">
        <f t="shared" si="11"/>
        <v>0.40265712356469435</v>
      </c>
      <c r="N38" s="69">
        <f t="shared" si="12"/>
        <v>3.8760452081461227E-2</v>
      </c>
      <c r="O38" s="95">
        <f t="shared" si="13"/>
        <v>0.80572616301821331</v>
      </c>
      <c r="P38" s="69">
        <f t="shared" si="14"/>
        <v>7.7560555879323326E-2</v>
      </c>
      <c r="Q38" s="95">
        <f t="shared" si="15"/>
        <v>0.92717237526424123</v>
      </c>
      <c r="R38" s="69">
        <f t="shared" si="16"/>
        <v>8.9251172572165263E-2</v>
      </c>
      <c r="S38" s="95">
        <f t="shared" si="17"/>
        <v>1</v>
      </c>
      <c r="T38" s="69">
        <f t="shared" si="18"/>
        <v>9.6261682242990643E-2</v>
      </c>
    </row>
    <row r="39" spans="1:20" x14ac:dyDescent="0.2">
      <c r="A39" s="94" t="s">
        <v>263</v>
      </c>
      <c r="B39" s="54">
        <f t="shared" si="19"/>
        <v>0.10934579439252334</v>
      </c>
      <c r="C39" s="95">
        <f t="shared" si="20"/>
        <v>0.11111111111111144</v>
      </c>
      <c r="D39" s="69">
        <f t="shared" si="4"/>
        <v>1.2149532710280407E-2</v>
      </c>
      <c r="E39" s="95">
        <f t="shared" si="5"/>
        <v>0.50000000000000033</v>
      </c>
      <c r="F39" s="69">
        <f t="shared" si="6"/>
        <v>5.4672897196261706E-2</v>
      </c>
      <c r="G39" s="95">
        <f>(D24-L24)/M24</f>
        <v>0</v>
      </c>
      <c r="H39" s="69">
        <f t="shared" si="21"/>
        <v>0</v>
      </c>
      <c r="I39" s="95">
        <f t="shared" si="7"/>
        <v>0.22222222222222213</v>
      </c>
      <c r="J39" s="69">
        <f t="shared" si="8"/>
        <v>2.4299065420560734E-2</v>
      </c>
      <c r="K39" s="95">
        <f t="shared" si="9"/>
        <v>0.44444444444444425</v>
      </c>
      <c r="L39" s="69">
        <f t="shared" si="10"/>
        <v>4.8598130841121467E-2</v>
      </c>
      <c r="M39" s="95">
        <f t="shared" si="11"/>
        <v>0.27777777777777823</v>
      </c>
      <c r="N39" s="69">
        <f t="shared" si="12"/>
        <v>3.037383177570098E-2</v>
      </c>
      <c r="O39" s="95">
        <f t="shared" si="13"/>
        <v>0.27777777777777823</v>
      </c>
      <c r="P39" s="69">
        <f t="shared" si="14"/>
        <v>3.037383177570098E-2</v>
      </c>
      <c r="Q39" s="95">
        <f t="shared" si="15"/>
        <v>1</v>
      </c>
      <c r="R39" s="69">
        <f t="shared" si="16"/>
        <v>0.10934579439252334</v>
      </c>
      <c r="S39" s="95">
        <f t="shared" si="17"/>
        <v>0.83333333333333326</v>
      </c>
      <c r="T39" s="69">
        <f t="shared" si="18"/>
        <v>9.1121495327102772E-2</v>
      </c>
    </row>
    <row r="40" spans="1:20" x14ac:dyDescent="0.2">
      <c r="A40" s="94" t="s">
        <v>264</v>
      </c>
      <c r="B40" s="54">
        <f t="shared" si="19"/>
        <v>0.10233644859813083</v>
      </c>
      <c r="C40" s="95">
        <f t="shared" si="20"/>
        <v>0.67567567567567566</v>
      </c>
      <c r="D40" s="69">
        <f t="shared" si="4"/>
        <v>6.9146249052791098E-2</v>
      </c>
      <c r="E40" s="95">
        <f t="shared" si="5"/>
        <v>0.43243243243243246</v>
      </c>
      <c r="F40" s="69">
        <f t="shared" si="6"/>
        <v>4.4253599393786307E-2</v>
      </c>
      <c r="G40" s="95">
        <f>(D25-L25)/M25</f>
        <v>0.48648648648648635</v>
      </c>
      <c r="H40" s="69">
        <f t="shared" si="21"/>
        <v>4.9785299318009582E-2</v>
      </c>
      <c r="I40" s="95">
        <f t="shared" si="7"/>
        <v>0.62162162162162182</v>
      </c>
      <c r="J40" s="69">
        <f t="shared" si="8"/>
        <v>6.3614549128567829E-2</v>
      </c>
      <c r="K40" s="95">
        <f t="shared" si="9"/>
        <v>1</v>
      </c>
      <c r="L40" s="69">
        <f t="shared" si="10"/>
        <v>0.10233644859813083</v>
      </c>
      <c r="M40" s="95">
        <f t="shared" si="11"/>
        <v>0.54054054054054057</v>
      </c>
      <c r="N40" s="69">
        <f t="shared" si="12"/>
        <v>5.5316999242232885E-2</v>
      </c>
      <c r="O40" s="95">
        <f t="shared" si="13"/>
        <v>0.18918918918918928</v>
      </c>
      <c r="P40" s="69">
        <f t="shared" si="14"/>
        <v>1.9360949734781519E-2</v>
      </c>
      <c r="Q40" s="95">
        <f t="shared" si="15"/>
        <v>0</v>
      </c>
      <c r="R40" s="69">
        <f t="shared" si="16"/>
        <v>0</v>
      </c>
      <c r="S40" s="95">
        <f t="shared" si="17"/>
        <v>0.24324324324324317</v>
      </c>
      <c r="T40" s="69">
        <f t="shared" si="18"/>
        <v>2.4892649659004791E-2</v>
      </c>
    </row>
    <row r="41" spans="1:20" x14ac:dyDescent="0.2">
      <c r="A41" s="94" t="s">
        <v>265</v>
      </c>
      <c r="B41" s="54">
        <f t="shared" si="19"/>
        <v>9.9532710280373804E-2</v>
      </c>
      <c r="C41" s="95">
        <f t="shared" si="20"/>
        <v>0</v>
      </c>
      <c r="D41" s="69">
        <f t="shared" si="4"/>
        <v>0</v>
      </c>
      <c r="E41" s="95">
        <f t="shared" si="5"/>
        <v>0.5</v>
      </c>
      <c r="F41" s="69">
        <f t="shared" si="6"/>
        <v>4.9766355140186902E-2</v>
      </c>
      <c r="G41" s="95">
        <f>(D26-L26)/M26</f>
        <v>7.1428571428571161E-2</v>
      </c>
      <c r="H41" s="69">
        <f t="shared" si="21"/>
        <v>7.1094793057409596E-3</v>
      </c>
      <c r="I41" s="95">
        <f t="shared" si="7"/>
        <v>0.71428571428571441</v>
      </c>
      <c r="J41" s="69">
        <f t="shared" si="8"/>
        <v>7.1094793057409872E-2</v>
      </c>
      <c r="K41" s="95">
        <f t="shared" si="9"/>
        <v>0.35714285714285676</v>
      </c>
      <c r="L41" s="69">
        <f t="shared" si="10"/>
        <v>3.5547396528704894E-2</v>
      </c>
      <c r="M41" s="95">
        <f>(F26-L26)/M26</f>
        <v>0.35714285714285676</v>
      </c>
      <c r="N41" s="69">
        <f t="shared" si="12"/>
        <v>3.5547396528704894E-2</v>
      </c>
      <c r="O41" s="95">
        <f t="shared" si="13"/>
        <v>0.35714285714285676</v>
      </c>
      <c r="P41" s="69">
        <f t="shared" si="14"/>
        <v>3.5547396528704894E-2</v>
      </c>
      <c r="Q41" s="95">
        <f t="shared" si="15"/>
        <v>0.28571428571428559</v>
      </c>
      <c r="R41" s="69">
        <f t="shared" si="16"/>
        <v>2.8437917222963932E-2</v>
      </c>
      <c r="S41" s="95">
        <f t="shared" si="17"/>
        <v>1</v>
      </c>
      <c r="T41" s="69">
        <f t="shared" si="18"/>
        <v>9.9532710280373804E-2</v>
      </c>
    </row>
    <row r="42" spans="1:20" x14ac:dyDescent="0.2">
      <c r="A42" s="94" t="s">
        <v>266</v>
      </c>
      <c r="B42" s="54">
        <f t="shared" si="19"/>
        <v>0.10700934579439252</v>
      </c>
      <c r="C42" s="95">
        <f t="shared" si="20"/>
        <v>1</v>
      </c>
      <c r="D42" s="69">
        <f t="shared" si="4"/>
        <v>0.10700934579439252</v>
      </c>
      <c r="E42" s="95">
        <f t="shared" si="5"/>
        <v>0.40909090909090884</v>
      </c>
      <c r="F42" s="69">
        <f t="shared" si="6"/>
        <v>4.3776550552251457E-2</v>
      </c>
      <c r="G42" s="95">
        <f>(D27-L27)/M27</f>
        <v>0.90909090909090884</v>
      </c>
      <c r="H42" s="69">
        <f t="shared" si="21"/>
        <v>9.7281223449447715E-2</v>
      </c>
      <c r="I42" s="95">
        <f t="shared" si="7"/>
        <v>0.63636363636363646</v>
      </c>
      <c r="J42" s="69">
        <f t="shared" si="8"/>
        <v>6.8096856414613424E-2</v>
      </c>
      <c r="K42" s="95">
        <f t="shared" si="9"/>
        <v>0.40909090909090884</v>
      </c>
      <c r="L42" s="69">
        <f t="shared" si="10"/>
        <v>4.3776550552251457E-2</v>
      </c>
      <c r="M42" s="95">
        <f>(G27-L27)/M27</f>
        <v>0</v>
      </c>
      <c r="N42" s="69">
        <f t="shared" si="12"/>
        <v>0</v>
      </c>
      <c r="O42" s="95">
        <f t="shared" si="13"/>
        <v>9.0909090909091189E-2</v>
      </c>
      <c r="P42" s="69">
        <f t="shared" si="14"/>
        <v>9.7281223449448041E-3</v>
      </c>
      <c r="Q42" s="95">
        <f t="shared" si="15"/>
        <v>0.5454545454545453</v>
      </c>
      <c r="R42" s="69">
        <f t="shared" si="16"/>
        <v>5.836873406966863E-2</v>
      </c>
      <c r="S42" s="95">
        <f>(J26-L26)/M26</f>
        <v>1</v>
      </c>
      <c r="T42" s="69">
        <f t="shared" si="18"/>
        <v>0.10700934579439252</v>
      </c>
    </row>
    <row r="43" spans="1:20" x14ac:dyDescent="0.2">
      <c r="A43" s="94" t="s">
        <v>19</v>
      </c>
      <c r="B43" s="54"/>
      <c r="C43" s="95">
        <f>SUM(C33:C42)</f>
        <v>3.3406404753633363</v>
      </c>
      <c r="D43" s="96">
        <f t="shared" ref="D43:T43" si="22">SUM(D33:D42)</f>
        <v>0.32174927361251754</v>
      </c>
      <c r="E43" s="95">
        <f t="shared" si="22"/>
        <v>3.6748325204849515</v>
      </c>
      <c r="F43" s="96">
        <f t="shared" si="22"/>
        <v>0.35599179562245004</v>
      </c>
      <c r="G43" s="95">
        <f t="shared" si="22"/>
        <v>3.3804599115324061</v>
      </c>
      <c r="H43" s="96">
        <f t="shared" si="22"/>
        <v>0.49087948870189557</v>
      </c>
      <c r="I43" s="95">
        <f t="shared" si="22"/>
        <v>4.3487797610823984</v>
      </c>
      <c r="J43" s="96">
        <f t="shared" si="22"/>
        <v>0.42842397349217182</v>
      </c>
      <c r="K43" s="95">
        <f t="shared" si="22"/>
        <v>5.1844984435467403</v>
      </c>
      <c r="L43" s="96">
        <f t="shared" si="22"/>
        <v>0.51757558382521374</v>
      </c>
      <c r="M43" s="95">
        <f t="shared" si="22"/>
        <v>4.1828597127349294</v>
      </c>
      <c r="N43" s="96">
        <f t="shared" si="22"/>
        <v>0.41515424990603633</v>
      </c>
      <c r="O43" s="95">
        <f t="shared" si="22"/>
        <v>5.5621227965420719</v>
      </c>
      <c r="P43" s="96">
        <f t="shared" si="22"/>
        <v>0.55038691390163208</v>
      </c>
      <c r="Q43" s="95">
        <f t="shared" si="22"/>
        <v>5.7695453857200354</v>
      </c>
      <c r="R43" s="96">
        <f t="shared" si="22"/>
        <v>0.58394475938959189</v>
      </c>
      <c r="S43" s="95">
        <f t="shared" si="22"/>
        <v>7.3985775373162328</v>
      </c>
      <c r="T43" s="97">
        <f t="shared" si="22"/>
        <v>0.75691050498703494</v>
      </c>
    </row>
  </sheetData>
  <mergeCells count="16">
    <mergeCell ref="A1:A2"/>
    <mergeCell ref="B1:AG1"/>
    <mergeCell ref="B16:M16"/>
    <mergeCell ref="A16:A17"/>
    <mergeCell ref="O31:P31"/>
    <mergeCell ref="Q31:R31"/>
    <mergeCell ref="S31:T31"/>
    <mergeCell ref="C30:T30"/>
    <mergeCell ref="A30:A32"/>
    <mergeCell ref="B30:B32"/>
    <mergeCell ref="C31:D31"/>
    <mergeCell ref="E31:F31"/>
    <mergeCell ref="G31:H31"/>
    <mergeCell ref="I31:J31"/>
    <mergeCell ref="K31:L31"/>
    <mergeCell ref="M31:N3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4CFA1-7B9E-044C-9C27-C04432EFA8AD}">
  <dimension ref="A1:AG43"/>
  <sheetViews>
    <sheetView topLeftCell="A23" workbookViewId="0">
      <selection activeCell="N43" sqref="N43"/>
    </sheetView>
  </sheetViews>
  <sheetFormatPr baseColWidth="10" defaultRowHeight="16" x14ac:dyDescent="0.2"/>
  <cols>
    <col min="1" max="1" width="18.83203125" style="51" customWidth="1"/>
    <col min="2" max="2" width="9.6640625" style="51" customWidth="1"/>
    <col min="3" max="3" width="9.5" style="51" customWidth="1"/>
    <col min="4" max="4" width="8.6640625" style="51" customWidth="1"/>
    <col min="5" max="5" width="9.5" style="51" customWidth="1"/>
    <col min="6" max="6" width="8.83203125" style="51" customWidth="1"/>
    <col min="7" max="7" width="11.33203125" style="51" customWidth="1"/>
    <col min="8" max="8" width="9.33203125" style="51" customWidth="1"/>
    <col min="9" max="9" width="9.1640625" style="51" customWidth="1"/>
    <col min="10" max="10" width="9.33203125" style="51" customWidth="1"/>
    <col min="11" max="11" width="11.5" style="51" customWidth="1"/>
    <col min="12" max="12" width="13.1640625" style="51" customWidth="1"/>
    <col min="13" max="13" width="12.1640625" style="51" customWidth="1"/>
    <col min="14" max="14" width="5.6640625" style="51" customWidth="1"/>
    <col min="15" max="15" width="6.33203125" style="51" customWidth="1"/>
    <col min="16" max="16" width="6.6640625" style="51" customWidth="1"/>
    <col min="17" max="17" width="7.33203125" style="51" customWidth="1"/>
    <col min="18" max="18" width="6.83203125" style="51" customWidth="1"/>
    <col min="19" max="20" width="7.33203125" style="51" customWidth="1"/>
    <col min="21" max="21" width="4.6640625" style="51" customWidth="1"/>
    <col min="22" max="22" width="5.6640625" style="51" customWidth="1"/>
    <col min="23" max="23" width="4.6640625" style="51" customWidth="1"/>
    <col min="24" max="24" width="4.33203125" style="51" customWidth="1"/>
    <col min="25" max="25" width="6.33203125" style="51" customWidth="1"/>
    <col min="26" max="26" width="4.6640625" style="51" customWidth="1"/>
    <col min="27" max="27" width="5" style="51" customWidth="1"/>
    <col min="28" max="28" width="5.33203125" style="51" customWidth="1"/>
    <col min="29" max="29" width="5" style="51" customWidth="1"/>
    <col min="30" max="30" width="5.5" style="51" customWidth="1"/>
    <col min="31" max="31" width="5.83203125" style="51" customWidth="1"/>
    <col min="32" max="16384" width="10.83203125" style="51"/>
  </cols>
  <sheetData>
    <row r="1" spans="1:33" x14ac:dyDescent="0.2">
      <c r="A1" s="167" t="s">
        <v>228</v>
      </c>
      <c r="B1" s="168" t="s">
        <v>229</v>
      </c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69"/>
      <c r="AA1" s="169"/>
      <c r="AB1" s="169"/>
      <c r="AC1" s="169"/>
      <c r="AD1" s="169"/>
      <c r="AE1" s="169"/>
      <c r="AF1" s="169"/>
      <c r="AG1" s="170"/>
    </row>
    <row r="2" spans="1:33" x14ac:dyDescent="0.2">
      <c r="A2" s="167"/>
      <c r="B2" s="94" t="s">
        <v>230</v>
      </c>
      <c r="C2" s="94" t="s">
        <v>231</v>
      </c>
      <c r="D2" s="94" t="s">
        <v>232</v>
      </c>
      <c r="E2" s="94" t="s">
        <v>233</v>
      </c>
      <c r="F2" s="94" t="s">
        <v>234</v>
      </c>
      <c r="G2" s="94" t="s">
        <v>235</v>
      </c>
      <c r="H2" s="94" t="s">
        <v>236</v>
      </c>
      <c r="I2" s="94" t="s">
        <v>237</v>
      </c>
      <c r="J2" s="94" t="s">
        <v>238</v>
      </c>
      <c r="K2" s="94" t="s">
        <v>239</v>
      </c>
      <c r="L2" s="94" t="s">
        <v>240</v>
      </c>
      <c r="M2" s="94" t="s">
        <v>65</v>
      </c>
      <c r="N2" s="94" t="s">
        <v>241</v>
      </c>
      <c r="O2" s="94" t="s">
        <v>242</v>
      </c>
      <c r="P2" s="94" t="s">
        <v>243</v>
      </c>
      <c r="Q2" s="94" t="s">
        <v>77</v>
      </c>
      <c r="R2" s="94" t="s">
        <v>244</v>
      </c>
      <c r="S2" s="94" t="s">
        <v>245</v>
      </c>
      <c r="T2" s="94" t="s">
        <v>246</v>
      </c>
      <c r="U2" s="94" t="s">
        <v>247</v>
      </c>
      <c r="V2" s="94" t="s">
        <v>248</v>
      </c>
      <c r="W2" s="94" t="s">
        <v>249</v>
      </c>
      <c r="X2" s="94" t="s">
        <v>250</v>
      </c>
      <c r="Y2" s="94" t="s">
        <v>251</v>
      </c>
      <c r="Z2" s="94" t="s">
        <v>252</v>
      </c>
      <c r="AA2" s="94" t="s">
        <v>253</v>
      </c>
      <c r="AB2" s="94" t="s">
        <v>90</v>
      </c>
      <c r="AC2" s="94" t="s">
        <v>254</v>
      </c>
      <c r="AD2" s="94" t="s">
        <v>255</v>
      </c>
      <c r="AE2" s="94" t="s">
        <v>256</v>
      </c>
      <c r="AF2" s="94" t="s">
        <v>19</v>
      </c>
      <c r="AG2" s="94" t="s">
        <v>267</v>
      </c>
    </row>
    <row r="3" spans="1:33" x14ac:dyDescent="0.2">
      <c r="A3" s="94" t="s">
        <v>257</v>
      </c>
      <c r="B3" s="54">
        <v>0.1</v>
      </c>
      <c r="C3" s="54">
        <v>0.1</v>
      </c>
      <c r="D3" s="54">
        <v>0.1</v>
      </c>
      <c r="E3" s="54">
        <v>0.1</v>
      </c>
      <c r="F3" s="54">
        <v>0.1</v>
      </c>
      <c r="G3" s="54">
        <v>1</v>
      </c>
      <c r="H3" s="54">
        <v>1</v>
      </c>
      <c r="I3" s="54">
        <v>1</v>
      </c>
      <c r="J3" s="54">
        <v>1</v>
      </c>
      <c r="K3" s="54">
        <v>1</v>
      </c>
      <c r="L3" s="54">
        <v>1</v>
      </c>
      <c r="M3" s="54">
        <v>1</v>
      </c>
      <c r="N3" s="54">
        <v>1</v>
      </c>
      <c r="O3" s="54">
        <v>1</v>
      </c>
      <c r="P3" s="54">
        <v>1</v>
      </c>
      <c r="Q3" s="54">
        <v>0.9</v>
      </c>
      <c r="R3" s="54">
        <v>0.9</v>
      </c>
      <c r="S3" s="54">
        <v>0.9</v>
      </c>
      <c r="T3" s="54">
        <v>0.9</v>
      </c>
      <c r="U3" s="54">
        <v>0.9</v>
      </c>
      <c r="V3" s="54">
        <v>0.8</v>
      </c>
      <c r="W3" s="54">
        <v>0.8</v>
      </c>
      <c r="X3" s="54">
        <v>0.8</v>
      </c>
      <c r="Y3" s="54">
        <v>0.8</v>
      </c>
      <c r="Z3" s="54">
        <v>0.8</v>
      </c>
      <c r="AA3" s="54">
        <v>0.7</v>
      </c>
      <c r="AB3" s="54">
        <v>0.7</v>
      </c>
      <c r="AC3" s="54">
        <v>0.7</v>
      </c>
      <c r="AD3" s="54">
        <v>0.7</v>
      </c>
      <c r="AE3" s="54">
        <v>0.7</v>
      </c>
      <c r="AF3" s="54">
        <f>SUM(B3:AE3)</f>
        <v>22.5</v>
      </c>
      <c r="AG3" s="55">
        <f>AF3/$AF$13</f>
        <v>0.13636363636363635</v>
      </c>
    </row>
    <row r="4" spans="1:33" x14ac:dyDescent="0.2">
      <c r="A4" s="94" t="s">
        <v>258</v>
      </c>
      <c r="B4" s="54">
        <v>0.2</v>
      </c>
      <c r="C4" s="54">
        <v>0.2</v>
      </c>
      <c r="D4" s="54">
        <v>0.2</v>
      </c>
      <c r="E4" s="54">
        <v>0.2</v>
      </c>
      <c r="F4" s="54">
        <v>0.2</v>
      </c>
      <c r="G4" s="54">
        <v>0.9</v>
      </c>
      <c r="H4" s="54">
        <v>0.9</v>
      </c>
      <c r="I4" s="54">
        <v>0.9</v>
      </c>
      <c r="J4" s="54">
        <v>0.9</v>
      </c>
      <c r="K4" s="54">
        <v>0.9</v>
      </c>
      <c r="L4" s="54">
        <v>0.1</v>
      </c>
      <c r="M4" s="54">
        <v>0.1</v>
      </c>
      <c r="N4" s="54">
        <v>0.1</v>
      </c>
      <c r="O4" s="54">
        <v>0.1</v>
      </c>
      <c r="P4" s="54">
        <v>0.1</v>
      </c>
      <c r="Q4" s="54">
        <v>1</v>
      </c>
      <c r="R4" s="54">
        <v>1</v>
      </c>
      <c r="S4" s="54">
        <v>1</v>
      </c>
      <c r="T4" s="54">
        <v>1</v>
      </c>
      <c r="U4" s="54">
        <v>1</v>
      </c>
      <c r="V4" s="54">
        <v>0.9</v>
      </c>
      <c r="W4" s="54">
        <v>0.9</v>
      </c>
      <c r="X4" s="54">
        <v>0.9</v>
      </c>
      <c r="Y4" s="54">
        <v>0.9</v>
      </c>
      <c r="Z4" s="54">
        <v>0.9</v>
      </c>
      <c r="AA4" s="54">
        <v>0.8</v>
      </c>
      <c r="AB4" s="54">
        <v>0.8</v>
      </c>
      <c r="AC4" s="54">
        <v>0.8</v>
      </c>
      <c r="AD4" s="54">
        <v>0.8</v>
      </c>
      <c r="AE4" s="54">
        <v>0.8</v>
      </c>
      <c r="AF4" s="54">
        <f t="shared" ref="AF4:AF12" si="0">SUM(B4:AE4)</f>
        <v>19.500000000000004</v>
      </c>
      <c r="AG4" s="55">
        <f t="shared" ref="AG4:AG12" si="1">AF4/$AF$13</f>
        <v>0.11818181818181821</v>
      </c>
    </row>
    <row r="5" spans="1:33" x14ac:dyDescent="0.2">
      <c r="A5" s="94" t="s">
        <v>259</v>
      </c>
      <c r="B5" s="54">
        <v>0.3</v>
      </c>
      <c r="C5" s="54">
        <v>0.3</v>
      </c>
      <c r="D5" s="54">
        <v>0.3</v>
      </c>
      <c r="E5" s="54">
        <v>0.3</v>
      </c>
      <c r="F5" s="54">
        <v>0.3</v>
      </c>
      <c r="G5" s="54">
        <v>0.8</v>
      </c>
      <c r="H5" s="54">
        <v>0.8</v>
      </c>
      <c r="I5" s="54">
        <v>0.8</v>
      </c>
      <c r="J5" s="54">
        <v>0.8</v>
      </c>
      <c r="K5" s="54">
        <v>0.8</v>
      </c>
      <c r="L5" s="54">
        <v>0.2</v>
      </c>
      <c r="M5" s="54">
        <v>0.2</v>
      </c>
      <c r="N5" s="54">
        <v>0.2</v>
      </c>
      <c r="O5" s="54">
        <v>0.2</v>
      </c>
      <c r="P5" s="54">
        <v>0.2</v>
      </c>
      <c r="Q5" s="54">
        <v>0.1</v>
      </c>
      <c r="R5" s="54">
        <v>0.1</v>
      </c>
      <c r="S5" s="54">
        <v>0.1</v>
      </c>
      <c r="T5" s="54">
        <v>0.1</v>
      </c>
      <c r="U5" s="54">
        <v>0.1</v>
      </c>
      <c r="V5" s="54">
        <v>1</v>
      </c>
      <c r="W5" s="54">
        <v>1</v>
      </c>
      <c r="X5" s="54">
        <v>1</v>
      </c>
      <c r="Y5" s="54">
        <v>1</v>
      </c>
      <c r="Z5" s="54">
        <v>1</v>
      </c>
      <c r="AA5" s="54">
        <v>0.9</v>
      </c>
      <c r="AB5" s="54">
        <v>0.9</v>
      </c>
      <c r="AC5" s="54">
        <v>0.9</v>
      </c>
      <c r="AD5" s="54">
        <v>0.9</v>
      </c>
      <c r="AE5" s="54">
        <v>0.9</v>
      </c>
      <c r="AF5" s="54">
        <f t="shared" si="0"/>
        <v>16.5</v>
      </c>
      <c r="AG5" s="55">
        <f t="shared" si="1"/>
        <v>0.1</v>
      </c>
    </row>
    <row r="6" spans="1:33" x14ac:dyDescent="0.2">
      <c r="A6" s="94" t="s">
        <v>260</v>
      </c>
      <c r="B6" s="54">
        <v>0.4</v>
      </c>
      <c r="C6" s="54">
        <v>0.4</v>
      </c>
      <c r="D6" s="54">
        <v>0.4</v>
      </c>
      <c r="E6" s="54">
        <v>0.4</v>
      </c>
      <c r="F6" s="54">
        <v>0.4</v>
      </c>
      <c r="G6" s="54">
        <v>0.7</v>
      </c>
      <c r="H6" s="54">
        <v>0.7</v>
      </c>
      <c r="I6" s="54">
        <v>0.7</v>
      </c>
      <c r="J6" s="54">
        <v>0.7</v>
      </c>
      <c r="K6" s="54">
        <v>0.7</v>
      </c>
      <c r="L6" s="54">
        <v>0.3</v>
      </c>
      <c r="M6" s="54">
        <v>0.3</v>
      </c>
      <c r="N6" s="54">
        <v>0.3</v>
      </c>
      <c r="O6" s="54">
        <v>0.3</v>
      </c>
      <c r="P6" s="54">
        <v>0.3</v>
      </c>
      <c r="Q6" s="54">
        <v>0.2</v>
      </c>
      <c r="R6" s="54">
        <v>0.2</v>
      </c>
      <c r="S6" s="54">
        <v>0.2</v>
      </c>
      <c r="T6" s="54">
        <v>0.2</v>
      </c>
      <c r="U6" s="54">
        <v>0.2</v>
      </c>
      <c r="V6" s="54">
        <v>0.1</v>
      </c>
      <c r="W6" s="54">
        <v>0.1</v>
      </c>
      <c r="X6" s="54">
        <v>0.1</v>
      </c>
      <c r="Y6" s="54">
        <v>0.1</v>
      </c>
      <c r="Z6" s="54">
        <v>0.1</v>
      </c>
      <c r="AA6" s="54">
        <v>1</v>
      </c>
      <c r="AB6" s="54">
        <v>1</v>
      </c>
      <c r="AC6" s="54">
        <v>1</v>
      </c>
      <c r="AD6" s="54">
        <v>1</v>
      </c>
      <c r="AE6" s="54">
        <v>1</v>
      </c>
      <c r="AF6" s="54">
        <f t="shared" si="0"/>
        <v>13.499999999999998</v>
      </c>
      <c r="AG6" s="55">
        <f t="shared" si="1"/>
        <v>8.1818181818181804E-2</v>
      </c>
    </row>
    <row r="7" spans="1:33" x14ac:dyDescent="0.2">
      <c r="A7" s="94" t="s">
        <v>261</v>
      </c>
      <c r="B7" s="54">
        <v>0.5</v>
      </c>
      <c r="C7" s="54">
        <v>0.5</v>
      </c>
      <c r="D7" s="54">
        <v>0.5</v>
      </c>
      <c r="E7" s="54">
        <v>0.5</v>
      </c>
      <c r="F7" s="54">
        <v>0.5</v>
      </c>
      <c r="G7" s="54">
        <v>0.6</v>
      </c>
      <c r="H7" s="54">
        <v>0.6</v>
      </c>
      <c r="I7" s="54">
        <v>0.6</v>
      </c>
      <c r="J7" s="54">
        <v>0.6</v>
      </c>
      <c r="K7" s="54">
        <v>0.6</v>
      </c>
      <c r="L7" s="54">
        <v>0.4</v>
      </c>
      <c r="M7" s="54">
        <v>0.4</v>
      </c>
      <c r="N7" s="54">
        <v>0.4</v>
      </c>
      <c r="O7" s="54">
        <v>0.4</v>
      </c>
      <c r="P7" s="54">
        <v>0.4</v>
      </c>
      <c r="Q7" s="54">
        <v>0.3</v>
      </c>
      <c r="R7" s="54">
        <v>0.3</v>
      </c>
      <c r="S7" s="54">
        <v>0.3</v>
      </c>
      <c r="T7" s="54">
        <v>0.3</v>
      </c>
      <c r="U7" s="54">
        <v>0.3</v>
      </c>
      <c r="V7" s="54">
        <v>0.2</v>
      </c>
      <c r="W7" s="54">
        <v>0.2</v>
      </c>
      <c r="X7" s="54">
        <v>0.2</v>
      </c>
      <c r="Y7" s="54">
        <v>0.2</v>
      </c>
      <c r="Z7" s="54">
        <v>0.2</v>
      </c>
      <c r="AA7" s="54">
        <v>0.1</v>
      </c>
      <c r="AB7" s="54">
        <v>0.1</v>
      </c>
      <c r="AC7" s="54">
        <v>0.1</v>
      </c>
      <c r="AD7" s="54">
        <v>0.1</v>
      </c>
      <c r="AE7" s="54">
        <v>0.1</v>
      </c>
      <c r="AF7" s="54">
        <f t="shared" si="0"/>
        <v>10.499999999999998</v>
      </c>
      <c r="AG7" s="55">
        <f t="shared" si="1"/>
        <v>6.363636363636363E-2</v>
      </c>
    </row>
    <row r="8" spans="1:33" x14ac:dyDescent="0.2">
      <c r="A8" s="94" t="s">
        <v>262</v>
      </c>
      <c r="B8" s="54">
        <v>0.6</v>
      </c>
      <c r="C8" s="54">
        <v>0.6</v>
      </c>
      <c r="D8" s="54">
        <v>0.6</v>
      </c>
      <c r="E8" s="54">
        <v>0.6</v>
      </c>
      <c r="F8" s="54">
        <v>0.6</v>
      </c>
      <c r="G8" s="54">
        <v>0.5</v>
      </c>
      <c r="H8" s="54">
        <v>0.5</v>
      </c>
      <c r="I8" s="54">
        <v>0.5</v>
      </c>
      <c r="J8" s="54">
        <v>0.5</v>
      </c>
      <c r="K8" s="54">
        <v>0.5</v>
      </c>
      <c r="L8" s="54">
        <v>0.5</v>
      </c>
      <c r="M8" s="54">
        <v>0.5</v>
      </c>
      <c r="N8" s="54">
        <v>0.5</v>
      </c>
      <c r="O8" s="54">
        <v>0.5</v>
      </c>
      <c r="P8" s="54">
        <v>0.5</v>
      </c>
      <c r="Q8" s="54">
        <v>0.4</v>
      </c>
      <c r="R8" s="54">
        <v>0.4</v>
      </c>
      <c r="S8" s="54">
        <v>0.4</v>
      </c>
      <c r="T8" s="54">
        <v>0.4</v>
      </c>
      <c r="U8" s="54">
        <v>0.4</v>
      </c>
      <c r="V8" s="54">
        <v>0.3</v>
      </c>
      <c r="W8" s="54">
        <v>0.3</v>
      </c>
      <c r="X8" s="54">
        <v>0.3</v>
      </c>
      <c r="Y8" s="54">
        <v>0.3</v>
      </c>
      <c r="Z8" s="54">
        <v>0.3</v>
      </c>
      <c r="AA8" s="54">
        <v>0.2</v>
      </c>
      <c r="AB8" s="54">
        <v>0.2</v>
      </c>
      <c r="AC8" s="54">
        <v>0.2</v>
      </c>
      <c r="AD8" s="54">
        <v>0.2</v>
      </c>
      <c r="AE8" s="54">
        <v>0.2</v>
      </c>
      <c r="AF8" s="54">
        <f t="shared" si="0"/>
        <v>12.500000000000002</v>
      </c>
      <c r="AG8" s="55">
        <f t="shared" si="1"/>
        <v>7.5757575757575774E-2</v>
      </c>
    </row>
    <row r="9" spans="1:33" x14ac:dyDescent="0.2">
      <c r="A9" s="94" t="s">
        <v>263</v>
      </c>
      <c r="B9" s="54">
        <v>0.7</v>
      </c>
      <c r="C9" s="54">
        <v>0.7</v>
      </c>
      <c r="D9" s="54">
        <v>0.7</v>
      </c>
      <c r="E9" s="54">
        <v>0.7</v>
      </c>
      <c r="F9" s="54">
        <v>0.7</v>
      </c>
      <c r="G9" s="54">
        <v>0.4</v>
      </c>
      <c r="H9" s="54">
        <v>0.4</v>
      </c>
      <c r="I9" s="54">
        <v>0.4</v>
      </c>
      <c r="J9" s="54">
        <v>0.4</v>
      </c>
      <c r="K9" s="54">
        <v>0.4</v>
      </c>
      <c r="L9" s="54">
        <v>0.6</v>
      </c>
      <c r="M9" s="54">
        <v>0.6</v>
      </c>
      <c r="N9" s="54">
        <v>0.6</v>
      </c>
      <c r="O9" s="54">
        <v>0.6</v>
      </c>
      <c r="P9" s="54">
        <v>0.6</v>
      </c>
      <c r="Q9" s="54">
        <v>0.5</v>
      </c>
      <c r="R9" s="54">
        <v>0.5</v>
      </c>
      <c r="S9" s="54">
        <v>0.5</v>
      </c>
      <c r="T9" s="54">
        <v>0.5</v>
      </c>
      <c r="U9" s="54">
        <v>0.5</v>
      </c>
      <c r="V9" s="54">
        <v>0.4</v>
      </c>
      <c r="W9" s="54">
        <v>0.4</v>
      </c>
      <c r="X9" s="54">
        <v>0.4</v>
      </c>
      <c r="Y9" s="54">
        <v>0.4</v>
      </c>
      <c r="Z9" s="54">
        <v>0.4</v>
      </c>
      <c r="AA9" s="54">
        <v>0.3</v>
      </c>
      <c r="AB9" s="54">
        <v>0.3</v>
      </c>
      <c r="AC9" s="54">
        <v>0.3</v>
      </c>
      <c r="AD9" s="54">
        <v>0.3</v>
      </c>
      <c r="AE9" s="54">
        <v>0.3</v>
      </c>
      <c r="AF9" s="54">
        <f t="shared" si="0"/>
        <v>14.500000000000005</v>
      </c>
      <c r="AG9" s="55">
        <f t="shared" si="1"/>
        <v>8.7878787878787917E-2</v>
      </c>
    </row>
    <row r="10" spans="1:33" x14ac:dyDescent="0.2">
      <c r="A10" s="94" t="s">
        <v>264</v>
      </c>
      <c r="B10" s="54">
        <v>0.8</v>
      </c>
      <c r="C10" s="54">
        <v>0.8</v>
      </c>
      <c r="D10" s="54">
        <v>0.8</v>
      </c>
      <c r="E10" s="54">
        <v>0.8</v>
      </c>
      <c r="F10" s="54">
        <v>0.8</v>
      </c>
      <c r="G10" s="54">
        <v>0.3</v>
      </c>
      <c r="H10" s="54">
        <v>0.3</v>
      </c>
      <c r="I10" s="54">
        <v>0.3</v>
      </c>
      <c r="J10" s="54">
        <v>0.3</v>
      </c>
      <c r="K10" s="54">
        <v>0.3</v>
      </c>
      <c r="L10" s="54">
        <v>0.7</v>
      </c>
      <c r="M10" s="54">
        <v>0.7</v>
      </c>
      <c r="N10" s="54">
        <v>0.7</v>
      </c>
      <c r="O10" s="54">
        <v>0.7</v>
      </c>
      <c r="P10" s="54">
        <v>0.7</v>
      </c>
      <c r="Q10" s="54">
        <v>0.6</v>
      </c>
      <c r="R10" s="54">
        <v>0.6</v>
      </c>
      <c r="S10" s="54">
        <v>0.6</v>
      </c>
      <c r="T10" s="54">
        <v>0.6</v>
      </c>
      <c r="U10" s="54">
        <v>0.6</v>
      </c>
      <c r="V10" s="54">
        <v>0.5</v>
      </c>
      <c r="W10" s="54">
        <v>0.5</v>
      </c>
      <c r="X10" s="54">
        <v>0.5</v>
      </c>
      <c r="Y10" s="54">
        <v>0.5</v>
      </c>
      <c r="Z10" s="54">
        <v>0.5</v>
      </c>
      <c r="AA10" s="54">
        <v>0.4</v>
      </c>
      <c r="AB10" s="54">
        <v>0.4</v>
      </c>
      <c r="AC10" s="54">
        <v>0.4</v>
      </c>
      <c r="AD10" s="54">
        <v>0.4</v>
      </c>
      <c r="AE10" s="54">
        <v>0.4</v>
      </c>
      <c r="AF10" s="54">
        <f t="shared" si="0"/>
        <v>16.499999999999996</v>
      </c>
      <c r="AG10" s="55">
        <f t="shared" si="1"/>
        <v>9.9999999999999978E-2</v>
      </c>
    </row>
    <row r="11" spans="1:33" x14ac:dyDescent="0.2">
      <c r="A11" s="94" t="s">
        <v>265</v>
      </c>
      <c r="B11" s="54">
        <v>0.9</v>
      </c>
      <c r="C11" s="54">
        <v>0.9</v>
      </c>
      <c r="D11" s="54">
        <v>0.9</v>
      </c>
      <c r="E11" s="54">
        <v>0.9</v>
      </c>
      <c r="F11" s="54">
        <v>0.9</v>
      </c>
      <c r="G11" s="54">
        <v>0.2</v>
      </c>
      <c r="H11" s="54">
        <v>0.2</v>
      </c>
      <c r="I11" s="54">
        <v>0.2</v>
      </c>
      <c r="J11" s="54">
        <v>0.2</v>
      </c>
      <c r="K11" s="54">
        <v>0.2</v>
      </c>
      <c r="L11" s="54">
        <v>0.8</v>
      </c>
      <c r="M11" s="54">
        <v>0.8</v>
      </c>
      <c r="N11" s="54">
        <v>0.8</v>
      </c>
      <c r="O11" s="54">
        <v>0.8</v>
      </c>
      <c r="P11" s="54">
        <v>0.8</v>
      </c>
      <c r="Q11" s="54">
        <v>0.7</v>
      </c>
      <c r="R11" s="54">
        <v>0.7</v>
      </c>
      <c r="S11" s="54">
        <v>0.7</v>
      </c>
      <c r="T11" s="54">
        <v>0.7</v>
      </c>
      <c r="U11" s="54">
        <v>0.7</v>
      </c>
      <c r="V11" s="54">
        <v>0.6</v>
      </c>
      <c r="W11" s="54">
        <v>0.6</v>
      </c>
      <c r="X11" s="54">
        <v>0.6</v>
      </c>
      <c r="Y11" s="54">
        <v>0.6</v>
      </c>
      <c r="Z11" s="54">
        <v>0.6</v>
      </c>
      <c r="AA11" s="54">
        <v>0.5</v>
      </c>
      <c r="AB11" s="54">
        <v>0.5</v>
      </c>
      <c r="AC11" s="54">
        <v>0.5</v>
      </c>
      <c r="AD11" s="54">
        <v>0.5</v>
      </c>
      <c r="AE11" s="54">
        <v>0.5</v>
      </c>
      <c r="AF11" s="54">
        <f t="shared" si="0"/>
        <v>18.499999999999996</v>
      </c>
      <c r="AG11" s="55">
        <f t="shared" si="1"/>
        <v>0.11212121212121209</v>
      </c>
    </row>
    <row r="12" spans="1:33" x14ac:dyDescent="0.2">
      <c r="A12" s="94" t="s">
        <v>266</v>
      </c>
      <c r="B12" s="54">
        <v>1</v>
      </c>
      <c r="C12" s="54">
        <v>1</v>
      </c>
      <c r="D12" s="54">
        <v>1</v>
      </c>
      <c r="E12" s="54">
        <v>1</v>
      </c>
      <c r="F12" s="54">
        <v>1</v>
      </c>
      <c r="G12" s="54">
        <v>0.1</v>
      </c>
      <c r="H12" s="54">
        <v>0.1</v>
      </c>
      <c r="I12" s="54">
        <v>0.1</v>
      </c>
      <c r="J12" s="54">
        <v>0.1</v>
      </c>
      <c r="K12" s="54">
        <v>0.1</v>
      </c>
      <c r="L12" s="54">
        <v>0.9</v>
      </c>
      <c r="M12" s="54">
        <v>0.9</v>
      </c>
      <c r="N12" s="54">
        <v>0.9</v>
      </c>
      <c r="O12" s="54">
        <v>0.9</v>
      </c>
      <c r="P12" s="54">
        <v>0.9</v>
      </c>
      <c r="Q12" s="54">
        <v>0.8</v>
      </c>
      <c r="R12" s="54">
        <v>0.8</v>
      </c>
      <c r="S12" s="54">
        <v>0.8</v>
      </c>
      <c r="T12" s="54">
        <v>0.8</v>
      </c>
      <c r="U12" s="54">
        <v>0.8</v>
      </c>
      <c r="V12" s="54">
        <v>0.7</v>
      </c>
      <c r="W12" s="54">
        <v>0.7</v>
      </c>
      <c r="X12" s="54">
        <v>0.7</v>
      </c>
      <c r="Y12" s="54">
        <v>0.7</v>
      </c>
      <c r="Z12" s="54">
        <v>0.7</v>
      </c>
      <c r="AA12" s="54">
        <v>0.6</v>
      </c>
      <c r="AB12" s="54">
        <v>0.6</v>
      </c>
      <c r="AC12" s="54">
        <v>0.6</v>
      </c>
      <c r="AD12" s="54">
        <v>0.6</v>
      </c>
      <c r="AE12" s="54">
        <v>0.6</v>
      </c>
      <c r="AF12" s="54">
        <f t="shared" si="0"/>
        <v>20.500000000000007</v>
      </c>
      <c r="AG12" s="55">
        <f t="shared" si="1"/>
        <v>0.12424242424242428</v>
      </c>
    </row>
    <row r="13" spans="1:33" x14ac:dyDescent="0.2">
      <c r="A13" s="94" t="s">
        <v>19</v>
      </c>
      <c r="B13" s="54">
        <f>SUM(B3:B12)</f>
        <v>5.5</v>
      </c>
      <c r="C13" s="54">
        <f t="shared" ref="C13:AF13" si="2">SUM(C3:C12)</f>
        <v>5.5</v>
      </c>
      <c r="D13" s="54">
        <f t="shared" si="2"/>
        <v>5.5</v>
      </c>
      <c r="E13" s="54">
        <f t="shared" si="2"/>
        <v>5.5</v>
      </c>
      <c r="F13" s="54">
        <f t="shared" si="2"/>
        <v>5.5</v>
      </c>
      <c r="G13" s="54">
        <f t="shared" si="2"/>
        <v>5.5</v>
      </c>
      <c r="H13" s="54">
        <f t="shared" si="2"/>
        <v>5.5</v>
      </c>
      <c r="I13" s="54">
        <f t="shared" si="2"/>
        <v>5.5</v>
      </c>
      <c r="J13" s="54">
        <f t="shared" si="2"/>
        <v>5.5</v>
      </c>
      <c r="K13" s="54">
        <f t="shared" si="2"/>
        <v>5.5</v>
      </c>
      <c r="L13" s="54">
        <f t="shared" si="2"/>
        <v>5.5</v>
      </c>
      <c r="M13" s="54">
        <f t="shared" si="2"/>
        <v>5.5</v>
      </c>
      <c r="N13" s="54">
        <f t="shared" si="2"/>
        <v>5.5</v>
      </c>
      <c r="O13" s="54">
        <f t="shared" si="2"/>
        <v>5.5</v>
      </c>
      <c r="P13" s="54">
        <f t="shared" si="2"/>
        <v>5.5</v>
      </c>
      <c r="Q13" s="54">
        <f t="shared" si="2"/>
        <v>5.5</v>
      </c>
      <c r="R13" s="54">
        <f t="shared" si="2"/>
        <v>5.5</v>
      </c>
      <c r="S13" s="54">
        <f t="shared" si="2"/>
        <v>5.5</v>
      </c>
      <c r="T13" s="54">
        <f t="shared" si="2"/>
        <v>5.5</v>
      </c>
      <c r="U13" s="54">
        <f t="shared" si="2"/>
        <v>5.5</v>
      </c>
      <c r="V13" s="54">
        <f t="shared" si="2"/>
        <v>5.5</v>
      </c>
      <c r="W13" s="54">
        <f t="shared" si="2"/>
        <v>5.5</v>
      </c>
      <c r="X13" s="54">
        <f t="shared" si="2"/>
        <v>5.5</v>
      </c>
      <c r="Y13" s="54">
        <f t="shared" si="2"/>
        <v>5.5</v>
      </c>
      <c r="Z13" s="54">
        <f t="shared" si="2"/>
        <v>5.5</v>
      </c>
      <c r="AA13" s="54">
        <f t="shared" si="2"/>
        <v>5.5</v>
      </c>
      <c r="AB13" s="54">
        <f t="shared" si="2"/>
        <v>5.5</v>
      </c>
      <c r="AC13" s="54">
        <f t="shared" si="2"/>
        <v>5.5</v>
      </c>
      <c r="AD13" s="54">
        <f t="shared" si="2"/>
        <v>5.5</v>
      </c>
      <c r="AE13" s="54">
        <f t="shared" si="2"/>
        <v>5.5</v>
      </c>
      <c r="AF13" s="54">
        <f t="shared" si="2"/>
        <v>165</v>
      </c>
      <c r="AG13" s="54"/>
    </row>
    <row r="16" spans="1:33" x14ac:dyDescent="0.2">
      <c r="A16" s="167" t="s">
        <v>228</v>
      </c>
      <c r="B16" s="167" t="s">
        <v>131</v>
      </c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</row>
    <row r="17" spans="1:20" x14ac:dyDescent="0.2">
      <c r="A17" s="167"/>
      <c r="B17" s="94" t="s">
        <v>51</v>
      </c>
      <c r="C17" s="94" t="s">
        <v>53</v>
      </c>
      <c r="D17" s="94" t="s">
        <v>54</v>
      </c>
      <c r="E17" s="94" t="s">
        <v>55</v>
      </c>
      <c r="F17" s="94" t="s">
        <v>52</v>
      </c>
      <c r="G17" s="94" t="s">
        <v>56</v>
      </c>
      <c r="H17" s="94" t="s">
        <v>57</v>
      </c>
      <c r="I17" s="94" t="s">
        <v>58</v>
      </c>
      <c r="J17" s="94" t="s">
        <v>59</v>
      </c>
      <c r="K17" s="94" t="s">
        <v>268</v>
      </c>
      <c r="L17" s="94" t="s">
        <v>269</v>
      </c>
      <c r="M17" s="94" t="s">
        <v>270</v>
      </c>
      <c r="P17" s="51">
        <f>K13*30</f>
        <v>165</v>
      </c>
    </row>
    <row r="18" spans="1:20" x14ac:dyDescent="0.2">
      <c r="A18" s="94" t="s">
        <v>257</v>
      </c>
      <c r="B18" s="54">
        <v>10.802150579504207</v>
      </c>
      <c r="C18" s="54">
        <v>9.6866962880759786</v>
      </c>
      <c r="D18" s="54">
        <v>11.121771510110449</v>
      </c>
      <c r="E18" s="54">
        <v>9.4255921790215034</v>
      </c>
      <c r="F18" s="54">
        <v>9.0007023275708171</v>
      </c>
      <c r="G18" s="54">
        <v>8.1954528910688449</v>
      </c>
      <c r="H18" s="54">
        <v>7.4285339632121818</v>
      </c>
      <c r="I18" s="54">
        <v>7.3921890389033678</v>
      </c>
      <c r="J18" s="54">
        <v>6.8994300014483114</v>
      </c>
      <c r="K18" s="54">
        <f>J18</f>
        <v>6.8994300014483114</v>
      </c>
      <c r="L18" s="54">
        <f>D18</f>
        <v>11.121771510110449</v>
      </c>
      <c r="M18" s="54">
        <f>K18-L18</f>
        <v>-4.2223415086621374</v>
      </c>
    </row>
    <row r="19" spans="1:20" x14ac:dyDescent="0.2">
      <c r="A19" s="94" t="s">
        <v>258</v>
      </c>
      <c r="B19" s="54">
        <v>0.25501832237409178</v>
      </c>
      <c r="C19" s="54">
        <v>0.27136859135956981</v>
      </c>
      <c r="D19" s="54">
        <v>0.27213964573661459</v>
      </c>
      <c r="E19" s="54">
        <v>0.29767225774967282</v>
      </c>
      <c r="F19" s="54">
        <v>0.30554081035484754</v>
      </c>
      <c r="G19" s="54">
        <v>0.32398521210032988</v>
      </c>
      <c r="H19" s="54">
        <v>0.31223047924826991</v>
      </c>
      <c r="I19" s="54">
        <v>0.33203500706701883</v>
      </c>
      <c r="J19" s="54">
        <v>0.36666714727914274</v>
      </c>
      <c r="K19" s="54">
        <f>B19</f>
        <v>0.25501832237409178</v>
      </c>
      <c r="L19" s="54">
        <f>J19</f>
        <v>0.36666714727914274</v>
      </c>
      <c r="M19" s="54">
        <f t="shared" ref="M19:M27" si="3">K19-L19</f>
        <v>-0.11164882490505096</v>
      </c>
    </row>
    <row r="20" spans="1:20" x14ac:dyDescent="0.2">
      <c r="A20" s="94" t="s">
        <v>259</v>
      </c>
      <c r="B20" s="54">
        <v>1.7576215119528591E-2</v>
      </c>
      <c r="C20" s="54">
        <v>1.7576219066682726E-2</v>
      </c>
      <c r="D20" s="54">
        <v>1.7578320545765681E-2</v>
      </c>
      <c r="E20" s="54">
        <v>1.7570601616361422E-2</v>
      </c>
      <c r="F20" s="54">
        <v>1.7583242632409783E-2</v>
      </c>
      <c r="G20" s="54">
        <v>1.7578554954079766E-2</v>
      </c>
      <c r="H20" s="54">
        <v>1.7584759895060548E-2</v>
      </c>
      <c r="I20" s="54">
        <v>1.7573288620013974E-2</v>
      </c>
      <c r="J20" s="54">
        <v>1.757516059570496E-2</v>
      </c>
      <c r="K20" s="54">
        <f>H20</f>
        <v>1.7584759895060548E-2</v>
      </c>
      <c r="L20" s="54">
        <f>E20</f>
        <v>1.7570601616361422E-2</v>
      </c>
      <c r="M20" s="54">
        <f>K20-L20</f>
        <v>1.4158278699126503E-5</v>
      </c>
    </row>
    <row r="21" spans="1:20" x14ac:dyDescent="0.2">
      <c r="A21" s="94" t="s">
        <v>260</v>
      </c>
      <c r="B21" s="54">
        <v>25</v>
      </c>
      <c r="C21" s="54">
        <v>26</v>
      </c>
      <c r="D21" s="54">
        <v>26</v>
      </c>
      <c r="E21" s="54">
        <v>28</v>
      </c>
      <c r="F21" s="54">
        <v>27</v>
      </c>
      <c r="G21" s="54">
        <v>27</v>
      </c>
      <c r="H21" s="54">
        <v>29</v>
      </c>
      <c r="I21" s="54">
        <v>29</v>
      </c>
      <c r="J21" s="54">
        <v>30</v>
      </c>
      <c r="K21" s="54">
        <f>J21</f>
        <v>30</v>
      </c>
      <c r="L21" s="54">
        <f>B21</f>
        <v>25</v>
      </c>
      <c r="M21" s="54">
        <f t="shared" si="3"/>
        <v>5</v>
      </c>
    </row>
    <row r="22" spans="1:20" x14ac:dyDescent="0.2">
      <c r="A22" s="94" t="s">
        <v>261</v>
      </c>
      <c r="B22" s="54">
        <v>7.9433333333333325</v>
      </c>
      <c r="C22" s="54">
        <v>8.6666666666666661</v>
      </c>
      <c r="D22" s="54">
        <v>10.200000000000001</v>
      </c>
      <c r="E22" s="54">
        <v>12.263333333333334</v>
      </c>
      <c r="F22" s="54">
        <v>14.12</v>
      </c>
      <c r="G22" s="54">
        <v>17.466666666666665</v>
      </c>
      <c r="H22" s="54">
        <v>19.336666666666666</v>
      </c>
      <c r="I22" s="54">
        <v>21.833333333333332</v>
      </c>
      <c r="J22" s="54">
        <v>24.72</v>
      </c>
      <c r="K22" s="54">
        <f>J22</f>
        <v>24.72</v>
      </c>
      <c r="L22" s="54">
        <f>B22</f>
        <v>7.9433333333333325</v>
      </c>
      <c r="M22" s="54">
        <f t="shared" si="3"/>
        <v>16.776666666666667</v>
      </c>
    </row>
    <row r="23" spans="1:20" x14ac:dyDescent="0.2">
      <c r="A23" s="94" t="s">
        <v>262</v>
      </c>
      <c r="B23" s="54">
        <v>68.965677846618973</v>
      </c>
      <c r="C23" s="54">
        <v>68.20354824654639</v>
      </c>
      <c r="D23" s="54">
        <v>69.342270351888899</v>
      </c>
      <c r="E23" s="54">
        <v>70.798190254087402</v>
      </c>
      <c r="F23" s="54">
        <v>70.665937008746596</v>
      </c>
      <c r="G23" s="54">
        <v>71.973752149928814</v>
      </c>
      <c r="H23" s="54">
        <v>75.747812949913893</v>
      </c>
      <c r="I23" s="54">
        <v>76.884951613716566</v>
      </c>
      <c r="J23" s="54">
        <v>77.566859318768536</v>
      </c>
      <c r="K23" s="54">
        <f>J23</f>
        <v>77.566859318768536</v>
      </c>
      <c r="L23" s="54">
        <f>C23</f>
        <v>68.20354824654639</v>
      </c>
      <c r="M23" s="54">
        <f t="shared" si="3"/>
        <v>9.363311072222146</v>
      </c>
    </row>
    <row r="24" spans="1:20" x14ac:dyDescent="0.2">
      <c r="A24" s="94" t="s">
        <v>263</v>
      </c>
      <c r="B24" s="54">
        <v>3.2333333333333334</v>
      </c>
      <c r="C24" s="54">
        <v>3.4666666666666668</v>
      </c>
      <c r="D24" s="54">
        <v>3.1666666666666665</v>
      </c>
      <c r="E24" s="54">
        <v>3.3</v>
      </c>
      <c r="F24" s="54">
        <v>3.4333333333333331</v>
      </c>
      <c r="G24" s="54">
        <v>3.3333333333333335</v>
      </c>
      <c r="H24" s="54">
        <v>3.3333333333333335</v>
      </c>
      <c r="I24" s="54">
        <v>3.7666666666666666</v>
      </c>
      <c r="J24" s="54">
        <v>3.6666666666666665</v>
      </c>
      <c r="K24" s="54">
        <f>I24</f>
        <v>3.7666666666666666</v>
      </c>
      <c r="L24" s="54">
        <f>D24</f>
        <v>3.1666666666666665</v>
      </c>
      <c r="M24" s="54">
        <f t="shared" si="3"/>
        <v>0.60000000000000009</v>
      </c>
    </row>
    <row r="25" spans="1:20" x14ac:dyDescent="0.2">
      <c r="A25" s="94" t="s">
        <v>264</v>
      </c>
      <c r="B25" s="54">
        <v>3.6666666666666665</v>
      </c>
      <c r="C25" s="54">
        <v>3.3666666666666667</v>
      </c>
      <c r="D25" s="54">
        <v>3.4333333333333331</v>
      </c>
      <c r="E25" s="54">
        <v>3.6</v>
      </c>
      <c r="F25" s="54">
        <v>4.0666666666666664</v>
      </c>
      <c r="G25" s="54">
        <v>3.5</v>
      </c>
      <c r="H25" s="54">
        <v>3.0666666666666669</v>
      </c>
      <c r="I25" s="54">
        <v>2.8333333333333335</v>
      </c>
      <c r="J25" s="54">
        <v>3.1333333333333333</v>
      </c>
      <c r="K25" s="54">
        <f>F25</f>
        <v>4.0666666666666664</v>
      </c>
      <c r="L25" s="54">
        <f>I25</f>
        <v>2.8333333333333335</v>
      </c>
      <c r="M25" s="54">
        <f t="shared" si="3"/>
        <v>1.2333333333333329</v>
      </c>
    </row>
    <row r="26" spans="1:20" x14ac:dyDescent="0.2">
      <c r="A26" s="94" t="s">
        <v>265</v>
      </c>
      <c r="B26" s="54">
        <v>2.7333333333333334</v>
      </c>
      <c r="C26" s="54">
        <v>2.9666666666666668</v>
      </c>
      <c r="D26" s="54">
        <v>2.7666666666666666</v>
      </c>
      <c r="E26" s="54">
        <v>3.0666666666666669</v>
      </c>
      <c r="F26" s="54">
        <v>2.9</v>
      </c>
      <c r="G26" s="54">
        <v>2.7333333333333334</v>
      </c>
      <c r="H26" s="54">
        <v>2.9</v>
      </c>
      <c r="I26" s="54">
        <v>2.8666666666666667</v>
      </c>
      <c r="J26" s="54">
        <v>3.2</v>
      </c>
      <c r="K26" s="54">
        <f>J26</f>
        <v>3.2</v>
      </c>
      <c r="L26" s="54">
        <f>G26</f>
        <v>2.7333333333333334</v>
      </c>
      <c r="M26" s="54">
        <f t="shared" si="3"/>
        <v>0.46666666666666679</v>
      </c>
    </row>
    <row r="27" spans="1:20" x14ac:dyDescent="0.2">
      <c r="A27" s="94" t="s">
        <v>266</v>
      </c>
      <c r="B27" s="54">
        <v>3.8666666666666667</v>
      </c>
      <c r="C27" s="54">
        <v>3.4333333333333331</v>
      </c>
      <c r="D27" s="54">
        <v>3.8</v>
      </c>
      <c r="E27" s="54">
        <v>3.6</v>
      </c>
      <c r="F27" s="54">
        <v>3.4333333333333331</v>
      </c>
      <c r="G27" s="54">
        <v>3.1333333333333333</v>
      </c>
      <c r="H27" s="54">
        <v>3.2</v>
      </c>
      <c r="I27" s="54">
        <v>3.5333333333333332</v>
      </c>
      <c r="J27" s="54">
        <v>3.7666666666666666</v>
      </c>
      <c r="K27" s="54">
        <f>B27</f>
        <v>3.8666666666666667</v>
      </c>
      <c r="L27" s="54">
        <f>G27</f>
        <v>3.1333333333333333</v>
      </c>
      <c r="M27" s="54">
        <f t="shared" si="3"/>
        <v>0.73333333333333339</v>
      </c>
    </row>
    <row r="30" spans="1:20" x14ac:dyDescent="0.2">
      <c r="A30" s="167" t="s">
        <v>228</v>
      </c>
      <c r="B30" s="167" t="s">
        <v>267</v>
      </c>
      <c r="C30" s="167" t="s">
        <v>131</v>
      </c>
      <c r="D30" s="167"/>
      <c r="E30" s="167"/>
      <c r="F30" s="167"/>
      <c r="G30" s="167"/>
      <c r="H30" s="167"/>
      <c r="I30" s="167"/>
      <c r="J30" s="167"/>
      <c r="K30" s="167"/>
      <c r="L30" s="167"/>
      <c r="M30" s="167"/>
      <c r="N30" s="167"/>
      <c r="O30" s="167"/>
      <c r="P30" s="167"/>
      <c r="Q30" s="167"/>
      <c r="R30" s="167"/>
      <c r="S30" s="167"/>
      <c r="T30" s="167"/>
    </row>
    <row r="31" spans="1:20" x14ac:dyDescent="0.2">
      <c r="A31" s="167"/>
      <c r="B31" s="167"/>
      <c r="C31" s="167" t="s">
        <v>51</v>
      </c>
      <c r="D31" s="167"/>
      <c r="E31" s="167" t="s">
        <v>53</v>
      </c>
      <c r="F31" s="167"/>
      <c r="G31" s="167" t="s">
        <v>54</v>
      </c>
      <c r="H31" s="167"/>
      <c r="I31" s="167" t="s">
        <v>55</v>
      </c>
      <c r="J31" s="167"/>
      <c r="K31" s="167" t="s">
        <v>52</v>
      </c>
      <c r="L31" s="167"/>
      <c r="M31" s="167" t="s">
        <v>56</v>
      </c>
      <c r="N31" s="167"/>
      <c r="O31" s="167" t="s">
        <v>57</v>
      </c>
      <c r="P31" s="167"/>
      <c r="Q31" s="167" t="s">
        <v>58</v>
      </c>
      <c r="R31" s="167"/>
      <c r="S31" s="167" t="s">
        <v>59</v>
      </c>
      <c r="T31" s="167"/>
    </row>
    <row r="32" spans="1:20" x14ac:dyDescent="0.2">
      <c r="A32" s="167"/>
      <c r="B32" s="167"/>
      <c r="C32" s="95" t="s">
        <v>271</v>
      </c>
      <c r="D32" s="94" t="s">
        <v>272</v>
      </c>
      <c r="E32" s="95" t="s">
        <v>271</v>
      </c>
      <c r="F32" s="94" t="s">
        <v>272</v>
      </c>
      <c r="G32" s="95" t="s">
        <v>271</v>
      </c>
      <c r="H32" s="94" t="s">
        <v>272</v>
      </c>
      <c r="I32" s="95" t="s">
        <v>271</v>
      </c>
      <c r="J32" s="94" t="s">
        <v>272</v>
      </c>
      <c r="K32" s="95" t="s">
        <v>271</v>
      </c>
      <c r="L32" s="94" t="s">
        <v>272</v>
      </c>
      <c r="M32" s="95" t="s">
        <v>271</v>
      </c>
      <c r="N32" s="94" t="s">
        <v>272</v>
      </c>
      <c r="O32" s="95" t="s">
        <v>271</v>
      </c>
      <c r="P32" s="94" t="s">
        <v>272</v>
      </c>
      <c r="Q32" s="95" t="s">
        <v>271</v>
      </c>
      <c r="R32" s="94" t="s">
        <v>272</v>
      </c>
      <c r="S32" s="95" t="s">
        <v>271</v>
      </c>
      <c r="T32" s="94" t="s">
        <v>272</v>
      </c>
    </row>
    <row r="33" spans="1:20" x14ac:dyDescent="0.2">
      <c r="A33" s="94" t="s">
        <v>257</v>
      </c>
      <c r="B33" s="55">
        <f>AG3</f>
        <v>0.13636363636363635</v>
      </c>
      <c r="C33" s="95">
        <f>(B18-L18)/M18</f>
        <v>7.5697555479711617E-2</v>
      </c>
      <c r="D33" s="69">
        <f t="shared" ref="D33:D42" si="4">C33*B33</f>
        <v>1.0322393929051583E-2</v>
      </c>
      <c r="E33" s="95">
        <f t="shared" ref="E33:E42" si="5">(C18-L18)/M18</f>
        <v>0.33987663458543371</v>
      </c>
      <c r="F33" s="69">
        <f t="shared" ref="F33:F42" si="6">E33*B33</f>
        <v>4.6346813807104592E-2</v>
      </c>
      <c r="G33" s="95">
        <f>(D18-L18)/M18</f>
        <v>0</v>
      </c>
      <c r="H33" s="69">
        <f>G33*B33</f>
        <v>0</v>
      </c>
      <c r="I33" s="95">
        <f t="shared" ref="I33:I42" si="7">(E18-L18)/M18</f>
        <v>0.40171533439662144</v>
      </c>
      <c r="J33" s="69">
        <f t="shared" ref="J33:J42" si="8">I33*B33</f>
        <v>5.4779363781357462E-2</v>
      </c>
      <c r="K33" s="95">
        <f t="shared" ref="K33:K42" si="9">(F18-L18)/M18</f>
        <v>0.50234429834447458</v>
      </c>
      <c r="L33" s="69">
        <f t="shared" ref="L33:L42" si="10">K33*B33</f>
        <v>6.8501495228791981E-2</v>
      </c>
      <c r="M33" s="95">
        <f t="shared" ref="M33:M40" si="11">(G18-L18)/M18</f>
        <v>0.69305588215407465</v>
      </c>
      <c r="N33" s="69">
        <f t="shared" ref="N33:N42" si="12">M33*B33</f>
        <v>9.4507620293737452E-2</v>
      </c>
      <c r="O33" s="95">
        <f t="shared" ref="O33:O42" si="13">(H18-L18)/M18</f>
        <v>0.87468944407305449</v>
      </c>
      <c r="P33" s="69">
        <f t="shared" ref="P33:P42" si="14">O33*B33</f>
        <v>0.11927583328268924</v>
      </c>
      <c r="Q33" s="95">
        <f t="shared" ref="Q33:Q42" si="15">(I18-L18)/M18</f>
        <v>0.88329720927495781</v>
      </c>
      <c r="R33" s="69">
        <f t="shared" ref="R33:R42" si="16">Q33*B33</f>
        <v>0.12044961944658515</v>
      </c>
      <c r="S33" s="95">
        <f t="shared" ref="S33:S41" si="17">(J18-L18)/M18</f>
        <v>1</v>
      </c>
      <c r="T33" s="69">
        <f t="shared" ref="T33:T42" si="18">S33*B33</f>
        <v>0.13636363636363635</v>
      </c>
    </row>
    <row r="34" spans="1:20" x14ac:dyDescent="0.2">
      <c r="A34" s="94" t="s">
        <v>258</v>
      </c>
      <c r="B34" s="54">
        <f t="shared" ref="B34:B42" si="19">AG4</f>
        <v>0.11818181818181821</v>
      </c>
      <c r="C34" s="95">
        <f>(B19-L19)/M19</f>
        <v>1</v>
      </c>
      <c r="D34" s="69">
        <f t="shared" si="4"/>
        <v>0.11818181818181821</v>
      </c>
      <c r="E34" s="95">
        <f t="shared" si="5"/>
        <v>0.85355628239363268</v>
      </c>
      <c r="F34" s="69">
        <f t="shared" si="6"/>
        <v>0.10087483337379298</v>
      </c>
      <c r="G34" s="95">
        <f>(D19-L19)/M19</f>
        <v>0.84665021439246468</v>
      </c>
      <c r="H34" s="69">
        <f>G34*B34</f>
        <v>0.10005866170092767</v>
      </c>
      <c r="I34" s="95">
        <f t="shared" si="7"/>
        <v>0.61796341867587901</v>
      </c>
      <c r="J34" s="69">
        <f t="shared" si="8"/>
        <v>7.3032040388967531E-2</v>
      </c>
      <c r="K34" s="95">
        <f t="shared" si="9"/>
        <v>0.54748750805284885</v>
      </c>
      <c r="L34" s="69">
        <f t="shared" si="10"/>
        <v>6.4703069133518518E-2</v>
      </c>
      <c r="M34" s="95">
        <f t="shared" si="11"/>
        <v>0.38228736590027418</v>
      </c>
      <c r="N34" s="69">
        <f t="shared" si="12"/>
        <v>4.5179415970032416E-2</v>
      </c>
      <c r="O34" s="95">
        <f t="shared" si="13"/>
        <v>0.4875704520595463</v>
      </c>
      <c r="P34" s="69">
        <f t="shared" si="14"/>
        <v>5.7621962516128208E-2</v>
      </c>
      <c r="Q34" s="95">
        <f t="shared" si="15"/>
        <v>0.31018812998323964</v>
      </c>
      <c r="R34" s="69">
        <f t="shared" si="16"/>
        <v>3.6658597179837417E-2</v>
      </c>
      <c r="S34" s="95">
        <f t="shared" si="17"/>
        <v>0</v>
      </c>
      <c r="T34" s="69">
        <f t="shared" si="18"/>
        <v>0</v>
      </c>
    </row>
    <row r="35" spans="1:20" x14ac:dyDescent="0.2">
      <c r="A35" s="94" t="s">
        <v>259</v>
      </c>
      <c r="B35" s="54">
        <f t="shared" si="19"/>
        <v>0.1</v>
      </c>
      <c r="C35" s="95">
        <f>(C20-L20)/M20</f>
        <v>0.39676082387405953</v>
      </c>
      <c r="D35" s="69">
        <f t="shared" si="4"/>
        <v>3.9676082387405956E-2</v>
      </c>
      <c r="E35" s="95">
        <f t="shared" si="5"/>
        <v>0.39676082387405953</v>
      </c>
      <c r="F35" s="69">
        <f t="shared" si="6"/>
        <v>3.9676082387405956E-2</v>
      </c>
      <c r="G35" s="95">
        <f>(D20-L20)/M20</f>
        <v>0.54518840660587808</v>
      </c>
      <c r="H35" s="69">
        <f>G35*C35</f>
        <v>0.21630940137153395</v>
      </c>
      <c r="I35" s="95">
        <f t="shared" si="7"/>
        <v>0</v>
      </c>
      <c r="J35" s="69">
        <f t="shared" si="8"/>
        <v>0</v>
      </c>
      <c r="K35" s="95">
        <f t="shared" si="9"/>
        <v>0.89283565587257308</v>
      </c>
      <c r="L35" s="69">
        <f t="shared" si="10"/>
        <v>8.9283565587257308E-2</v>
      </c>
      <c r="M35" s="95">
        <f t="shared" si="11"/>
        <v>0.56174467866881805</v>
      </c>
      <c r="N35" s="69">
        <f t="shared" si="12"/>
        <v>5.6174467866881808E-2</v>
      </c>
      <c r="O35" s="95">
        <f t="shared" si="13"/>
        <v>1</v>
      </c>
      <c r="P35" s="69">
        <f t="shared" si="14"/>
        <v>0.1</v>
      </c>
      <c r="Q35" s="95">
        <f t="shared" si="15"/>
        <v>0.18978321515294622</v>
      </c>
      <c r="R35" s="69">
        <f t="shared" si="16"/>
        <v>1.8978321515294622E-2</v>
      </c>
      <c r="S35" s="95">
        <f t="shared" si="17"/>
        <v>0.32200096073965662</v>
      </c>
      <c r="T35" s="69">
        <f t="shared" si="18"/>
        <v>3.2200096073965664E-2</v>
      </c>
    </row>
    <row r="36" spans="1:20" x14ac:dyDescent="0.2">
      <c r="A36" s="94" t="s">
        <v>260</v>
      </c>
      <c r="B36" s="54">
        <f t="shared" si="19"/>
        <v>8.1818181818181804E-2</v>
      </c>
      <c r="C36" s="95">
        <f t="shared" ref="C36:C42" si="20">(B21-L21)/M21</f>
        <v>0</v>
      </c>
      <c r="D36" s="69">
        <f t="shared" si="4"/>
        <v>0</v>
      </c>
      <c r="E36" s="95">
        <f t="shared" si="5"/>
        <v>0.2</v>
      </c>
      <c r="F36" s="69">
        <f t="shared" si="6"/>
        <v>1.6363636363636361E-2</v>
      </c>
      <c r="G36" s="95">
        <f>(D21-L21)/M21</f>
        <v>0.2</v>
      </c>
      <c r="H36" s="69">
        <f t="shared" ref="H36:H42" si="21">G36*B36</f>
        <v>1.6363636363636361E-2</v>
      </c>
      <c r="I36" s="95">
        <f t="shared" si="7"/>
        <v>0.6</v>
      </c>
      <c r="J36" s="69">
        <f t="shared" si="8"/>
        <v>4.9090909090909081E-2</v>
      </c>
      <c r="K36" s="95">
        <f t="shared" si="9"/>
        <v>0.4</v>
      </c>
      <c r="L36" s="69">
        <f t="shared" si="10"/>
        <v>3.2727272727272723E-2</v>
      </c>
      <c r="M36" s="95">
        <f t="shared" si="11"/>
        <v>0.4</v>
      </c>
      <c r="N36" s="69">
        <f t="shared" si="12"/>
        <v>3.2727272727272723E-2</v>
      </c>
      <c r="O36" s="95">
        <f t="shared" si="13"/>
        <v>0.8</v>
      </c>
      <c r="P36" s="69">
        <f t="shared" si="14"/>
        <v>6.5454545454545446E-2</v>
      </c>
      <c r="Q36" s="95">
        <f t="shared" si="15"/>
        <v>0.8</v>
      </c>
      <c r="R36" s="69">
        <f t="shared" si="16"/>
        <v>6.5454545454545446E-2</v>
      </c>
      <c r="S36" s="95">
        <f t="shared" si="17"/>
        <v>1</v>
      </c>
      <c r="T36" s="69">
        <f t="shared" si="18"/>
        <v>8.1818181818181804E-2</v>
      </c>
    </row>
    <row r="37" spans="1:20" x14ac:dyDescent="0.2">
      <c r="A37" s="94" t="s">
        <v>261</v>
      </c>
      <c r="B37" s="54">
        <f t="shared" si="19"/>
        <v>6.363636363636363E-2</v>
      </c>
      <c r="C37" s="95">
        <f t="shared" si="20"/>
        <v>0</v>
      </c>
      <c r="D37" s="69">
        <f t="shared" si="4"/>
        <v>0</v>
      </c>
      <c r="E37" s="95">
        <f t="shared" si="5"/>
        <v>4.3115438108484019E-2</v>
      </c>
      <c r="F37" s="69">
        <f t="shared" si="6"/>
        <v>2.7437096978126193E-3</v>
      </c>
      <c r="G37" s="95">
        <f>(D21-L21)/M21</f>
        <v>0.2</v>
      </c>
      <c r="H37" s="69">
        <f t="shared" si="21"/>
        <v>1.2727272727272726E-2</v>
      </c>
      <c r="I37" s="95">
        <f t="shared" si="7"/>
        <v>0.25750049672163727</v>
      </c>
      <c r="J37" s="69">
        <f t="shared" si="8"/>
        <v>1.6386395245922371E-2</v>
      </c>
      <c r="K37" s="95">
        <f t="shared" si="9"/>
        <v>0.36817007748857539</v>
      </c>
      <c r="L37" s="69">
        <f t="shared" si="10"/>
        <v>2.3429004931091159E-2</v>
      </c>
      <c r="M37" s="95">
        <f t="shared" si="11"/>
        <v>0.56765348698589313</v>
      </c>
      <c r="N37" s="69">
        <f t="shared" si="12"/>
        <v>3.6123403717284105E-2</v>
      </c>
      <c r="O37" s="95">
        <f t="shared" si="13"/>
        <v>0.67911782237234253</v>
      </c>
      <c r="P37" s="69">
        <f t="shared" si="14"/>
        <v>4.3216588696421795E-2</v>
      </c>
      <c r="Q37" s="95">
        <f t="shared" si="15"/>
        <v>0.82793562487581962</v>
      </c>
      <c r="R37" s="69">
        <f t="shared" si="16"/>
        <v>5.2686812492097605E-2</v>
      </c>
      <c r="S37" s="95">
        <f t="shared" si="17"/>
        <v>1</v>
      </c>
      <c r="T37" s="69">
        <f t="shared" si="18"/>
        <v>6.363636363636363E-2</v>
      </c>
    </row>
    <row r="38" spans="1:20" x14ac:dyDescent="0.2">
      <c r="A38" s="94" t="s">
        <v>262</v>
      </c>
      <c r="B38" s="54">
        <f t="shared" si="19"/>
        <v>7.5757575757575774E-2</v>
      </c>
      <c r="C38" s="95">
        <f t="shared" si="20"/>
        <v>8.1395309222778087E-2</v>
      </c>
      <c r="D38" s="69">
        <f t="shared" si="4"/>
        <v>6.1663113047559165E-3</v>
      </c>
      <c r="E38" s="95">
        <f t="shared" si="5"/>
        <v>0</v>
      </c>
      <c r="F38" s="69">
        <f t="shared" si="6"/>
        <v>0</v>
      </c>
      <c r="G38" s="95">
        <f>(D23-L23)/M23</f>
        <v>0.12161532352809704</v>
      </c>
      <c r="H38" s="69">
        <f t="shared" si="21"/>
        <v>9.2132820854618994E-3</v>
      </c>
      <c r="I38" s="95">
        <f t="shared" si="7"/>
        <v>0.27710731679506606</v>
      </c>
      <c r="J38" s="69">
        <f t="shared" si="8"/>
        <v>2.0992978545080768E-2</v>
      </c>
      <c r="K38" s="95">
        <f t="shared" si="9"/>
        <v>0.26298269311005812</v>
      </c>
      <c r="L38" s="69">
        <f t="shared" si="10"/>
        <v>1.9922931296216528E-2</v>
      </c>
      <c r="M38" s="95">
        <f t="shared" si="11"/>
        <v>0.40265712356469435</v>
      </c>
      <c r="N38" s="69">
        <f t="shared" si="12"/>
        <v>3.0504327542779881E-2</v>
      </c>
      <c r="O38" s="95">
        <f t="shared" si="13"/>
        <v>0.80572616301821331</v>
      </c>
      <c r="P38" s="69">
        <f t="shared" si="14"/>
        <v>6.103986083471314E-2</v>
      </c>
      <c r="Q38" s="95">
        <f t="shared" si="15"/>
        <v>0.92717237526424123</v>
      </c>
      <c r="R38" s="69">
        <f t="shared" si="16"/>
        <v>7.0240331459412234E-2</v>
      </c>
      <c r="S38" s="95">
        <f t="shared" si="17"/>
        <v>1</v>
      </c>
      <c r="T38" s="69">
        <f t="shared" si="18"/>
        <v>7.5757575757575774E-2</v>
      </c>
    </row>
    <row r="39" spans="1:20" x14ac:dyDescent="0.2">
      <c r="A39" s="94" t="s">
        <v>263</v>
      </c>
      <c r="B39" s="54">
        <f t="shared" si="19"/>
        <v>8.7878787878787917E-2</v>
      </c>
      <c r="C39" s="95">
        <f t="shared" si="20"/>
        <v>0.11111111111111144</v>
      </c>
      <c r="D39" s="69">
        <f t="shared" si="4"/>
        <v>9.7643097643097965E-3</v>
      </c>
      <c r="E39" s="95">
        <f t="shared" si="5"/>
        <v>0.50000000000000033</v>
      </c>
      <c r="F39" s="69">
        <f t="shared" si="6"/>
        <v>4.3939393939393986E-2</v>
      </c>
      <c r="G39" s="95">
        <f>(D24-L24)/M24</f>
        <v>0</v>
      </c>
      <c r="H39" s="69">
        <f t="shared" si="21"/>
        <v>0</v>
      </c>
      <c r="I39" s="95">
        <f t="shared" si="7"/>
        <v>0.22222222222222213</v>
      </c>
      <c r="J39" s="69">
        <f t="shared" si="8"/>
        <v>1.9528619528619527E-2</v>
      </c>
      <c r="K39" s="95">
        <f t="shared" si="9"/>
        <v>0.44444444444444425</v>
      </c>
      <c r="L39" s="69">
        <f t="shared" si="10"/>
        <v>3.9057239057239054E-2</v>
      </c>
      <c r="M39" s="95">
        <f t="shared" si="11"/>
        <v>0.27777777777777823</v>
      </c>
      <c r="N39" s="69">
        <f t="shared" si="12"/>
        <v>2.4410774410774463E-2</v>
      </c>
      <c r="O39" s="95">
        <f t="shared" si="13"/>
        <v>0.27777777777777823</v>
      </c>
      <c r="P39" s="69">
        <f t="shared" si="14"/>
        <v>2.4410774410774463E-2</v>
      </c>
      <c r="Q39" s="95">
        <f t="shared" si="15"/>
        <v>1</v>
      </c>
      <c r="R39" s="69">
        <f t="shared" si="16"/>
        <v>8.7878787878787917E-2</v>
      </c>
      <c r="S39" s="95">
        <f t="shared" si="17"/>
        <v>0.83333333333333326</v>
      </c>
      <c r="T39" s="69">
        <f t="shared" si="18"/>
        <v>7.323232323232326E-2</v>
      </c>
    </row>
    <row r="40" spans="1:20" x14ac:dyDescent="0.2">
      <c r="A40" s="94" t="s">
        <v>264</v>
      </c>
      <c r="B40" s="54">
        <f t="shared" si="19"/>
        <v>9.9999999999999978E-2</v>
      </c>
      <c r="C40" s="95">
        <f t="shared" si="20"/>
        <v>0.67567567567567566</v>
      </c>
      <c r="D40" s="69">
        <f t="shared" si="4"/>
        <v>6.7567567567567557E-2</v>
      </c>
      <c r="E40" s="95">
        <f t="shared" si="5"/>
        <v>0.43243243243243246</v>
      </c>
      <c r="F40" s="69">
        <f t="shared" si="6"/>
        <v>4.3243243243243239E-2</v>
      </c>
      <c r="G40" s="95">
        <f>(D25-L25)/M25</f>
        <v>0.48648648648648635</v>
      </c>
      <c r="H40" s="69">
        <f t="shared" si="21"/>
        <v>4.8648648648648624E-2</v>
      </c>
      <c r="I40" s="95">
        <f t="shared" si="7"/>
        <v>0.62162162162162182</v>
      </c>
      <c r="J40" s="69">
        <f t="shared" si="8"/>
        <v>6.2162162162162166E-2</v>
      </c>
      <c r="K40" s="95">
        <f t="shared" si="9"/>
        <v>1</v>
      </c>
      <c r="L40" s="69">
        <f t="shared" si="10"/>
        <v>9.9999999999999978E-2</v>
      </c>
      <c r="M40" s="95">
        <f t="shared" si="11"/>
        <v>0.54054054054054057</v>
      </c>
      <c r="N40" s="69">
        <f t="shared" si="12"/>
        <v>5.4054054054054043E-2</v>
      </c>
      <c r="O40" s="95">
        <f t="shared" si="13"/>
        <v>0.18918918918918928</v>
      </c>
      <c r="P40" s="69">
        <f t="shared" si="14"/>
        <v>1.8918918918918923E-2</v>
      </c>
      <c r="Q40" s="95">
        <f t="shared" si="15"/>
        <v>0</v>
      </c>
      <c r="R40" s="69">
        <f t="shared" si="16"/>
        <v>0</v>
      </c>
      <c r="S40" s="95">
        <f t="shared" si="17"/>
        <v>0.24324324324324317</v>
      </c>
      <c r="T40" s="69">
        <f t="shared" si="18"/>
        <v>2.4324324324324312E-2</v>
      </c>
    </row>
    <row r="41" spans="1:20" x14ac:dyDescent="0.2">
      <c r="A41" s="94" t="s">
        <v>265</v>
      </c>
      <c r="B41" s="54">
        <f t="shared" si="19"/>
        <v>0.11212121212121209</v>
      </c>
      <c r="C41" s="95">
        <f t="shared" si="20"/>
        <v>0</v>
      </c>
      <c r="D41" s="69">
        <f t="shared" si="4"/>
        <v>0</v>
      </c>
      <c r="E41" s="95">
        <f t="shared" si="5"/>
        <v>0.5</v>
      </c>
      <c r="F41" s="69">
        <f t="shared" si="6"/>
        <v>5.6060606060606047E-2</v>
      </c>
      <c r="G41" s="95">
        <f>(D26-L26)/M26</f>
        <v>7.1428571428571161E-2</v>
      </c>
      <c r="H41" s="69">
        <f t="shared" si="21"/>
        <v>8.0086580086579772E-3</v>
      </c>
      <c r="I41" s="95">
        <f t="shared" si="7"/>
        <v>0.71428571428571441</v>
      </c>
      <c r="J41" s="69">
        <f t="shared" si="8"/>
        <v>8.0086580086580081E-2</v>
      </c>
      <c r="K41" s="95">
        <f t="shared" si="9"/>
        <v>0.35714285714285676</v>
      </c>
      <c r="L41" s="69">
        <f t="shared" si="10"/>
        <v>4.0043290043289992E-2</v>
      </c>
      <c r="M41" s="95">
        <f>(F26-L26)/M26</f>
        <v>0.35714285714285676</v>
      </c>
      <c r="N41" s="69">
        <f t="shared" si="12"/>
        <v>4.0043290043289992E-2</v>
      </c>
      <c r="O41" s="95">
        <f t="shared" si="13"/>
        <v>0.35714285714285676</v>
      </c>
      <c r="P41" s="69">
        <f t="shared" si="14"/>
        <v>4.0043290043289992E-2</v>
      </c>
      <c r="Q41" s="95">
        <f t="shared" si="15"/>
        <v>0.28571428571428559</v>
      </c>
      <c r="R41" s="69">
        <f t="shared" si="16"/>
        <v>3.2034632034632013E-2</v>
      </c>
      <c r="S41" s="95">
        <f t="shared" si="17"/>
        <v>1</v>
      </c>
      <c r="T41" s="69">
        <f t="shared" si="18"/>
        <v>0.11212121212121209</v>
      </c>
    </row>
    <row r="42" spans="1:20" x14ac:dyDescent="0.2">
      <c r="A42" s="94" t="s">
        <v>266</v>
      </c>
      <c r="B42" s="54">
        <f t="shared" si="19"/>
        <v>0.12424242424242428</v>
      </c>
      <c r="C42" s="95">
        <f t="shared" si="20"/>
        <v>1</v>
      </c>
      <c r="D42" s="69">
        <f t="shared" si="4"/>
        <v>0.12424242424242428</v>
      </c>
      <c r="E42" s="95">
        <f t="shared" si="5"/>
        <v>0.40909090909090884</v>
      </c>
      <c r="F42" s="69">
        <f t="shared" si="6"/>
        <v>5.082644628099172E-2</v>
      </c>
      <c r="G42" s="95">
        <f>(D27-L27)/M27</f>
        <v>0.90909090909090884</v>
      </c>
      <c r="H42" s="69">
        <f t="shared" si="21"/>
        <v>0.11294765840220386</v>
      </c>
      <c r="I42" s="95">
        <f t="shared" si="7"/>
        <v>0.63636363636363646</v>
      </c>
      <c r="J42" s="69">
        <f t="shared" si="8"/>
        <v>7.9063360881542741E-2</v>
      </c>
      <c r="K42" s="95">
        <f t="shared" si="9"/>
        <v>0.40909090909090884</v>
      </c>
      <c r="L42" s="69">
        <f t="shared" si="10"/>
        <v>5.082644628099172E-2</v>
      </c>
      <c r="M42" s="95">
        <f>(G27-L27)/M27</f>
        <v>0</v>
      </c>
      <c r="N42" s="69">
        <f t="shared" si="12"/>
        <v>0</v>
      </c>
      <c r="O42" s="95">
        <f t="shared" si="13"/>
        <v>9.0909090909091189E-2</v>
      </c>
      <c r="P42" s="69">
        <f t="shared" si="14"/>
        <v>1.1294765840220424E-2</v>
      </c>
      <c r="Q42" s="95">
        <f t="shared" si="15"/>
        <v>0.5454545454545453</v>
      </c>
      <c r="R42" s="69">
        <f t="shared" si="16"/>
        <v>6.7768595041322321E-2</v>
      </c>
      <c r="S42" s="95">
        <f>(J26-L26)/M26</f>
        <v>1</v>
      </c>
      <c r="T42" s="69">
        <f t="shared" si="18"/>
        <v>0.12424242424242428</v>
      </c>
    </row>
    <row r="43" spans="1:20" x14ac:dyDescent="0.2">
      <c r="A43" s="94" t="s">
        <v>19</v>
      </c>
      <c r="B43" s="54"/>
      <c r="C43" s="95">
        <f>SUM(C33:C42)</f>
        <v>3.3406404753633363</v>
      </c>
      <c r="D43" s="96">
        <f t="shared" ref="D43:T43" si="22">SUM(D33:D42)</f>
        <v>0.3759209073773333</v>
      </c>
      <c r="E43" s="95">
        <f t="shared" si="22"/>
        <v>3.6748325204849515</v>
      </c>
      <c r="F43" s="96">
        <f t="shared" si="22"/>
        <v>0.40007476515398749</v>
      </c>
      <c r="G43" s="95">
        <f t="shared" si="22"/>
        <v>3.3804599115324061</v>
      </c>
      <c r="H43" s="96">
        <f t="shared" si="22"/>
        <v>0.52427721930834303</v>
      </c>
      <c r="I43" s="95">
        <f t="shared" si="22"/>
        <v>4.3487797610823984</v>
      </c>
      <c r="J43" s="96">
        <f t="shared" si="22"/>
        <v>0.45512240971114176</v>
      </c>
      <c r="K43" s="95">
        <f t="shared" si="22"/>
        <v>5.1844984435467403</v>
      </c>
      <c r="L43" s="96">
        <f t="shared" si="22"/>
        <v>0.52849431428566895</v>
      </c>
      <c r="M43" s="95">
        <f t="shared" si="22"/>
        <v>4.1828597127349294</v>
      </c>
      <c r="N43" s="96">
        <f t="shared" si="22"/>
        <v>0.41372462662610687</v>
      </c>
      <c r="O43" s="95">
        <f t="shared" si="22"/>
        <v>5.5621227965420719</v>
      </c>
      <c r="P43" s="96">
        <f t="shared" si="22"/>
        <v>0.54127653999770164</v>
      </c>
      <c r="Q43" s="95">
        <f t="shared" si="22"/>
        <v>5.7695453857200354</v>
      </c>
      <c r="R43" s="96">
        <f t="shared" si="22"/>
        <v>0.55215024250251477</v>
      </c>
      <c r="S43" s="95">
        <f t="shared" si="22"/>
        <v>7.3985775373162328</v>
      </c>
      <c r="T43" s="97">
        <f t="shared" si="22"/>
        <v>0.72369613757000717</v>
      </c>
    </row>
  </sheetData>
  <mergeCells count="16">
    <mergeCell ref="S31:T31"/>
    <mergeCell ref="A1:A2"/>
    <mergeCell ref="B1:AG1"/>
    <mergeCell ref="A16:A17"/>
    <mergeCell ref="B16:M16"/>
    <mergeCell ref="A30:A32"/>
    <mergeCell ref="B30:B32"/>
    <mergeCell ref="C30:T30"/>
    <mergeCell ref="C31:D31"/>
    <mergeCell ref="E31:F31"/>
    <mergeCell ref="G31:H31"/>
    <mergeCell ref="I31:J31"/>
    <mergeCell ref="K31:L31"/>
    <mergeCell ref="M31:N31"/>
    <mergeCell ref="O31:P31"/>
    <mergeCell ref="Q31:R3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867C1B-B8DC-BA47-B46D-322E8EBFCDA7}">
  <dimension ref="A1:AG25"/>
  <sheetViews>
    <sheetView topLeftCell="A9" workbookViewId="0">
      <selection activeCell="T21" sqref="T21:T25"/>
    </sheetView>
  </sheetViews>
  <sheetFormatPr baseColWidth="10" defaultRowHeight="16" x14ac:dyDescent="0.2"/>
  <cols>
    <col min="1" max="1" width="18.83203125" style="51" customWidth="1"/>
    <col min="2" max="2" width="7" style="51" customWidth="1"/>
    <col min="3" max="3" width="9.5" style="51" customWidth="1"/>
    <col min="4" max="4" width="8.6640625" style="51" customWidth="1"/>
    <col min="5" max="5" width="9.5" style="51" customWidth="1"/>
    <col min="6" max="6" width="8.83203125" style="51" customWidth="1"/>
    <col min="7" max="7" width="11.33203125" style="51" customWidth="1"/>
    <col min="8" max="8" width="9.33203125" style="51" customWidth="1"/>
    <col min="9" max="9" width="9.1640625" style="51" customWidth="1"/>
    <col min="10" max="10" width="9.33203125" style="51" customWidth="1"/>
    <col min="11" max="11" width="11.5" style="51" customWidth="1"/>
    <col min="12" max="12" width="13.1640625" style="51" customWidth="1"/>
    <col min="13" max="13" width="12.1640625" style="51" customWidth="1"/>
    <col min="14" max="14" width="5.6640625" style="51" customWidth="1"/>
    <col min="15" max="15" width="6.33203125" style="51" customWidth="1"/>
    <col min="16" max="16" width="6.6640625" style="51" customWidth="1"/>
    <col min="17" max="17" width="7.33203125" style="51" customWidth="1"/>
    <col min="18" max="18" width="6.83203125" style="51" customWidth="1"/>
    <col min="19" max="20" width="7.33203125" style="51" customWidth="1"/>
    <col min="21" max="21" width="4.6640625" style="51" customWidth="1"/>
    <col min="22" max="22" width="5.6640625" style="51" customWidth="1"/>
    <col min="23" max="23" width="4.6640625" style="51" customWidth="1"/>
    <col min="24" max="24" width="4.33203125" style="51" customWidth="1"/>
    <col min="25" max="25" width="6.33203125" style="51" customWidth="1"/>
    <col min="26" max="26" width="4.6640625" style="51" customWidth="1"/>
    <col min="27" max="27" width="5" style="51" customWidth="1"/>
    <col min="28" max="28" width="5.33203125" style="51" customWidth="1"/>
    <col min="29" max="29" width="5" style="51" customWidth="1"/>
    <col min="30" max="30" width="5.5" style="51" customWidth="1"/>
    <col min="31" max="31" width="5.83203125" style="51" customWidth="1"/>
    <col min="32" max="16384" width="10.83203125" style="51"/>
  </cols>
  <sheetData>
    <row r="1" spans="1:33" x14ac:dyDescent="0.2">
      <c r="A1" s="167" t="s">
        <v>228</v>
      </c>
      <c r="B1" s="168" t="s">
        <v>229</v>
      </c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69"/>
      <c r="AA1" s="169"/>
      <c r="AB1" s="169"/>
      <c r="AC1" s="169"/>
      <c r="AD1" s="169"/>
      <c r="AE1" s="169"/>
      <c r="AF1" s="169"/>
      <c r="AG1" s="170"/>
    </row>
    <row r="2" spans="1:33" x14ac:dyDescent="0.2">
      <c r="A2" s="167"/>
      <c r="B2" s="94" t="s">
        <v>230</v>
      </c>
      <c r="C2" s="94" t="s">
        <v>231</v>
      </c>
      <c r="D2" s="94" t="s">
        <v>232</v>
      </c>
      <c r="E2" s="94" t="s">
        <v>233</v>
      </c>
      <c r="F2" s="94" t="s">
        <v>234</v>
      </c>
      <c r="G2" s="94" t="s">
        <v>235</v>
      </c>
      <c r="H2" s="94" t="s">
        <v>236</v>
      </c>
      <c r="I2" s="94" t="s">
        <v>237</v>
      </c>
      <c r="J2" s="94" t="s">
        <v>238</v>
      </c>
      <c r="K2" s="94" t="s">
        <v>239</v>
      </c>
      <c r="L2" s="94" t="s">
        <v>240</v>
      </c>
      <c r="M2" s="94" t="s">
        <v>65</v>
      </c>
      <c r="N2" s="94" t="s">
        <v>241</v>
      </c>
      <c r="O2" s="94" t="s">
        <v>242</v>
      </c>
      <c r="P2" s="94" t="s">
        <v>243</v>
      </c>
      <c r="Q2" s="94" t="s">
        <v>77</v>
      </c>
      <c r="R2" s="94" t="s">
        <v>244</v>
      </c>
      <c r="S2" s="94" t="s">
        <v>245</v>
      </c>
      <c r="T2" s="94" t="s">
        <v>246</v>
      </c>
      <c r="U2" s="94" t="s">
        <v>247</v>
      </c>
      <c r="V2" s="94" t="s">
        <v>248</v>
      </c>
      <c r="W2" s="94" t="s">
        <v>249</v>
      </c>
      <c r="X2" s="94" t="s">
        <v>250</v>
      </c>
      <c r="Y2" s="94" t="s">
        <v>251</v>
      </c>
      <c r="Z2" s="94" t="s">
        <v>252</v>
      </c>
      <c r="AA2" s="94" t="s">
        <v>253</v>
      </c>
      <c r="AB2" s="94" t="s">
        <v>90</v>
      </c>
      <c r="AC2" s="94" t="s">
        <v>254</v>
      </c>
      <c r="AD2" s="94" t="s">
        <v>255</v>
      </c>
      <c r="AE2" s="94" t="s">
        <v>256</v>
      </c>
      <c r="AF2" s="94" t="s">
        <v>19</v>
      </c>
      <c r="AG2" s="94" t="s">
        <v>267</v>
      </c>
    </row>
    <row r="3" spans="1:33" x14ac:dyDescent="0.2">
      <c r="A3" s="94" t="s">
        <v>263</v>
      </c>
      <c r="B3" s="54">
        <v>0.5</v>
      </c>
      <c r="C3" s="54">
        <v>0.5</v>
      </c>
      <c r="D3" s="54">
        <v>0.8</v>
      </c>
      <c r="E3" s="54">
        <v>1</v>
      </c>
      <c r="F3" s="54">
        <v>0.7</v>
      </c>
      <c r="G3" s="54">
        <v>0.7</v>
      </c>
      <c r="H3" s="54">
        <v>1</v>
      </c>
      <c r="I3" s="54">
        <v>0.8</v>
      </c>
      <c r="J3" s="54">
        <v>0.4</v>
      </c>
      <c r="K3" s="54">
        <v>0.7</v>
      </c>
      <c r="L3" s="54">
        <v>1</v>
      </c>
      <c r="M3" s="54">
        <v>0.9</v>
      </c>
      <c r="N3" s="54">
        <v>0.9</v>
      </c>
      <c r="O3" s="54">
        <v>0.8</v>
      </c>
      <c r="P3" s="54">
        <v>0.8</v>
      </c>
      <c r="Q3" s="54">
        <v>1</v>
      </c>
      <c r="R3" s="54">
        <v>1</v>
      </c>
      <c r="S3" s="54">
        <v>0.4</v>
      </c>
      <c r="T3" s="54">
        <v>0.9</v>
      </c>
      <c r="U3" s="54">
        <v>0.6</v>
      </c>
      <c r="V3" s="54">
        <v>0.8</v>
      </c>
      <c r="W3" s="54">
        <v>0.9</v>
      </c>
      <c r="X3" s="54">
        <v>0.5</v>
      </c>
      <c r="Y3" s="54">
        <v>0.6</v>
      </c>
      <c r="Z3" s="54">
        <v>0.9</v>
      </c>
      <c r="AA3" s="54">
        <v>0.7</v>
      </c>
      <c r="AB3" s="54">
        <v>0.9</v>
      </c>
      <c r="AC3" s="54">
        <v>0.8</v>
      </c>
      <c r="AD3" s="54">
        <v>0.9</v>
      </c>
      <c r="AE3" s="54">
        <v>1</v>
      </c>
      <c r="AF3" s="54">
        <f t="shared" ref="AF3:AF6" si="0">SUM(B3:AE3)</f>
        <v>23.4</v>
      </c>
      <c r="AG3" s="54">
        <f>AF3/$AF$7</f>
        <v>0.26145251396648045</v>
      </c>
    </row>
    <row r="4" spans="1:33" x14ac:dyDescent="0.2">
      <c r="A4" s="94" t="s">
        <v>264</v>
      </c>
      <c r="B4" s="54">
        <v>0.3</v>
      </c>
      <c r="C4" s="54">
        <v>0.5</v>
      </c>
      <c r="D4" s="54">
        <v>0.8</v>
      </c>
      <c r="E4" s="54">
        <v>0.8</v>
      </c>
      <c r="F4" s="54">
        <v>0.8</v>
      </c>
      <c r="G4" s="54">
        <v>0.9</v>
      </c>
      <c r="H4" s="54">
        <v>1</v>
      </c>
      <c r="I4" s="54">
        <v>0.7</v>
      </c>
      <c r="J4" s="54">
        <v>0.3</v>
      </c>
      <c r="K4" s="54">
        <v>0.8</v>
      </c>
      <c r="L4" s="54">
        <v>0.9</v>
      </c>
      <c r="M4" s="54">
        <v>0.9</v>
      </c>
      <c r="N4" s="54">
        <v>0.9</v>
      </c>
      <c r="O4" s="54">
        <v>0.8</v>
      </c>
      <c r="P4" s="54">
        <v>1</v>
      </c>
      <c r="Q4" s="54">
        <v>0.9</v>
      </c>
      <c r="R4" s="54">
        <v>1</v>
      </c>
      <c r="S4" s="54">
        <v>0.3</v>
      </c>
      <c r="T4" s="54">
        <v>0.2</v>
      </c>
      <c r="U4" s="54">
        <v>0.7</v>
      </c>
      <c r="V4" s="54">
        <v>0.7</v>
      </c>
      <c r="W4" s="54">
        <v>0.9</v>
      </c>
      <c r="X4" s="54">
        <v>0.8</v>
      </c>
      <c r="Y4" s="54">
        <v>0.7</v>
      </c>
      <c r="Z4" s="54">
        <v>0.9</v>
      </c>
      <c r="AA4" s="54">
        <v>0.8</v>
      </c>
      <c r="AB4" s="54">
        <v>0.7</v>
      </c>
      <c r="AC4" s="54">
        <v>0.1</v>
      </c>
      <c r="AD4" s="54">
        <v>0.8</v>
      </c>
      <c r="AE4" s="54">
        <v>1</v>
      </c>
      <c r="AF4" s="54">
        <f t="shared" si="0"/>
        <v>21.900000000000002</v>
      </c>
      <c r="AG4" s="54">
        <f>AF4/$AF$7</f>
        <v>0.24469273743016762</v>
      </c>
    </row>
    <row r="5" spans="1:33" x14ac:dyDescent="0.2">
      <c r="A5" s="94" t="s">
        <v>265</v>
      </c>
      <c r="B5" s="54">
        <v>0.7</v>
      </c>
      <c r="C5" s="54">
        <v>0.5</v>
      </c>
      <c r="D5" s="54">
        <v>0.9</v>
      </c>
      <c r="E5" s="54">
        <v>1</v>
      </c>
      <c r="F5" s="54">
        <v>0.9</v>
      </c>
      <c r="G5" s="54">
        <v>0.8</v>
      </c>
      <c r="H5" s="54">
        <v>1</v>
      </c>
      <c r="I5" s="54">
        <v>0.8</v>
      </c>
      <c r="J5" s="54">
        <v>0.1</v>
      </c>
      <c r="K5" s="54">
        <v>0.7</v>
      </c>
      <c r="L5" s="54">
        <v>0.9</v>
      </c>
      <c r="M5" s="54">
        <v>0.6</v>
      </c>
      <c r="N5" s="54">
        <v>0.9</v>
      </c>
      <c r="O5" s="54">
        <v>0.6</v>
      </c>
      <c r="P5" s="54">
        <v>1</v>
      </c>
      <c r="Q5" s="54">
        <v>0.9</v>
      </c>
      <c r="R5" s="54">
        <v>1</v>
      </c>
      <c r="S5" s="54">
        <v>0.1</v>
      </c>
      <c r="T5" s="54">
        <v>1</v>
      </c>
      <c r="U5" s="54">
        <v>0.3</v>
      </c>
      <c r="V5" s="54">
        <v>0.6</v>
      </c>
      <c r="W5" s="54">
        <v>0.8</v>
      </c>
      <c r="X5" s="54">
        <v>0.1</v>
      </c>
      <c r="Y5" s="54">
        <v>0.3</v>
      </c>
      <c r="Z5" s="54">
        <v>0.9</v>
      </c>
      <c r="AA5" s="54">
        <v>0.5</v>
      </c>
      <c r="AB5" s="54">
        <v>0.8</v>
      </c>
      <c r="AC5" s="54">
        <v>0.9</v>
      </c>
      <c r="AD5" s="54">
        <v>0.7</v>
      </c>
      <c r="AE5" s="54">
        <v>1</v>
      </c>
      <c r="AF5" s="54">
        <f t="shared" si="0"/>
        <v>21.299999999999997</v>
      </c>
      <c r="AG5" s="54">
        <f>AF5/$AF$7</f>
        <v>0.23798882681564243</v>
      </c>
    </row>
    <row r="6" spans="1:33" x14ac:dyDescent="0.2">
      <c r="A6" s="94" t="s">
        <v>266</v>
      </c>
      <c r="B6" s="54">
        <v>0.2</v>
      </c>
      <c r="C6" s="54">
        <v>0.5</v>
      </c>
      <c r="D6" s="54">
        <v>0.8</v>
      </c>
      <c r="E6" s="54">
        <v>0.9</v>
      </c>
      <c r="F6" s="54">
        <v>0.8</v>
      </c>
      <c r="G6" s="54">
        <v>1</v>
      </c>
      <c r="H6" s="54">
        <v>1</v>
      </c>
      <c r="I6" s="54">
        <v>0.7</v>
      </c>
      <c r="J6" s="54">
        <v>0.2</v>
      </c>
      <c r="K6" s="54">
        <v>0.9</v>
      </c>
      <c r="L6" s="54">
        <v>0.9</v>
      </c>
      <c r="M6" s="54">
        <v>0.9</v>
      </c>
      <c r="N6" s="54">
        <v>0.9</v>
      </c>
      <c r="O6" s="54">
        <v>0.5</v>
      </c>
      <c r="P6" s="54">
        <v>0.8</v>
      </c>
      <c r="Q6" s="54">
        <v>0.9</v>
      </c>
      <c r="R6" s="54">
        <v>1</v>
      </c>
      <c r="S6" s="54">
        <v>0.2</v>
      </c>
      <c r="T6" s="54">
        <v>0.1</v>
      </c>
      <c r="U6" s="54">
        <v>0.8</v>
      </c>
      <c r="V6" s="54">
        <v>0.6</v>
      </c>
      <c r="W6" s="54">
        <v>1</v>
      </c>
      <c r="X6" s="54">
        <v>1</v>
      </c>
      <c r="Y6" s="54">
        <v>1</v>
      </c>
      <c r="Z6" s="54">
        <v>0.9</v>
      </c>
      <c r="AA6" s="54">
        <v>0.8</v>
      </c>
      <c r="AB6" s="54">
        <v>0.8</v>
      </c>
      <c r="AC6" s="54">
        <v>1</v>
      </c>
      <c r="AD6" s="54">
        <v>0.8</v>
      </c>
      <c r="AE6" s="54">
        <v>1</v>
      </c>
      <c r="AF6" s="54">
        <f t="shared" si="0"/>
        <v>22.900000000000002</v>
      </c>
      <c r="AG6" s="54">
        <f>AF6/$AF$7</f>
        <v>0.2558659217877095</v>
      </c>
    </row>
    <row r="7" spans="1:33" x14ac:dyDescent="0.2">
      <c r="A7" s="94" t="s">
        <v>19</v>
      </c>
      <c r="B7" s="54">
        <f t="shared" ref="B7:AF7" si="1">SUM(B3:B6)</f>
        <v>1.7</v>
      </c>
      <c r="C7" s="54">
        <f t="shared" si="1"/>
        <v>2</v>
      </c>
      <c r="D7" s="54">
        <f t="shared" si="1"/>
        <v>3.3</v>
      </c>
      <c r="E7" s="54">
        <f t="shared" si="1"/>
        <v>3.6999999999999997</v>
      </c>
      <c r="F7" s="54">
        <f t="shared" si="1"/>
        <v>3.2</v>
      </c>
      <c r="G7" s="54">
        <f t="shared" si="1"/>
        <v>3.4000000000000004</v>
      </c>
      <c r="H7" s="54">
        <f t="shared" si="1"/>
        <v>4</v>
      </c>
      <c r="I7" s="54">
        <f t="shared" si="1"/>
        <v>3</v>
      </c>
      <c r="J7" s="54">
        <f t="shared" si="1"/>
        <v>1</v>
      </c>
      <c r="K7" s="54">
        <f t="shared" si="1"/>
        <v>3.1</v>
      </c>
      <c r="L7" s="54">
        <f t="shared" si="1"/>
        <v>3.6999999999999997</v>
      </c>
      <c r="M7" s="54">
        <f t="shared" si="1"/>
        <v>3.3</v>
      </c>
      <c r="N7" s="54">
        <f t="shared" si="1"/>
        <v>3.6</v>
      </c>
      <c r="O7" s="54">
        <f t="shared" si="1"/>
        <v>2.7</v>
      </c>
      <c r="P7" s="54">
        <f t="shared" si="1"/>
        <v>3.5999999999999996</v>
      </c>
      <c r="Q7" s="54">
        <f t="shared" si="1"/>
        <v>3.6999999999999997</v>
      </c>
      <c r="R7" s="54">
        <f t="shared" si="1"/>
        <v>4</v>
      </c>
      <c r="S7" s="54">
        <f t="shared" si="1"/>
        <v>1</v>
      </c>
      <c r="T7" s="54">
        <f t="shared" si="1"/>
        <v>2.2000000000000002</v>
      </c>
      <c r="U7" s="54">
        <f t="shared" si="1"/>
        <v>2.4</v>
      </c>
      <c r="V7" s="54">
        <f t="shared" si="1"/>
        <v>2.7</v>
      </c>
      <c r="W7" s="54">
        <f t="shared" si="1"/>
        <v>3.6</v>
      </c>
      <c r="X7" s="54">
        <f t="shared" si="1"/>
        <v>2.4000000000000004</v>
      </c>
      <c r="Y7" s="54">
        <f t="shared" si="1"/>
        <v>2.5999999999999996</v>
      </c>
      <c r="Z7" s="54">
        <f t="shared" si="1"/>
        <v>3.6</v>
      </c>
      <c r="AA7" s="54">
        <f t="shared" si="1"/>
        <v>2.8</v>
      </c>
      <c r="AB7" s="54">
        <f t="shared" si="1"/>
        <v>3.2</v>
      </c>
      <c r="AC7" s="54">
        <f t="shared" si="1"/>
        <v>2.8</v>
      </c>
      <c r="AD7" s="54">
        <f t="shared" si="1"/>
        <v>3.2</v>
      </c>
      <c r="AE7" s="54">
        <f t="shared" si="1"/>
        <v>4</v>
      </c>
      <c r="AF7" s="54">
        <f t="shared" si="1"/>
        <v>89.5</v>
      </c>
      <c r="AG7" s="54"/>
    </row>
    <row r="10" spans="1:33" x14ac:dyDescent="0.2">
      <c r="A10" s="167" t="s">
        <v>228</v>
      </c>
      <c r="B10" s="167" t="s">
        <v>131</v>
      </c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</row>
    <row r="11" spans="1:33" x14ac:dyDescent="0.2">
      <c r="A11" s="167"/>
      <c r="B11" s="94" t="s">
        <v>51</v>
      </c>
      <c r="C11" s="94" t="s">
        <v>53</v>
      </c>
      <c r="D11" s="94" t="s">
        <v>54</v>
      </c>
      <c r="E11" s="94" t="s">
        <v>55</v>
      </c>
      <c r="F11" s="94" t="s">
        <v>52</v>
      </c>
      <c r="G11" s="94" t="s">
        <v>56</v>
      </c>
      <c r="H11" s="94" t="s">
        <v>57</v>
      </c>
      <c r="I11" s="94" t="s">
        <v>58</v>
      </c>
      <c r="J11" s="94" t="s">
        <v>59</v>
      </c>
      <c r="K11" s="94" t="s">
        <v>268</v>
      </c>
      <c r="L11" s="94" t="s">
        <v>269</v>
      </c>
      <c r="M11" s="94" t="s">
        <v>270</v>
      </c>
    </row>
    <row r="12" spans="1:33" x14ac:dyDescent="0.2">
      <c r="A12" s="94" t="s">
        <v>263</v>
      </c>
      <c r="B12" s="54">
        <v>3.2333333333333334</v>
      </c>
      <c r="C12" s="54">
        <v>3.4666666666666668</v>
      </c>
      <c r="D12" s="54">
        <v>3.1666666666666665</v>
      </c>
      <c r="E12" s="54">
        <v>3.3</v>
      </c>
      <c r="F12" s="54">
        <v>3.4333333333333331</v>
      </c>
      <c r="G12" s="54">
        <v>3.3333333333333335</v>
      </c>
      <c r="H12" s="54">
        <v>3.3333333333333335</v>
      </c>
      <c r="I12" s="54">
        <v>3.7666666666666666</v>
      </c>
      <c r="J12" s="54">
        <v>3.6666666666666665</v>
      </c>
      <c r="K12" s="54">
        <f>I12</f>
        <v>3.7666666666666666</v>
      </c>
      <c r="L12" s="54">
        <f>D12</f>
        <v>3.1666666666666665</v>
      </c>
      <c r="M12" s="54">
        <f t="shared" ref="M12:M15" si="2">K12-L12</f>
        <v>0.60000000000000009</v>
      </c>
    </row>
    <row r="13" spans="1:33" x14ac:dyDescent="0.2">
      <c r="A13" s="94" t="s">
        <v>264</v>
      </c>
      <c r="B13" s="54">
        <v>3.6666666666666665</v>
      </c>
      <c r="C13" s="54">
        <v>3.3666666666666667</v>
      </c>
      <c r="D13" s="54">
        <v>3.4333333333333331</v>
      </c>
      <c r="E13" s="54">
        <v>3.6</v>
      </c>
      <c r="F13" s="54">
        <v>4.0666666666666664</v>
      </c>
      <c r="G13" s="54">
        <v>3.5</v>
      </c>
      <c r="H13" s="54">
        <v>3.0666666666666669</v>
      </c>
      <c r="I13" s="54">
        <v>2.8333333333333335</v>
      </c>
      <c r="J13" s="54">
        <v>3.1333333333333333</v>
      </c>
      <c r="K13" s="54">
        <f>F13</f>
        <v>4.0666666666666664</v>
      </c>
      <c r="L13" s="54">
        <f>I13</f>
        <v>2.8333333333333335</v>
      </c>
      <c r="M13" s="54">
        <f t="shared" si="2"/>
        <v>1.2333333333333329</v>
      </c>
    </row>
    <row r="14" spans="1:33" x14ac:dyDescent="0.2">
      <c r="A14" s="94" t="s">
        <v>265</v>
      </c>
      <c r="B14" s="54">
        <v>2.7333333333333334</v>
      </c>
      <c r="C14" s="54">
        <v>2.9666666666666668</v>
      </c>
      <c r="D14" s="54">
        <v>2.7666666666666666</v>
      </c>
      <c r="E14" s="54">
        <v>3.0666666666666669</v>
      </c>
      <c r="F14" s="54">
        <v>2.9</v>
      </c>
      <c r="G14" s="54">
        <v>2.7333333333333334</v>
      </c>
      <c r="H14" s="54">
        <v>2.9</v>
      </c>
      <c r="I14" s="54">
        <v>2.8666666666666667</v>
      </c>
      <c r="J14" s="54">
        <v>3.2</v>
      </c>
      <c r="K14" s="54">
        <f>J14</f>
        <v>3.2</v>
      </c>
      <c r="L14" s="54">
        <f>G14</f>
        <v>2.7333333333333334</v>
      </c>
      <c r="M14" s="54">
        <f t="shared" si="2"/>
        <v>0.46666666666666679</v>
      </c>
    </row>
    <row r="15" spans="1:33" x14ac:dyDescent="0.2">
      <c r="A15" s="94" t="s">
        <v>266</v>
      </c>
      <c r="B15" s="54">
        <v>3.8666666666666667</v>
      </c>
      <c r="C15" s="54">
        <v>3.4333333333333331</v>
      </c>
      <c r="D15" s="54">
        <v>3.8</v>
      </c>
      <c r="E15" s="54">
        <v>3.6</v>
      </c>
      <c r="F15" s="54">
        <v>3.4333333333333331</v>
      </c>
      <c r="G15" s="54">
        <v>3.1333333333333333</v>
      </c>
      <c r="H15" s="54">
        <v>3.2</v>
      </c>
      <c r="I15" s="54">
        <v>3.5333333333333332</v>
      </c>
      <c r="J15" s="54">
        <v>3.7666666666666666</v>
      </c>
      <c r="K15" s="54">
        <f>B15</f>
        <v>3.8666666666666667</v>
      </c>
      <c r="L15" s="54">
        <f>G15</f>
        <v>3.1333333333333333</v>
      </c>
      <c r="M15" s="54">
        <f t="shared" si="2"/>
        <v>0.73333333333333339</v>
      </c>
    </row>
    <row r="18" spans="1:20" x14ac:dyDescent="0.2">
      <c r="A18" s="167" t="s">
        <v>228</v>
      </c>
      <c r="B18" s="167" t="s">
        <v>267</v>
      </c>
      <c r="C18" s="167" t="s">
        <v>131</v>
      </c>
      <c r="D18" s="167"/>
      <c r="E18" s="167"/>
      <c r="F18" s="167"/>
      <c r="G18" s="167"/>
      <c r="H18" s="167"/>
      <c r="I18" s="167"/>
      <c r="J18" s="167"/>
      <c r="K18" s="167"/>
      <c r="L18" s="167"/>
      <c r="M18" s="167"/>
      <c r="N18" s="167"/>
      <c r="O18" s="167"/>
      <c r="P18" s="167"/>
      <c r="Q18" s="167"/>
      <c r="R18" s="167"/>
      <c r="S18" s="167"/>
      <c r="T18" s="167"/>
    </row>
    <row r="19" spans="1:20" x14ac:dyDescent="0.2">
      <c r="A19" s="167"/>
      <c r="B19" s="167"/>
      <c r="C19" s="167" t="s">
        <v>51</v>
      </c>
      <c r="D19" s="167"/>
      <c r="E19" s="167" t="s">
        <v>53</v>
      </c>
      <c r="F19" s="167"/>
      <c r="G19" s="167" t="s">
        <v>54</v>
      </c>
      <c r="H19" s="167"/>
      <c r="I19" s="167" t="s">
        <v>55</v>
      </c>
      <c r="J19" s="167"/>
      <c r="K19" s="167" t="s">
        <v>52</v>
      </c>
      <c r="L19" s="167"/>
      <c r="M19" s="167" t="s">
        <v>56</v>
      </c>
      <c r="N19" s="167"/>
      <c r="O19" s="167" t="s">
        <v>57</v>
      </c>
      <c r="P19" s="167"/>
      <c r="Q19" s="167" t="s">
        <v>58</v>
      </c>
      <c r="R19" s="167"/>
      <c r="S19" s="167" t="s">
        <v>59</v>
      </c>
      <c r="T19" s="167"/>
    </row>
    <row r="20" spans="1:20" x14ac:dyDescent="0.2">
      <c r="A20" s="167"/>
      <c r="B20" s="167"/>
      <c r="C20" s="95" t="s">
        <v>271</v>
      </c>
      <c r="D20" s="94" t="s">
        <v>272</v>
      </c>
      <c r="E20" s="95" t="s">
        <v>271</v>
      </c>
      <c r="F20" s="94" t="s">
        <v>272</v>
      </c>
      <c r="G20" s="95" t="s">
        <v>271</v>
      </c>
      <c r="H20" s="94" t="s">
        <v>272</v>
      </c>
      <c r="I20" s="95" t="s">
        <v>271</v>
      </c>
      <c r="J20" s="94" t="s">
        <v>272</v>
      </c>
      <c r="K20" s="95" t="s">
        <v>271</v>
      </c>
      <c r="L20" s="94" t="s">
        <v>272</v>
      </c>
      <c r="M20" s="95" t="s">
        <v>271</v>
      </c>
      <c r="N20" s="94" t="s">
        <v>272</v>
      </c>
      <c r="O20" s="95" t="s">
        <v>271</v>
      </c>
      <c r="P20" s="94" t="s">
        <v>272</v>
      </c>
      <c r="Q20" s="95" t="s">
        <v>271</v>
      </c>
      <c r="R20" s="94" t="s">
        <v>272</v>
      </c>
      <c r="S20" s="95" t="s">
        <v>271</v>
      </c>
      <c r="T20" s="94" t="s">
        <v>272</v>
      </c>
    </row>
    <row r="21" spans="1:20" x14ac:dyDescent="0.2">
      <c r="A21" s="94" t="s">
        <v>263</v>
      </c>
      <c r="B21" s="54">
        <f>AG3</f>
        <v>0.26145251396648045</v>
      </c>
      <c r="C21" s="95">
        <f>(B12-L12)/M12</f>
        <v>0.11111111111111144</v>
      </c>
      <c r="D21" s="55">
        <f>C21*B21</f>
        <v>2.9050279329609026E-2</v>
      </c>
      <c r="E21" s="95">
        <f>(C12-L12)/M12</f>
        <v>0.50000000000000033</v>
      </c>
      <c r="F21" s="55">
        <f>E21*B21</f>
        <v>0.13072625698324031</v>
      </c>
      <c r="G21" s="95">
        <f>(D12-L12)/M12</f>
        <v>0</v>
      </c>
      <c r="H21" s="55">
        <f>G21*B21</f>
        <v>0</v>
      </c>
      <c r="I21" s="95">
        <f>(E12-L12)/M12</f>
        <v>0.22222222222222213</v>
      </c>
      <c r="J21" s="55">
        <f>I21*B21</f>
        <v>5.8100558659217851E-2</v>
      </c>
      <c r="K21" s="95">
        <f>(F12-L12)/M12</f>
        <v>0.44444444444444425</v>
      </c>
      <c r="L21" s="55">
        <f>K21*B21</f>
        <v>0.1162011173184357</v>
      </c>
      <c r="M21" s="95">
        <f>(G12-L12)/M12</f>
        <v>0.27777777777777823</v>
      </c>
      <c r="N21" s="55">
        <f>M21*B21</f>
        <v>7.2625698324022464E-2</v>
      </c>
      <c r="O21" s="95">
        <f>(H12-L12)/M12</f>
        <v>0.27777777777777823</v>
      </c>
      <c r="P21" s="55">
        <f>O21*B21</f>
        <v>7.2625698324022464E-2</v>
      </c>
      <c r="Q21" s="95">
        <f>(I12-L12)/M12</f>
        <v>1</v>
      </c>
      <c r="R21" s="55">
        <f>Q21*B21</f>
        <v>0.26145251396648045</v>
      </c>
      <c r="S21" s="95">
        <f>(J12-L12)/M12</f>
        <v>0.83333333333333326</v>
      </c>
      <c r="T21" s="55">
        <f>S21*B21</f>
        <v>0.21787709497206703</v>
      </c>
    </row>
    <row r="22" spans="1:20" x14ac:dyDescent="0.2">
      <c r="A22" s="94" t="s">
        <v>264</v>
      </c>
      <c r="B22" s="54">
        <f>AG4</f>
        <v>0.24469273743016762</v>
      </c>
      <c r="C22" s="95">
        <f>(B13-L13)/M13</f>
        <v>0.67567567567567566</v>
      </c>
      <c r="D22" s="55">
        <f>C22*B22</f>
        <v>0.1653329306960592</v>
      </c>
      <c r="E22" s="95">
        <f>(C13-L13)/M13</f>
        <v>0.43243243243243246</v>
      </c>
      <c r="F22" s="55">
        <f>E22*B22</f>
        <v>0.1058130756454779</v>
      </c>
      <c r="G22" s="95">
        <f>(D13-L13)/M13</f>
        <v>0.48648648648648635</v>
      </c>
      <c r="H22" s="55">
        <f>G22*B22</f>
        <v>0.11903971010116259</v>
      </c>
      <c r="I22" s="95">
        <f>(E13-L13)/M13</f>
        <v>0.62162162162162182</v>
      </c>
      <c r="J22" s="55">
        <f>I22*B22</f>
        <v>0.15210629624037453</v>
      </c>
      <c r="K22" s="95">
        <f>(F13-L13)/M13</f>
        <v>1</v>
      </c>
      <c r="L22" s="55">
        <f>K22*B22</f>
        <v>0.24469273743016762</v>
      </c>
      <c r="M22" s="95">
        <f>(G13-L13)/M13</f>
        <v>0.54054054054054057</v>
      </c>
      <c r="N22" s="55">
        <f>M22*B22</f>
        <v>0.13226634455684738</v>
      </c>
      <c r="O22" s="95">
        <f>(H13-L13)/M13</f>
        <v>0.18918918918918928</v>
      </c>
      <c r="P22" s="55">
        <f>O22*B22</f>
        <v>4.62932205948966E-2</v>
      </c>
      <c r="Q22" s="95">
        <f>(I13-L13)/M13</f>
        <v>0</v>
      </c>
      <c r="R22" s="55">
        <f>Q22*B22</f>
        <v>0</v>
      </c>
      <c r="S22" s="95">
        <f>(J13-L13)/M13</f>
        <v>0.24324324324324317</v>
      </c>
      <c r="T22" s="55">
        <f>S22*B22</f>
        <v>5.9519855050581293E-2</v>
      </c>
    </row>
    <row r="23" spans="1:20" x14ac:dyDescent="0.2">
      <c r="A23" s="94" t="s">
        <v>265</v>
      </c>
      <c r="B23" s="54">
        <f>AG5</f>
        <v>0.23798882681564243</v>
      </c>
      <c r="C23" s="95">
        <f>(B14-L14)/M14</f>
        <v>0</v>
      </c>
      <c r="D23" s="55">
        <f>C23*B23</f>
        <v>0</v>
      </c>
      <c r="E23" s="95">
        <f>(C14-L14)/M14</f>
        <v>0.5</v>
      </c>
      <c r="F23" s="55">
        <f>E23*B23</f>
        <v>0.11899441340782121</v>
      </c>
      <c r="G23" s="95">
        <f>(D14-L14)/M14</f>
        <v>7.1428571428571161E-2</v>
      </c>
      <c r="H23" s="55">
        <f>G23*B23</f>
        <v>1.6999201915402967E-2</v>
      </c>
      <c r="I23" s="95">
        <f>(E14-L14)/M14</f>
        <v>0.71428571428571441</v>
      </c>
      <c r="J23" s="55">
        <f>I23*B23</f>
        <v>0.16999201915403034</v>
      </c>
      <c r="K23" s="95">
        <f>(F14-L14)/M14</f>
        <v>0.35714285714285676</v>
      </c>
      <c r="L23" s="55">
        <f>K23*B23</f>
        <v>8.4996009577015058E-2</v>
      </c>
      <c r="M23" s="95">
        <f>(F14-L14)/M14</f>
        <v>0.35714285714285676</v>
      </c>
      <c r="N23" s="55">
        <f>M23*B23</f>
        <v>8.4996009577015058E-2</v>
      </c>
      <c r="O23" s="95">
        <f>(H14-L14)/M14</f>
        <v>0.35714285714285676</v>
      </c>
      <c r="P23" s="55">
        <f>O23*B23</f>
        <v>8.4996009577015058E-2</v>
      </c>
      <c r="Q23" s="95">
        <f>(I14-L14)/M14</f>
        <v>0.28571428571428559</v>
      </c>
      <c r="R23" s="55">
        <f>Q23*B23</f>
        <v>6.7996807661612091E-2</v>
      </c>
      <c r="S23" s="95">
        <f>(J14-L14)/M14</f>
        <v>1</v>
      </c>
      <c r="T23" s="55">
        <f>S23*B23</f>
        <v>0.23798882681564243</v>
      </c>
    </row>
    <row r="24" spans="1:20" x14ac:dyDescent="0.2">
      <c r="A24" s="94" t="s">
        <v>266</v>
      </c>
      <c r="B24" s="54">
        <f>AG6</f>
        <v>0.2558659217877095</v>
      </c>
      <c r="C24" s="95">
        <f>(B15-L15)/M15</f>
        <v>1</v>
      </c>
      <c r="D24" s="55">
        <f>C24*B24</f>
        <v>0.2558659217877095</v>
      </c>
      <c r="E24" s="95">
        <f>(C15-L15)/M15</f>
        <v>0.40909090909090884</v>
      </c>
      <c r="F24" s="55">
        <f>E24*B24</f>
        <v>0.10467242254951746</v>
      </c>
      <c r="G24" s="95">
        <f>(D15-L15)/M15</f>
        <v>0.90909090909090884</v>
      </c>
      <c r="H24" s="55">
        <f>G24*B24</f>
        <v>0.2326053834433722</v>
      </c>
      <c r="I24" s="95">
        <f>(E15-L15)/M15</f>
        <v>0.63636363636363646</v>
      </c>
      <c r="J24" s="55">
        <f>I24*B24</f>
        <v>0.16282376841036061</v>
      </c>
      <c r="K24" s="95">
        <f>(F15-L15)/M15</f>
        <v>0.40909090909090884</v>
      </c>
      <c r="L24" s="55">
        <f>K24*B24</f>
        <v>0.10467242254951746</v>
      </c>
      <c r="M24" s="95">
        <f>(G15-L15)/M15</f>
        <v>0</v>
      </c>
      <c r="N24" s="55">
        <f>M24*B24</f>
        <v>0</v>
      </c>
      <c r="O24" s="95">
        <f>(H15-L15)/M15</f>
        <v>9.0909090909091189E-2</v>
      </c>
      <c r="P24" s="55">
        <f>O24*B24</f>
        <v>2.3260538344337299E-2</v>
      </c>
      <c r="Q24" s="95">
        <f>(I15-L15)/M15</f>
        <v>0.5454545454545453</v>
      </c>
      <c r="R24" s="55">
        <f>Q24*B24</f>
        <v>0.13956323006602334</v>
      </c>
      <c r="S24" s="95">
        <f>(J14-L14)/M14</f>
        <v>1</v>
      </c>
      <c r="T24" s="55">
        <f>S24*B24</f>
        <v>0.2558659217877095</v>
      </c>
    </row>
    <row r="25" spans="1:20" x14ac:dyDescent="0.2">
      <c r="A25" s="94" t="s">
        <v>19</v>
      </c>
      <c r="B25" s="54"/>
      <c r="C25" s="95">
        <f t="shared" ref="C25:T25" si="3">SUM(C21:C24)</f>
        <v>1.786786786786787</v>
      </c>
      <c r="D25" s="98">
        <f t="shared" si="3"/>
        <v>0.45024913181337772</v>
      </c>
      <c r="E25" s="95">
        <f t="shared" si="3"/>
        <v>1.8415233415233416</v>
      </c>
      <c r="F25" s="98">
        <f t="shared" si="3"/>
        <v>0.4602061685860569</v>
      </c>
      <c r="G25" s="95">
        <f t="shared" si="3"/>
        <v>1.4670059670059663</v>
      </c>
      <c r="H25" s="98">
        <f t="shared" si="3"/>
        <v>0.36864429545993771</v>
      </c>
      <c r="I25" s="95">
        <f t="shared" si="3"/>
        <v>2.1944931944931945</v>
      </c>
      <c r="J25" s="98">
        <f t="shared" si="3"/>
        <v>0.54302264246398335</v>
      </c>
      <c r="K25" s="95">
        <f t="shared" si="3"/>
        <v>2.2106782106782097</v>
      </c>
      <c r="L25" s="98">
        <f t="shared" si="3"/>
        <v>0.55056228687513586</v>
      </c>
      <c r="M25" s="95">
        <f t="shared" si="3"/>
        <v>1.1754611754611757</v>
      </c>
      <c r="N25" s="98">
        <f t="shared" si="3"/>
        <v>0.2898880524578849</v>
      </c>
      <c r="O25" s="95">
        <f t="shared" si="3"/>
        <v>0.91501891501891541</v>
      </c>
      <c r="P25" s="98">
        <f t="shared" si="3"/>
        <v>0.22717546684027143</v>
      </c>
      <c r="Q25" s="95">
        <f t="shared" si="3"/>
        <v>1.831168831168831</v>
      </c>
      <c r="R25" s="98">
        <f t="shared" si="3"/>
        <v>0.46901255169411588</v>
      </c>
      <c r="S25" s="95">
        <f t="shared" si="3"/>
        <v>3.0765765765765765</v>
      </c>
      <c r="T25" s="99">
        <f t="shared" si="3"/>
        <v>0.77125169862600029</v>
      </c>
    </row>
  </sheetData>
  <mergeCells count="16">
    <mergeCell ref="S19:T19"/>
    <mergeCell ref="A1:A2"/>
    <mergeCell ref="B1:AG1"/>
    <mergeCell ref="A10:A11"/>
    <mergeCell ref="B10:M10"/>
    <mergeCell ref="A18:A20"/>
    <mergeCell ref="B18:B20"/>
    <mergeCell ref="C18:T18"/>
    <mergeCell ref="C19:D19"/>
    <mergeCell ref="E19:F19"/>
    <mergeCell ref="G19:H19"/>
    <mergeCell ref="I19:J19"/>
    <mergeCell ref="K19:L19"/>
    <mergeCell ref="M19:N19"/>
    <mergeCell ref="O19:P19"/>
    <mergeCell ref="Q19:R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C0577-95FB-3446-AB39-097C10F5A974}">
  <dimension ref="A1:H30"/>
  <sheetViews>
    <sheetView zoomScale="125" workbookViewId="0">
      <selection activeCell="J7" sqref="J7"/>
    </sheetView>
  </sheetViews>
  <sheetFormatPr baseColWidth="10" defaultRowHeight="16" x14ac:dyDescent="0.2"/>
  <cols>
    <col min="1" max="1" width="9.6640625" bestFit="1" customWidth="1"/>
    <col min="2" max="2" width="5.1640625" bestFit="1" customWidth="1"/>
    <col min="3" max="3" width="11" bestFit="1" customWidth="1"/>
    <col min="4" max="4" width="14.33203125" bestFit="1" customWidth="1"/>
    <col min="5" max="5" width="12.5" bestFit="1" customWidth="1"/>
    <col min="6" max="6" width="9.33203125" bestFit="1" customWidth="1"/>
  </cols>
  <sheetData>
    <row r="1" spans="1:8" x14ac:dyDescent="0.2">
      <c r="A1" s="23" t="s">
        <v>148</v>
      </c>
      <c r="B1" s="2" t="s">
        <v>181</v>
      </c>
      <c r="C1" s="2" t="s">
        <v>181</v>
      </c>
      <c r="D1" s="2"/>
      <c r="E1" s="2"/>
      <c r="F1" s="2"/>
      <c r="G1" s="2" t="s">
        <v>181</v>
      </c>
      <c r="H1" s="2" t="s">
        <v>181</v>
      </c>
    </row>
    <row r="2" spans="1:8" x14ac:dyDescent="0.2">
      <c r="A2" s="23" t="s">
        <v>153</v>
      </c>
      <c r="B2" s="2" t="s">
        <v>181</v>
      </c>
      <c r="C2" s="2" t="s">
        <v>181</v>
      </c>
      <c r="D2" s="2" t="s">
        <v>209</v>
      </c>
      <c r="E2" s="2" t="s">
        <v>210</v>
      </c>
      <c r="F2" s="2" t="s">
        <v>211</v>
      </c>
      <c r="G2" s="2" t="s">
        <v>181</v>
      </c>
      <c r="H2" s="2" t="s">
        <v>181</v>
      </c>
    </row>
    <row r="3" spans="1:8" x14ac:dyDescent="0.2">
      <c r="A3" s="22" t="s">
        <v>95</v>
      </c>
      <c r="B3" s="22" t="s">
        <v>124</v>
      </c>
      <c r="C3" s="22" t="s">
        <v>125</v>
      </c>
      <c r="D3" s="22" t="s">
        <v>126</v>
      </c>
      <c r="E3" s="22" t="s">
        <v>127</v>
      </c>
      <c r="F3" s="22" t="s">
        <v>128</v>
      </c>
      <c r="G3" s="22" t="s">
        <v>129</v>
      </c>
      <c r="H3" s="22" t="s">
        <v>130</v>
      </c>
    </row>
    <row r="4" spans="1:8" x14ac:dyDescent="0.2">
      <c r="A4" s="2" t="s">
        <v>96</v>
      </c>
      <c r="B4" s="15"/>
      <c r="C4" s="15"/>
      <c r="D4" s="15"/>
      <c r="E4" s="15"/>
      <c r="F4" s="15"/>
      <c r="G4" s="15"/>
      <c r="H4" s="15"/>
    </row>
    <row r="5" spans="1:8" x14ac:dyDescent="0.2">
      <c r="A5" s="2" t="s">
        <v>97</v>
      </c>
      <c r="B5" s="15"/>
      <c r="C5" s="15"/>
      <c r="D5" s="15"/>
      <c r="E5" s="15"/>
      <c r="F5" s="15"/>
      <c r="G5" s="15"/>
      <c r="H5" s="15"/>
    </row>
    <row r="6" spans="1:8" x14ac:dyDescent="0.2">
      <c r="A6" s="2" t="s">
        <v>98</v>
      </c>
      <c r="B6" s="15"/>
      <c r="C6" s="15"/>
      <c r="D6" s="15"/>
      <c r="E6" s="15"/>
      <c r="F6" s="15"/>
      <c r="G6" s="15"/>
      <c r="H6" s="15"/>
    </row>
    <row r="7" spans="1:8" x14ac:dyDescent="0.2">
      <c r="A7" s="2" t="s">
        <v>99</v>
      </c>
      <c r="B7" s="15"/>
      <c r="C7" s="15"/>
      <c r="D7" s="15"/>
      <c r="E7" s="15"/>
      <c r="F7" s="15"/>
      <c r="G7" s="15"/>
      <c r="H7" s="15"/>
    </row>
    <row r="8" spans="1:8" x14ac:dyDescent="0.2">
      <c r="A8" s="2" t="s">
        <v>100</v>
      </c>
      <c r="B8" s="15"/>
      <c r="C8" s="15"/>
      <c r="D8" s="15"/>
      <c r="E8" s="15"/>
      <c r="F8" s="15"/>
      <c r="G8" s="15"/>
      <c r="H8" s="15"/>
    </row>
    <row r="9" spans="1:8" x14ac:dyDescent="0.2">
      <c r="A9" s="2" t="s">
        <v>101</v>
      </c>
      <c r="B9" s="15"/>
      <c r="C9" s="15"/>
      <c r="D9" s="15"/>
      <c r="E9" s="15"/>
      <c r="F9" s="15"/>
      <c r="G9" s="15"/>
      <c r="H9" s="15"/>
    </row>
    <row r="10" spans="1:8" x14ac:dyDescent="0.2">
      <c r="A10" s="2" t="s">
        <v>102</v>
      </c>
      <c r="B10" s="15"/>
      <c r="C10" s="15"/>
      <c r="D10" s="15"/>
      <c r="E10" s="15"/>
      <c r="F10" s="15"/>
      <c r="G10" s="15"/>
      <c r="H10" s="15"/>
    </row>
    <row r="11" spans="1:8" x14ac:dyDescent="0.2">
      <c r="A11" s="2" t="s">
        <v>103</v>
      </c>
      <c r="B11" s="15"/>
      <c r="C11" s="15"/>
      <c r="D11" s="15"/>
      <c r="E11" s="15"/>
      <c r="F11" s="15"/>
      <c r="G11" s="15"/>
      <c r="H11" s="15"/>
    </row>
    <row r="12" spans="1:8" x14ac:dyDescent="0.2">
      <c r="A12" s="2" t="s">
        <v>104</v>
      </c>
      <c r="B12" s="15"/>
      <c r="C12" s="15"/>
      <c r="D12" s="15"/>
      <c r="E12" s="15"/>
      <c r="F12" s="15"/>
      <c r="G12" s="15"/>
      <c r="H12" s="15"/>
    </row>
    <row r="13" spans="1:8" x14ac:dyDescent="0.2">
      <c r="A13" s="2" t="s">
        <v>105</v>
      </c>
      <c r="B13" s="15"/>
      <c r="C13" s="15"/>
      <c r="D13" s="15"/>
      <c r="E13" s="15"/>
      <c r="F13" s="15"/>
      <c r="G13" s="15"/>
      <c r="H13" s="15"/>
    </row>
    <row r="14" spans="1:8" x14ac:dyDescent="0.2">
      <c r="A14" s="2" t="s">
        <v>106</v>
      </c>
      <c r="B14" s="15"/>
      <c r="C14" s="15"/>
      <c r="D14" s="15"/>
      <c r="E14" s="15"/>
      <c r="F14" s="15"/>
      <c r="G14" s="15"/>
      <c r="H14" s="15"/>
    </row>
    <row r="15" spans="1:8" x14ac:dyDescent="0.2">
      <c r="A15" s="2" t="s">
        <v>107</v>
      </c>
      <c r="B15" s="15"/>
      <c r="C15" s="15"/>
      <c r="D15" s="15"/>
      <c r="E15" s="15"/>
      <c r="F15" s="15"/>
      <c r="G15" s="15"/>
      <c r="H15" s="15"/>
    </row>
    <row r="16" spans="1:8" x14ac:dyDescent="0.2">
      <c r="A16" s="2" t="s">
        <v>108</v>
      </c>
      <c r="B16" s="15"/>
      <c r="C16" s="15"/>
      <c r="D16" s="15"/>
      <c r="E16" s="15"/>
      <c r="F16" s="15"/>
      <c r="G16" s="15"/>
      <c r="H16" s="15"/>
    </row>
    <row r="17" spans="1:8" x14ac:dyDescent="0.2">
      <c r="A17" s="2" t="s">
        <v>109</v>
      </c>
      <c r="B17" s="15"/>
      <c r="C17" s="15"/>
      <c r="D17" s="15"/>
      <c r="E17" s="15"/>
      <c r="F17" s="15"/>
      <c r="G17" s="15"/>
      <c r="H17" s="15"/>
    </row>
    <row r="18" spans="1:8" x14ac:dyDescent="0.2">
      <c r="A18" s="2" t="s">
        <v>110</v>
      </c>
      <c r="B18" s="15"/>
      <c r="C18" s="15"/>
      <c r="D18" s="15"/>
      <c r="E18" s="15"/>
      <c r="F18" s="15"/>
      <c r="G18" s="15"/>
      <c r="H18" s="15"/>
    </row>
    <row r="19" spans="1:8" x14ac:dyDescent="0.2">
      <c r="A19" s="2" t="s">
        <v>111</v>
      </c>
      <c r="B19" s="15"/>
      <c r="C19" s="15"/>
      <c r="D19" s="15"/>
      <c r="E19" s="15"/>
      <c r="F19" s="15"/>
      <c r="G19" s="15"/>
      <c r="H19" s="15"/>
    </row>
    <row r="20" spans="1:8" x14ac:dyDescent="0.2">
      <c r="A20" s="2" t="s">
        <v>112</v>
      </c>
      <c r="B20" s="15"/>
      <c r="C20" s="15"/>
      <c r="D20" s="15"/>
      <c r="E20" s="15"/>
      <c r="F20" s="15"/>
      <c r="G20" s="15"/>
      <c r="H20" s="15"/>
    </row>
    <row r="21" spans="1:8" x14ac:dyDescent="0.2">
      <c r="A21" s="2" t="s">
        <v>113</v>
      </c>
      <c r="B21" s="15"/>
      <c r="C21" s="15"/>
      <c r="D21" s="15"/>
      <c r="E21" s="15"/>
      <c r="F21" s="15"/>
      <c r="G21" s="15"/>
      <c r="H21" s="15"/>
    </row>
    <row r="22" spans="1:8" x14ac:dyDescent="0.2">
      <c r="A22" s="2" t="s">
        <v>114</v>
      </c>
      <c r="B22" s="15"/>
      <c r="C22" s="15"/>
      <c r="D22" s="15"/>
      <c r="E22" s="15"/>
      <c r="F22" s="15"/>
      <c r="G22" s="15"/>
      <c r="H22" s="15"/>
    </row>
    <row r="23" spans="1:8" x14ac:dyDescent="0.2">
      <c r="A23" s="2" t="s">
        <v>115</v>
      </c>
      <c r="B23" s="15"/>
      <c r="C23" s="15"/>
      <c r="D23" s="15"/>
      <c r="E23" s="15"/>
      <c r="F23" s="15"/>
      <c r="G23" s="15"/>
      <c r="H23" s="15"/>
    </row>
    <row r="24" spans="1:8" x14ac:dyDescent="0.2">
      <c r="A24" s="2" t="s">
        <v>116</v>
      </c>
      <c r="B24" s="15"/>
      <c r="C24" s="15"/>
      <c r="D24" s="15"/>
      <c r="E24" s="15"/>
      <c r="F24" s="15"/>
      <c r="G24" s="15"/>
      <c r="H24" s="15"/>
    </row>
    <row r="25" spans="1:8" x14ac:dyDescent="0.2">
      <c r="A25" s="2" t="s">
        <v>117</v>
      </c>
      <c r="B25" s="15"/>
      <c r="C25" s="15"/>
      <c r="D25" s="15"/>
      <c r="E25" s="15"/>
      <c r="F25" s="15"/>
      <c r="G25" s="15"/>
      <c r="H25" s="15"/>
    </row>
    <row r="26" spans="1:8" x14ac:dyDescent="0.2">
      <c r="A26" s="2" t="s">
        <v>118</v>
      </c>
      <c r="B26" s="15"/>
      <c r="C26" s="15"/>
      <c r="D26" s="15"/>
      <c r="E26" s="15"/>
      <c r="F26" s="15"/>
      <c r="G26" s="15"/>
      <c r="H26" s="15"/>
    </row>
    <row r="27" spans="1:8" x14ac:dyDescent="0.2">
      <c r="A27" s="2" t="s">
        <v>119</v>
      </c>
      <c r="B27" s="15"/>
      <c r="C27" s="15"/>
      <c r="D27" s="15"/>
      <c r="E27" s="15"/>
      <c r="F27" s="15"/>
      <c r="G27" s="15"/>
      <c r="H27" s="15"/>
    </row>
    <row r="28" spans="1:8" x14ac:dyDescent="0.2">
      <c r="A28" s="2" t="s">
        <v>121</v>
      </c>
      <c r="B28" s="15"/>
      <c r="C28" s="15"/>
      <c r="D28" s="15"/>
      <c r="E28" s="15"/>
      <c r="F28" s="15"/>
      <c r="G28" s="15"/>
      <c r="H28" s="15"/>
    </row>
    <row r="29" spans="1:8" x14ac:dyDescent="0.2">
      <c r="A29" s="2" t="s">
        <v>122</v>
      </c>
      <c r="B29" s="15"/>
      <c r="C29" s="15"/>
      <c r="D29" s="15"/>
      <c r="E29" s="15"/>
      <c r="F29" s="15"/>
      <c r="G29" s="15"/>
      <c r="H29" s="15"/>
    </row>
    <row r="30" spans="1:8" x14ac:dyDescent="0.2">
      <c r="A30" s="2" t="s">
        <v>123</v>
      </c>
      <c r="B30" s="15"/>
      <c r="C30" s="15"/>
      <c r="D30" s="15"/>
      <c r="E30" s="15"/>
      <c r="F30" s="15"/>
      <c r="G30" s="15"/>
      <c r="H30" s="1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78655B-91BD-E14F-9FFE-E9AF016CA189}">
  <dimension ref="A1:BO13"/>
  <sheetViews>
    <sheetView workbookViewId="0">
      <selection activeCell="J13" sqref="J13"/>
    </sheetView>
  </sheetViews>
  <sheetFormatPr baseColWidth="10" defaultRowHeight="16" x14ac:dyDescent="0.2"/>
  <cols>
    <col min="21" max="21" width="12" bestFit="1" customWidth="1"/>
    <col min="23" max="23" width="12" bestFit="1" customWidth="1"/>
    <col min="25" max="25" width="12" bestFit="1" customWidth="1"/>
  </cols>
  <sheetData>
    <row r="1" spans="1:67" x14ac:dyDescent="0.2">
      <c r="A1" s="116" t="s">
        <v>155</v>
      </c>
      <c r="B1" s="116"/>
      <c r="C1" s="116"/>
      <c r="D1" s="116"/>
      <c r="E1" s="116"/>
      <c r="F1" s="116"/>
      <c r="G1" s="116"/>
      <c r="H1" s="116"/>
      <c r="I1" s="116"/>
      <c r="J1" s="116"/>
      <c r="M1" s="116" t="s">
        <v>158</v>
      </c>
      <c r="N1" s="116"/>
      <c r="O1" s="116"/>
      <c r="P1" s="116"/>
      <c r="S1" s="116" t="s">
        <v>128</v>
      </c>
      <c r="T1" s="116"/>
      <c r="U1" s="116"/>
      <c r="V1" s="116"/>
      <c r="W1" s="116"/>
      <c r="X1" s="116"/>
      <c r="Y1" s="116"/>
      <c r="AB1" s="116" t="s">
        <v>127</v>
      </c>
      <c r="AC1" s="116"/>
      <c r="AD1" s="116"/>
      <c r="AE1" s="116"/>
      <c r="AF1" s="116"/>
      <c r="AG1" s="116"/>
      <c r="AH1" s="116"/>
      <c r="AI1" s="116"/>
      <c r="AJ1" s="116"/>
      <c r="AK1" s="116"/>
      <c r="AL1" s="116"/>
      <c r="AM1" s="116"/>
      <c r="AN1" s="116"/>
      <c r="AQ1" s="116" t="s">
        <v>165</v>
      </c>
      <c r="AR1" s="116"/>
      <c r="AS1" s="116"/>
      <c r="AT1" s="116"/>
      <c r="AU1" s="116"/>
      <c r="AV1" s="116"/>
      <c r="AW1" s="116"/>
      <c r="AX1" s="116"/>
      <c r="AY1" s="116"/>
      <c r="AZ1" s="116"/>
      <c r="BA1" s="116"/>
      <c r="BB1" s="116"/>
      <c r="BC1" s="116"/>
      <c r="BF1" s="116" t="s">
        <v>129</v>
      </c>
      <c r="BG1" s="116"/>
      <c r="BH1" s="116"/>
      <c r="BI1" s="116"/>
      <c r="BJ1" s="116"/>
      <c r="BK1" s="116"/>
      <c r="BL1" s="116"/>
      <c r="BM1" s="116"/>
      <c r="BN1" s="116"/>
      <c r="BO1" s="116"/>
    </row>
    <row r="2" spans="1:67" x14ac:dyDescent="0.2">
      <c r="A2" s="117" t="s">
        <v>156</v>
      </c>
      <c r="B2" s="116" t="s">
        <v>17</v>
      </c>
      <c r="C2" s="116"/>
      <c r="D2" s="116"/>
      <c r="E2" s="116"/>
      <c r="F2" s="116"/>
      <c r="G2" s="116"/>
      <c r="H2" s="116"/>
      <c r="I2" s="116"/>
      <c r="J2" s="116"/>
      <c r="M2" s="116" t="s">
        <v>156</v>
      </c>
      <c r="N2" s="116" t="s">
        <v>17</v>
      </c>
      <c r="O2" s="116"/>
      <c r="P2" s="116"/>
      <c r="S2" s="116" t="s">
        <v>156</v>
      </c>
      <c r="T2" s="116" t="s">
        <v>17</v>
      </c>
      <c r="U2" s="116"/>
      <c r="V2" s="116"/>
      <c r="W2" s="116"/>
      <c r="X2" s="116"/>
      <c r="Y2" s="116"/>
      <c r="AB2" s="116" t="s">
        <v>156</v>
      </c>
      <c r="AC2" s="116" t="s">
        <v>17</v>
      </c>
      <c r="AD2" s="116"/>
      <c r="AE2" s="116"/>
      <c r="AF2" s="116"/>
      <c r="AG2" s="116"/>
      <c r="AH2" s="116"/>
      <c r="AI2" s="116"/>
      <c r="AJ2" s="116"/>
      <c r="AK2" s="116"/>
      <c r="AL2" s="116"/>
      <c r="AM2" s="116"/>
      <c r="AN2" s="116"/>
      <c r="AQ2" s="116" t="s">
        <v>156</v>
      </c>
      <c r="AR2" s="116" t="s">
        <v>17</v>
      </c>
      <c r="AS2" s="116"/>
      <c r="AT2" s="116"/>
      <c r="AU2" s="116"/>
      <c r="AV2" s="116"/>
      <c r="AW2" s="116"/>
      <c r="AX2" s="116"/>
      <c r="AY2" s="116"/>
      <c r="AZ2" s="116"/>
      <c r="BA2" s="116"/>
      <c r="BB2" s="116"/>
      <c r="BC2" s="116"/>
      <c r="BF2" s="116" t="s">
        <v>156</v>
      </c>
      <c r="BG2" s="116" t="s">
        <v>17</v>
      </c>
      <c r="BH2" s="116"/>
      <c r="BI2" s="116"/>
      <c r="BJ2" s="116"/>
      <c r="BK2" s="116"/>
      <c r="BL2" s="116"/>
      <c r="BM2" s="2"/>
      <c r="BN2" s="2" t="s">
        <v>156</v>
      </c>
      <c r="BO2" s="2" t="s">
        <v>168</v>
      </c>
    </row>
    <row r="3" spans="1:67" x14ac:dyDescent="0.2">
      <c r="A3" s="117"/>
      <c r="B3" s="116">
        <v>1</v>
      </c>
      <c r="C3" s="116"/>
      <c r="D3" s="116"/>
      <c r="E3" s="116">
        <v>2</v>
      </c>
      <c r="F3" s="116"/>
      <c r="G3" s="116"/>
      <c r="H3" s="116">
        <v>3</v>
      </c>
      <c r="I3" s="116"/>
      <c r="J3" s="116"/>
      <c r="M3" s="116"/>
      <c r="N3" s="2">
        <v>1</v>
      </c>
      <c r="O3" s="2">
        <v>2</v>
      </c>
      <c r="P3" s="2">
        <v>3</v>
      </c>
      <c r="S3" s="116"/>
      <c r="T3" s="116">
        <v>1</v>
      </c>
      <c r="U3" s="116"/>
      <c r="V3" s="116">
        <v>2</v>
      </c>
      <c r="W3" s="116"/>
      <c r="X3" s="116">
        <v>3</v>
      </c>
      <c r="Y3" s="116"/>
      <c r="AB3" s="116"/>
      <c r="AC3" s="116">
        <v>1</v>
      </c>
      <c r="AD3" s="116"/>
      <c r="AE3" s="116"/>
      <c r="AF3" s="116"/>
      <c r="AG3" s="116">
        <v>2</v>
      </c>
      <c r="AH3" s="116"/>
      <c r="AI3" s="116"/>
      <c r="AJ3" s="116"/>
      <c r="AK3" s="116">
        <v>3</v>
      </c>
      <c r="AL3" s="116"/>
      <c r="AM3" s="116"/>
      <c r="AN3" s="116"/>
      <c r="AQ3" s="116"/>
      <c r="AR3" s="116">
        <v>1</v>
      </c>
      <c r="AS3" s="116"/>
      <c r="AT3" s="116"/>
      <c r="AU3" s="116"/>
      <c r="AV3" s="116">
        <v>2</v>
      </c>
      <c r="AW3" s="116"/>
      <c r="AX3" s="116"/>
      <c r="AY3" s="116"/>
      <c r="AZ3" s="116">
        <v>3</v>
      </c>
      <c r="BA3" s="116"/>
      <c r="BB3" s="116"/>
      <c r="BC3" s="116"/>
      <c r="BF3" s="116"/>
      <c r="BG3" s="116">
        <v>1</v>
      </c>
      <c r="BH3" s="116"/>
      <c r="BI3" s="116">
        <v>2</v>
      </c>
      <c r="BJ3" s="116"/>
      <c r="BK3" s="116">
        <v>3</v>
      </c>
      <c r="BL3" s="116"/>
      <c r="BM3" s="2"/>
      <c r="BN3" s="2" t="s">
        <v>169</v>
      </c>
      <c r="BO3" s="2"/>
    </row>
    <row r="4" spans="1:67" x14ac:dyDescent="0.2">
      <c r="A4" s="117"/>
      <c r="B4" s="2" t="s">
        <v>157</v>
      </c>
      <c r="C4" s="2" t="s">
        <v>151</v>
      </c>
      <c r="D4" s="2" t="s">
        <v>152</v>
      </c>
      <c r="E4" s="2" t="s">
        <v>157</v>
      </c>
      <c r="F4" s="2" t="s">
        <v>151</v>
      </c>
      <c r="G4" s="2" t="s">
        <v>152</v>
      </c>
      <c r="H4" s="2" t="s">
        <v>157</v>
      </c>
      <c r="I4" s="2" t="s">
        <v>151</v>
      </c>
      <c r="J4" s="2" t="s">
        <v>152</v>
      </c>
      <c r="M4" s="2" t="s">
        <v>51</v>
      </c>
      <c r="N4" s="2"/>
      <c r="O4" s="2"/>
      <c r="P4" s="2"/>
      <c r="S4" s="116"/>
      <c r="T4" s="2" t="s">
        <v>159</v>
      </c>
      <c r="U4" s="2" t="s">
        <v>160</v>
      </c>
      <c r="V4" s="2" t="s">
        <v>159</v>
      </c>
      <c r="W4" s="2" t="s">
        <v>160</v>
      </c>
      <c r="X4" s="2" t="s">
        <v>159</v>
      </c>
      <c r="Y4" s="2" t="s">
        <v>160</v>
      </c>
      <c r="AB4" s="116"/>
      <c r="AC4" s="2" t="s">
        <v>166</v>
      </c>
      <c r="AD4" s="2" t="s">
        <v>161</v>
      </c>
      <c r="AE4" s="2" t="s">
        <v>162</v>
      </c>
      <c r="AF4" s="2" t="s">
        <v>164</v>
      </c>
      <c r="AG4" s="2" t="s">
        <v>166</v>
      </c>
      <c r="AH4" s="2" t="s">
        <v>161</v>
      </c>
      <c r="AI4" s="2" t="s">
        <v>162</v>
      </c>
      <c r="AJ4" s="2" t="s">
        <v>164</v>
      </c>
      <c r="AK4" s="2" t="s">
        <v>166</v>
      </c>
      <c r="AL4" s="2" t="s">
        <v>161</v>
      </c>
      <c r="AM4" s="2" t="s">
        <v>162</v>
      </c>
      <c r="AN4" s="2" t="s">
        <v>164</v>
      </c>
      <c r="AQ4" s="116"/>
      <c r="AR4" s="2" t="s">
        <v>163</v>
      </c>
      <c r="AS4" s="2" t="s">
        <v>161</v>
      </c>
      <c r="AT4" s="2" t="s">
        <v>162</v>
      </c>
      <c r="AU4" s="2" t="s">
        <v>164</v>
      </c>
      <c r="AV4" s="2" t="s">
        <v>163</v>
      </c>
      <c r="AW4" s="2" t="s">
        <v>161</v>
      </c>
      <c r="AX4" s="2" t="s">
        <v>162</v>
      </c>
      <c r="AY4" s="2" t="s">
        <v>164</v>
      </c>
      <c r="AZ4" s="2" t="s">
        <v>163</v>
      </c>
      <c r="BA4" s="2" t="s">
        <v>161</v>
      </c>
      <c r="BB4" s="2" t="s">
        <v>162</v>
      </c>
      <c r="BC4" s="2" t="s">
        <v>164</v>
      </c>
      <c r="BF4" s="116"/>
      <c r="BG4" s="2" t="s">
        <v>167</v>
      </c>
      <c r="BH4" s="2" t="s">
        <v>168</v>
      </c>
      <c r="BI4" s="2" t="s">
        <v>167</v>
      </c>
      <c r="BJ4" s="2" t="s">
        <v>168</v>
      </c>
      <c r="BK4" s="2" t="s">
        <v>167</v>
      </c>
      <c r="BL4" s="2" t="s">
        <v>168</v>
      </c>
      <c r="BM4" s="2"/>
      <c r="BN4" s="2">
        <v>0.2</v>
      </c>
      <c r="BO4" s="2"/>
    </row>
    <row r="5" spans="1:67" x14ac:dyDescent="0.2">
      <c r="A5" s="2" t="s">
        <v>51</v>
      </c>
      <c r="B5" s="2"/>
      <c r="C5" s="2"/>
      <c r="D5" s="2"/>
      <c r="E5" s="2"/>
      <c r="F5" s="2"/>
      <c r="G5" s="2"/>
      <c r="H5" s="2"/>
      <c r="I5" s="2"/>
      <c r="J5" s="2"/>
      <c r="M5" s="2" t="s">
        <v>53</v>
      </c>
      <c r="N5" s="2"/>
      <c r="O5" s="2"/>
      <c r="P5" s="2"/>
      <c r="S5" s="2" t="s">
        <v>51</v>
      </c>
      <c r="T5" s="2"/>
      <c r="U5" s="2"/>
      <c r="V5" s="2"/>
      <c r="W5" s="2"/>
      <c r="X5" s="2"/>
      <c r="Y5" s="2"/>
      <c r="AB5" s="2" t="s">
        <v>51</v>
      </c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Q5" s="2" t="s">
        <v>51</v>
      </c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F5" s="2" t="s">
        <v>51</v>
      </c>
      <c r="BG5" s="2"/>
      <c r="BH5" s="2"/>
      <c r="BI5" s="2"/>
      <c r="BJ5" s="2"/>
      <c r="BK5" s="2"/>
      <c r="BL5" s="2"/>
      <c r="BM5" s="2"/>
      <c r="BN5" s="2">
        <v>0.4</v>
      </c>
      <c r="BO5" s="2"/>
    </row>
    <row r="6" spans="1:67" x14ac:dyDescent="0.2">
      <c r="A6" s="2" t="s">
        <v>53</v>
      </c>
      <c r="B6" s="2"/>
      <c r="C6" s="2"/>
      <c r="D6" s="2"/>
      <c r="E6" s="2"/>
      <c r="F6" s="2"/>
      <c r="G6" s="2"/>
      <c r="H6" s="2"/>
      <c r="I6" s="2"/>
      <c r="J6" s="2"/>
      <c r="M6" s="2" t="s">
        <v>54</v>
      </c>
      <c r="N6" s="2"/>
      <c r="O6" s="2"/>
      <c r="P6" s="2"/>
      <c r="S6" s="2" t="s">
        <v>53</v>
      </c>
      <c r="T6" s="2"/>
      <c r="U6" s="2"/>
      <c r="V6" s="2"/>
      <c r="W6" s="2"/>
      <c r="X6" s="2"/>
      <c r="Y6" s="2"/>
      <c r="AB6" s="2" t="s">
        <v>53</v>
      </c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Q6" s="2" t="s">
        <v>53</v>
      </c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F6" s="2" t="s">
        <v>53</v>
      </c>
      <c r="BG6" s="2"/>
      <c r="BH6" s="2"/>
      <c r="BI6" s="2"/>
      <c r="BJ6" s="2"/>
      <c r="BK6" s="2"/>
      <c r="BL6" s="2"/>
      <c r="BM6" s="2"/>
      <c r="BN6" s="2">
        <v>0.6</v>
      </c>
      <c r="BO6" s="2"/>
    </row>
    <row r="7" spans="1:67" x14ac:dyDescent="0.2">
      <c r="A7" s="2" t="s">
        <v>54</v>
      </c>
      <c r="B7" s="2"/>
      <c r="C7" s="2"/>
      <c r="D7" s="2"/>
      <c r="E7" s="2"/>
      <c r="F7" s="2"/>
      <c r="G7" s="2"/>
      <c r="H7" s="2"/>
      <c r="I7" s="2"/>
      <c r="J7" s="2"/>
      <c r="M7" s="2" t="s">
        <v>55</v>
      </c>
      <c r="N7" s="2"/>
      <c r="O7" s="2"/>
      <c r="P7" s="2"/>
      <c r="S7" s="2" t="s">
        <v>54</v>
      </c>
      <c r="T7" s="2"/>
      <c r="U7" s="2"/>
      <c r="V7" s="2"/>
      <c r="W7" s="2"/>
      <c r="X7" s="2"/>
      <c r="Y7" s="2"/>
      <c r="AB7" s="2" t="s">
        <v>54</v>
      </c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Q7" s="2" t="s">
        <v>54</v>
      </c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F7" s="2" t="s">
        <v>54</v>
      </c>
      <c r="BG7" s="2"/>
      <c r="BH7" s="2"/>
      <c r="BI7" s="2"/>
      <c r="BJ7" s="2"/>
      <c r="BK7" s="2"/>
      <c r="BL7" s="2"/>
      <c r="BM7" s="2"/>
      <c r="BN7" s="2">
        <v>0.8</v>
      </c>
      <c r="BO7" s="2"/>
    </row>
    <row r="8" spans="1:67" x14ac:dyDescent="0.2">
      <c r="A8" s="2" t="s">
        <v>55</v>
      </c>
      <c r="B8" s="2"/>
      <c r="C8" s="2"/>
      <c r="D8" s="2"/>
      <c r="E8" s="2"/>
      <c r="F8" s="2"/>
      <c r="G8" s="2"/>
      <c r="H8" s="2"/>
      <c r="I8" s="2"/>
      <c r="J8" s="2"/>
      <c r="M8" s="2" t="s">
        <v>52</v>
      </c>
      <c r="N8" s="2"/>
      <c r="O8" s="2"/>
      <c r="P8" s="2"/>
      <c r="S8" s="2" t="s">
        <v>55</v>
      </c>
      <c r="T8" s="2"/>
      <c r="U8" s="2"/>
      <c r="V8" s="2"/>
      <c r="W8" s="2"/>
      <c r="X8" s="2"/>
      <c r="Y8" s="2"/>
      <c r="AB8" s="2" t="s">
        <v>55</v>
      </c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Q8" s="2" t="s">
        <v>55</v>
      </c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F8" s="2" t="s">
        <v>55</v>
      </c>
      <c r="BG8" s="2"/>
      <c r="BH8" s="2"/>
      <c r="BI8" s="2"/>
      <c r="BJ8" s="2"/>
      <c r="BK8" s="2"/>
      <c r="BL8" s="2"/>
      <c r="BM8" s="2"/>
      <c r="BN8" s="17">
        <v>1</v>
      </c>
      <c r="BO8" s="17"/>
    </row>
    <row r="9" spans="1:67" x14ac:dyDescent="0.2">
      <c r="A9" s="2" t="s">
        <v>52</v>
      </c>
      <c r="B9" s="2"/>
      <c r="C9" s="2"/>
      <c r="D9" s="2"/>
      <c r="E9" s="2"/>
      <c r="F9" s="2"/>
      <c r="G9" s="2"/>
      <c r="H9" s="2"/>
      <c r="I9" s="2"/>
      <c r="J9" s="2"/>
      <c r="M9" s="2" t="s">
        <v>56</v>
      </c>
      <c r="N9" s="2"/>
      <c r="O9" s="2"/>
      <c r="P9" s="2"/>
      <c r="S9" s="2" t="s">
        <v>52</v>
      </c>
      <c r="T9" s="2"/>
      <c r="U9" s="2"/>
      <c r="V9" s="2"/>
      <c r="W9" s="2"/>
      <c r="X9" s="2"/>
      <c r="Y9" s="2"/>
      <c r="AB9" s="2" t="s">
        <v>52</v>
      </c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Q9" s="2" t="s">
        <v>52</v>
      </c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F9" s="2" t="s">
        <v>52</v>
      </c>
      <c r="BG9" s="2"/>
      <c r="BH9" s="2"/>
      <c r="BI9" s="2"/>
      <c r="BJ9" s="2"/>
      <c r="BK9" s="2"/>
      <c r="BL9" s="2"/>
      <c r="BM9" s="16"/>
      <c r="BN9" s="19"/>
      <c r="BO9" s="18"/>
    </row>
    <row r="10" spans="1:67" x14ac:dyDescent="0.2">
      <c r="A10" s="2" t="s">
        <v>56</v>
      </c>
      <c r="B10" s="2"/>
      <c r="C10" s="2"/>
      <c r="D10" s="2"/>
      <c r="E10" s="2"/>
      <c r="F10" s="2"/>
      <c r="G10" s="2"/>
      <c r="H10" s="2"/>
      <c r="I10" s="2"/>
      <c r="J10" s="2"/>
      <c r="M10" s="2" t="s">
        <v>57</v>
      </c>
      <c r="N10" s="2"/>
      <c r="O10" s="2"/>
      <c r="P10" s="2"/>
      <c r="S10" s="2" t="s">
        <v>56</v>
      </c>
      <c r="T10" s="2"/>
      <c r="U10" s="2"/>
      <c r="V10" s="2"/>
      <c r="W10" s="2"/>
      <c r="X10" s="2"/>
      <c r="Y10" s="2"/>
      <c r="AB10" s="2" t="s">
        <v>56</v>
      </c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Q10" s="2" t="s">
        <v>56</v>
      </c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F10" s="2" t="s">
        <v>56</v>
      </c>
      <c r="BG10" s="2"/>
      <c r="BH10" s="2"/>
      <c r="BI10" s="2"/>
      <c r="BJ10" s="2"/>
      <c r="BK10" s="2"/>
      <c r="BL10" s="2"/>
      <c r="BM10" s="16"/>
      <c r="BN10" s="20"/>
    </row>
    <row r="11" spans="1:67" x14ac:dyDescent="0.2">
      <c r="A11" s="2" t="s">
        <v>57</v>
      </c>
      <c r="B11" s="2"/>
      <c r="C11" s="2"/>
      <c r="D11" s="2"/>
      <c r="E11" s="2"/>
      <c r="F11" s="2"/>
      <c r="G11" s="2"/>
      <c r="H11" s="2"/>
      <c r="I11" s="2"/>
      <c r="J11" s="2"/>
      <c r="M11" s="2" t="s">
        <v>58</v>
      </c>
      <c r="N11" s="2"/>
      <c r="O11" s="2"/>
      <c r="P11" s="2"/>
      <c r="S11" s="2" t="s">
        <v>57</v>
      </c>
      <c r="T11" s="2"/>
      <c r="U11" s="2"/>
      <c r="V11" s="2"/>
      <c r="W11" s="2"/>
      <c r="X11" s="2"/>
      <c r="Y11" s="2"/>
      <c r="AB11" s="2" t="s">
        <v>57</v>
      </c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Q11" s="2" t="s">
        <v>57</v>
      </c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F11" s="2" t="s">
        <v>57</v>
      </c>
      <c r="BG11" s="2"/>
      <c r="BH11" s="2"/>
      <c r="BI11" s="2"/>
      <c r="BJ11" s="2"/>
      <c r="BK11" s="2"/>
      <c r="BL11" s="2"/>
      <c r="BM11" s="16"/>
      <c r="BN11" s="20"/>
    </row>
    <row r="12" spans="1:67" x14ac:dyDescent="0.2">
      <c r="A12" s="2" t="s">
        <v>58</v>
      </c>
      <c r="B12" s="2"/>
      <c r="C12" s="2"/>
      <c r="D12" s="2"/>
      <c r="E12" s="2"/>
      <c r="F12" s="2"/>
      <c r="G12" s="2"/>
      <c r="H12" s="2"/>
      <c r="I12" s="2"/>
      <c r="J12" s="2"/>
      <c r="M12" s="2" t="s">
        <v>59</v>
      </c>
      <c r="N12" s="2"/>
      <c r="O12" s="2"/>
      <c r="P12" s="2"/>
      <c r="S12" s="2" t="s">
        <v>58</v>
      </c>
      <c r="T12" s="2"/>
      <c r="U12" s="2"/>
      <c r="V12" s="2"/>
      <c r="W12" s="2"/>
      <c r="X12" s="2"/>
      <c r="Y12" s="2"/>
      <c r="AB12" s="2" t="s">
        <v>58</v>
      </c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Q12" s="2" t="s">
        <v>58</v>
      </c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F12" s="2" t="s">
        <v>58</v>
      </c>
      <c r="BG12" s="2"/>
      <c r="BH12" s="2"/>
      <c r="BI12" s="2"/>
      <c r="BJ12" s="2"/>
      <c r="BK12" s="2"/>
      <c r="BL12" s="2"/>
      <c r="BM12" s="16"/>
      <c r="BN12" s="20"/>
    </row>
    <row r="13" spans="1:67" x14ac:dyDescent="0.2">
      <c r="A13" s="2" t="s">
        <v>59</v>
      </c>
      <c r="B13" s="2"/>
      <c r="C13" s="2"/>
      <c r="D13" s="2"/>
      <c r="E13" s="2"/>
      <c r="F13" s="2"/>
      <c r="G13" s="2"/>
      <c r="H13" s="2"/>
      <c r="I13" s="2"/>
      <c r="J13" s="2"/>
      <c r="S13" s="2" t="s">
        <v>59</v>
      </c>
      <c r="T13" s="2"/>
      <c r="U13" s="2"/>
      <c r="V13" s="2"/>
      <c r="W13" s="2"/>
      <c r="X13" s="2"/>
      <c r="Y13" s="2"/>
      <c r="AB13" s="2" t="s">
        <v>59</v>
      </c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Q13" s="2" t="s">
        <v>59</v>
      </c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F13" s="2" t="s">
        <v>59</v>
      </c>
      <c r="BG13" s="2"/>
      <c r="BH13" s="2"/>
      <c r="BI13" s="2"/>
      <c r="BJ13" s="2"/>
      <c r="BK13" s="2"/>
      <c r="BL13" s="2"/>
      <c r="BM13" s="16"/>
      <c r="BN13" s="20"/>
    </row>
  </sheetData>
  <mergeCells count="33">
    <mergeCell ref="A1:J1"/>
    <mergeCell ref="A2:A4"/>
    <mergeCell ref="B2:J2"/>
    <mergeCell ref="B3:D3"/>
    <mergeCell ref="E3:G3"/>
    <mergeCell ref="H3:J3"/>
    <mergeCell ref="M1:P1"/>
    <mergeCell ref="M2:M3"/>
    <mergeCell ref="N2:P2"/>
    <mergeCell ref="S1:Y1"/>
    <mergeCell ref="S2:S4"/>
    <mergeCell ref="T2:Y2"/>
    <mergeCell ref="T3:U3"/>
    <mergeCell ref="V3:W3"/>
    <mergeCell ref="X3:Y3"/>
    <mergeCell ref="AB1:AN1"/>
    <mergeCell ref="AB2:AB4"/>
    <mergeCell ref="AC2:AN2"/>
    <mergeCell ref="AC3:AF3"/>
    <mergeCell ref="AG3:AJ3"/>
    <mergeCell ref="AK3:AN3"/>
    <mergeCell ref="AQ1:BC1"/>
    <mergeCell ref="AQ2:AQ4"/>
    <mergeCell ref="AR2:BC2"/>
    <mergeCell ref="AR3:AU3"/>
    <mergeCell ref="AV3:AY3"/>
    <mergeCell ref="AZ3:BC3"/>
    <mergeCell ref="BF1:BO1"/>
    <mergeCell ref="BF2:BF4"/>
    <mergeCell ref="BG2:BL2"/>
    <mergeCell ref="BG3:BH3"/>
    <mergeCell ref="BI3:BJ3"/>
    <mergeCell ref="BK3:BL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4B0D82-3563-4D4C-8786-06968C496F37}">
  <dimension ref="A1:U35"/>
  <sheetViews>
    <sheetView topLeftCell="A19" zoomScale="168" workbookViewId="0">
      <selection activeCell="H15" sqref="H15"/>
    </sheetView>
  </sheetViews>
  <sheetFormatPr baseColWidth="10" defaultRowHeight="16" x14ac:dyDescent="0.2"/>
  <cols>
    <col min="1" max="1" width="9" style="51" customWidth="1"/>
    <col min="2" max="2" width="14.1640625" style="51" customWidth="1"/>
    <col min="3" max="7" width="10.83203125" style="51"/>
    <col min="8" max="8" width="11.1640625" style="51" bestFit="1" customWidth="1"/>
    <col min="9" max="9" width="9.5" style="51" customWidth="1"/>
    <col min="10" max="10" width="10.83203125" style="51"/>
    <col min="11" max="11" width="11.5" style="51" customWidth="1"/>
    <col min="12" max="12" width="12.6640625" style="51" customWidth="1"/>
    <col min="13" max="16384" width="10.83203125" style="51"/>
  </cols>
  <sheetData>
    <row r="1" spans="1:21" x14ac:dyDescent="0.2">
      <c r="A1" s="118" t="s">
        <v>62</v>
      </c>
      <c r="B1" s="118" t="s">
        <v>60</v>
      </c>
      <c r="C1" s="118" t="s">
        <v>92</v>
      </c>
      <c r="D1" s="118"/>
      <c r="E1" s="118"/>
      <c r="F1" s="118" t="s">
        <v>94</v>
      </c>
      <c r="G1" s="118" t="s">
        <v>93</v>
      </c>
      <c r="K1" s="51" t="s">
        <v>178</v>
      </c>
      <c r="L1" s="51" t="s">
        <v>176</v>
      </c>
    </row>
    <row r="2" spans="1:21" ht="34" x14ac:dyDescent="0.2">
      <c r="A2" s="118"/>
      <c r="B2" s="118"/>
      <c r="C2" s="52">
        <v>1</v>
      </c>
      <c r="D2" s="52">
        <v>2</v>
      </c>
      <c r="E2" s="52">
        <v>3</v>
      </c>
      <c r="F2" s="118"/>
      <c r="G2" s="118"/>
      <c r="I2" s="187" t="s">
        <v>275</v>
      </c>
      <c r="J2" s="51">
        <f>SQRT(D33/3)</f>
        <v>0.70296362938816137</v>
      </c>
      <c r="K2" s="51">
        <v>5.03</v>
      </c>
      <c r="L2" s="53">
        <f>J2*K2</f>
        <v>3.5359070558224519</v>
      </c>
    </row>
    <row r="3" spans="1:21" x14ac:dyDescent="0.2">
      <c r="A3" s="52">
        <v>1</v>
      </c>
      <c r="B3" s="52" t="s">
        <v>51</v>
      </c>
      <c r="C3" s="54">
        <f>((6.1945+2.0005)-7.4228)/(6.1945+2.0005)*100</f>
        <v>9.422818791946316</v>
      </c>
      <c r="D3" s="54">
        <f>((4.3913+2.0115)-5.6526)/(4.3913+2.0115)*100</f>
        <v>11.716748922346481</v>
      </c>
      <c r="E3" s="54">
        <f>((4.4354+2.0056)-5.7153)/(4.4354+2.0056)*100</f>
        <v>11.266884024219827</v>
      </c>
      <c r="F3" s="54">
        <f>SUM(C3:E3)</f>
        <v>32.406451738512622</v>
      </c>
      <c r="G3" s="55">
        <f>AVERAGE(C3:E3)</f>
        <v>10.802150579504207</v>
      </c>
    </row>
    <row r="4" spans="1:21" x14ac:dyDescent="0.2">
      <c r="A4" s="52">
        <v>2</v>
      </c>
      <c r="B4" s="52" t="s">
        <v>53</v>
      </c>
      <c r="C4" s="54">
        <f>((6.115+2.0159)-7.412)/(6.115+2.0159)*100</f>
        <v>8.8415796529289565</v>
      </c>
      <c r="D4" s="54">
        <f>((6.1488+2.0018)-7.4137)/(6.1488+2.0018)*100</f>
        <v>9.0410521924766112</v>
      </c>
      <c r="E4" s="54">
        <f>((4.3717+2.009)-5.6675)/(4.3717+2.009)*100</f>
        <v>11.177457018822368</v>
      </c>
      <c r="F4" s="54">
        <f t="shared" ref="F4:F11" si="0">SUM(C4:E4)</f>
        <v>29.060088864227936</v>
      </c>
      <c r="G4" s="55">
        <f t="shared" ref="G4:G11" si="1">AVERAGE(C4:E4)</f>
        <v>9.6866962880759786</v>
      </c>
      <c r="I4" s="178"/>
      <c r="J4" s="178"/>
      <c r="K4" s="178"/>
      <c r="L4" s="178"/>
      <c r="M4" s="186"/>
    </row>
    <row r="5" spans="1:21" x14ac:dyDescent="0.2">
      <c r="A5" s="52">
        <v>3</v>
      </c>
      <c r="B5" s="52" t="s">
        <v>54</v>
      </c>
      <c r="C5" s="54">
        <f>((6.1849+2.0078)-7.455)/(6.1849+2.008)*100</f>
        <v>9.0041377290092672</v>
      </c>
      <c r="D5" s="54">
        <f>((4.3965+2.0051)-5.6445)/(4.3965+2.0051)*100</f>
        <v>11.82673081729568</v>
      </c>
      <c r="E5" s="54">
        <f>((4.4227+2.0004)-5.618)/(4.4227+2.0004)*100</f>
        <v>12.534445984026396</v>
      </c>
      <c r="F5" s="54">
        <f t="shared" si="0"/>
        <v>33.365314530331347</v>
      </c>
      <c r="G5" s="55">
        <f t="shared" si="1"/>
        <v>11.121771510110449</v>
      </c>
      <c r="I5" s="185" t="s">
        <v>131</v>
      </c>
      <c r="J5" s="185"/>
      <c r="K5" s="178"/>
      <c r="L5" s="178"/>
      <c r="M5" s="178"/>
      <c r="N5" s="53"/>
      <c r="P5" s="53"/>
      <c r="U5" s="53"/>
    </row>
    <row r="6" spans="1:21" x14ac:dyDescent="0.2">
      <c r="A6" s="52">
        <v>4</v>
      </c>
      <c r="B6" s="52" t="s">
        <v>55</v>
      </c>
      <c r="C6" s="54">
        <f>((6.1717+2.0063)-7.4774)/(6.1717+2.0063)*100</f>
        <v>8.5668867693812718</v>
      </c>
      <c r="D6" s="54">
        <f>((6.1717+2.0066)-7.4661)/(6.1717+2.0066)*100</f>
        <v>8.708411283518581</v>
      </c>
      <c r="E6" s="54">
        <f>((4.4092+2.0163)-5.7186)/(4.4092+2.0163)*100</f>
        <v>11.001478484164657</v>
      </c>
      <c r="F6" s="54">
        <f t="shared" si="0"/>
        <v>28.27677653706451</v>
      </c>
      <c r="G6" s="55">
        <f t="shared" si="1"/>
        <v>9.4255921790215034</v>
      </c>
      <c r="H6" s="53"/>
      <c r="I6" s="185" t="s">
        <v>134</v>
      </c>
      <c r="J6" s="185">
        <f>AVERAGE(C3:E5)</f>
        <v>10.536872792563544</v>
      </c>
      <c r="K6" s="180"/>
      <c r="L6" s="179"/>
      <c r="M6" s="178"/>
      <c r="N6" s="53"/>
      <c r="O6" s="53"/>
      <c r="P6" s="53"/>
      <c r="U6" s="53"/>
    </row>
    <row r="7" spans="1:21" x14ac:dyDescent="0.2">
      <c r="A7" s="52">
        <v>5</v>
      </c>
      <c r="B7" s="52" t="s">
        <v>52</v>
      </c>
      <c r="C7" s="54">
        <f>((6.2597+2.0167)-7.6133)/(6.2597+2.0167)*100</f>
        <v>8.011937557392093</v>
      </c>
      <c r="D7" s="54">
        <f>((4.4457+2.0101)-5.7694)/(4.4457+2.0101)*100</f>
        <v>10.632299637535239</v>
      </c>
      <c r="E7" s="54">
        <f>((6.1689+2.0162)-7.501)/(6.1689+2.0162)*100</f>
        <v>8.3578697877851198</v>
      </c>
      <c r="F7" s="54">
        <f t="shared" si="0"/>
        <v>27.002106982712451</v>
      </c>
      <c r="G7" s="55">
        <f t="shared" si="1"/>
        <v>9.0007023275708171</v>
      </c>
      <c r="H7" s="53"/>
      <c r="I7" s="185" t="s">
        <v>135</v>
      </c>
      <c r="J7" s="185">
        <f>AVERAGE(C6:E8)</f>
        <v>8.8739157992203896</v>
      </c>
      <c r="K7" s="180"/>
      <c r="L7" s="179"/>
      <c r="M7" s="178"/>
      <c r="N7" s="53"/>
      <c r="O7" s="53"/>
      <c r="U7" s="53"/>
    </row>
    <row r="8" spans="1:21" x14ac:dyDescent="0.2">
      <c r="A8" s="52">
        <v>6</v>
      </c>
      <c r="B8" s="52" t="s">
        <v>56</v>
      </c>
      <c r="C8" s="54">
        <f>((6.2338+2.0071)-7.6009)/(6.2338+2.0071)*100</f>
        <v>7.7661420475918854</v>
      </c>
      <c r="D8" s="54">
        <f>((4.441+2.0056)-5.8441)/(4.441+2.0056)*100</f>
        <v>9.3460118512083898</v>
      </c>
      <c r="E8" s="54">
        <f>((6.1835+2.006)-7.5774)/(6.1835+2.006)*100</f>
        <v>7.4742047744062612</v>
      </c>
      <c r="F8" s="54">
        <f t="shared" si="0"/>
        <v>24.586358673206536</v>
      </c>
      <c r="G8" s="55">
        <f t="shared" si="1"/>
        <v>8.1954528910688449</v>
      </c>
      <c r="H8" s="53"/>
      <c r="I8" s="185" t="s">
        <v>136</v>
      </c>
      <c r="J8" s="185">
        <f>AVERAGE(C9:E11)</f>
        <v>7.2400510011879522</v>
      </c>
      <c r="K8" s="180"/>
      <c r="L8" s="179"/>
      <c r="M8" s="178"/>
      <c r="N8" s="53"/>
      <c r="O8" s="53"/>
      <c r="U8" s="53"/>
    </row>
    <row r="9" spans="1:21" x14ac:dyDescent="0.2">
      <c r="A9" s="52">
        <v>7</v>
      </c>
      <c r="B9" s="52" t="s">
        <v>57</v>
      </c>
      <c r="C9" s="54">
        <f>((6.222+2.0078)-7.5507)/(6.221+2.0078)*100</f>
        <v>8.2527221466070504</v>
      </c>
      <c r="D9" s="54">
        <f>((6.117+2.006)-7.4945)/(6.1157+2.006)*100</f>
        <v>7.7385276481524672</v>
      </c>
      <c r="E9" s="54">
        <f>((6.2234+2.0062)-7.7116)/(6.2234+2.0062)*100</f>
        <v>6.2943520948770271</v>
      </c>
      <c r="F9" s="54">
        <f t="shared" si="0"/>
        <v>22.285601889636546</v>
      </c>
      <c r="G9" s="55">
        <f t="shared" si="1"/>
        <v>7.4285339632121818</v>
      </c>
      <c r="H9" s="53"/>
      <c r="I9" s="178"/>
      <c r="J9" s="178"/>
      <c r="K9" s="180"/>
      <c r="L9" s="179"/>
      <c r="M9" s="178"/>
      <c r="N9" s="53"/>
      <c r="O9" s="53"/>
      <c r="P9" s="53"/>
    </row>
    <row r="10" spans="1:21" x14ac:dyDescent="0.2">
      <c r="A10" s="52">
        <v>8</v>
      </c>
      <c r="B10" s="52" t="s">
        <v>58</v>
      </c>
      <c r="C10" s="54">
        <f>((4.3778+2.0019)-5.834)/(4.3778+2.0019)*100</f>
        <v>8.5536937473548935</v>
      </c>
      <c r="D10" s="54">
        <f>((6.184+2.0053)-7.5847)/(6.184+2.0053)*100</f>
        <v>7.3828043910956929</v>
      </c>
      <c r="E10" s="54">
        <f>((6.1152+2.0033)-7.6119)/(6.1152+2.0033)*100</f>
        <v>6.2400689782595169</v>
      </c>
      <c r="F10" s="54">
        <f t="shared" si="0"/>
        <v>22.176567116710103</v>
      </c>
      <c r="G10" s="55">
        <f t="shared" si="1"/>
        <v>7.3921890389033678</v>
      </c>
      <c r="H10" s="53"/>
      <c r="I10" s="185" t="s">
        <v>131</v>
      </c>
      <c r="J10" s="185" t="s">
        <v>219</v>
      </c>
      <c r="K10" s="192" t="s">
        <v>276</v>
      </c>
      <c r="L10" s="185" t="s">
        <v>148</v>
      </c>
      <c r="M10" s="178"/>
      <c r="N10" s="53"/>
    </row>
    <row r="11" spans="1:21" x14ac:dyDescent="0.2">
      <c r="A11" s="52">
        <v>9</v>
      </c>
      <c r="B11" s="52" t="s">
        <v>59</v>
      </c>
      <c r="C11" s="54">
        <f>((6.1138+2.0074)-7.5878)/(6.1138+2.0074)*100</f>
        <v>6.5679948776042991</v>
      </c>
      <c r="D11" s="54">
        <f>((6.1666+2.0048)-7.6014)/(6.1666+2.0048)*100</f>
        <v>6.9755488655554769</v>
      </c>
      <c r="E11" s="54">
        <f>((5.9818+2.0087)-7.4188)/(5.9818+2.0087)*100</f>
        <v>7.1547462611851564</v>
      </c>
      <c r="F11" s="54">
        <f t="shared" si="0"/>
        <v>20.698290004344933</v>
      </c>
      <c r="G11" s="55">
        <f t="shared" si="1"/>
        <v>6.8994300014483114</v>
      </c>
      <c r="H11" s="53"/>
      <c r="I11" s="185" t="s">
        <v>136</v>
      </c>
      <c r="J11" s="185">
        <v>7.2400510011879522</v>
      </c>
      <c r="K11" s="193">
        <f>J11+L2</f>
        <v>10.775958057010405</v>
      </c>
      <c r="L11" s="185" t="s">
        <v>151</v>
      </c>
      <c r="M11" s="178"/>
      <c r="N11" s="53"/>
    </row>
    <row r="12" spans="1:21" x14ac:dyDescent="0.2">
      <c r="A12" s="118" t="s">
        <v>50</v>
      </c>
      <c r="B12" s="118"/>
      <c r="C12" s="54">
        <f>SUM(C3:C11)</f>
        <v>74.987913319816045</v>
      </c>
      <c r="D12" s="54">
        <f t="shared" ref="D12:E12" si="2">SUM(D3:D11)</f>
        <v>83.36813560918462</v>
      </c>
      <c r="E12" s="54">
        <f t="shared" si="2"/>
        <v>81.501507407746331</v>
      </c>
      <c r="F12" s="54">
        <f>SUM(F3:F11)</f>
        <v>239.857556336747</v>
      </c>
      <c r="G12" s="54"/>
      <c r="H12" s="53"/>
      <c r="I12" s="185" t="s">
        <v>135</v>
      </c>
      <c r="J12" s="185">
        <v>8.8739157992203896</v>
      </c>
      <c r="K12" s="192"/>
      <c r="L12" s="185" t="s">
        <v>151</v>
      </c>
      <c r="M12" s="178"/>
    </row>
    <row r="13" spans="1:21" x14ac:dyDescent="0.2">
      <c r="A13" s="118" t="s">
        <v>93</v>
      </c>
      <c r="B13" s="118"/>
      <c r="C13" s="54">
        <f>SUM(C3:C12)/9</f>
        <v>16.6639807377369</v>
      </c>
      <c r="D13" s="54">
        <f t="shared" ref="D13:E13" si="3">SUM(D3:D12)/9</f>
        <v>18.526252357596583</v>
      </c>
      <c r="E13" s="54">
        <f t="shared" si="3"/>
        <v>18.111446090610297</v>
      </c>
      <c r="F13" s="54">
        <f>SUM(C12:E12)</f>
        <v>239.857556336747</v>
      </c>
      <c r="G13" s="54"/>
      <c r="H13" s="53"/>
      <c r="I13" s="185" t="s">
        <v>134</v>
      </c>
      <c r="J13" s="185">
        <v>10.536872792563544</v>
      </c>
      <c r="K13" s="193"/>
      <c r="L13" s="185" t="s">
        <v>151</v>
      </c>
      <c r="M13" s="178"/>
    </row>
    <row r="14" spans="1:21" x14ac:dyDescent="0.2">
      <c r="H14" s="53"/>
      <c r="I14" s="178"/>
      <c r="J14" s="178"/>
      <c r="K14" s="180"/>
      <c r="L14" s="178"/>
      <c r="M14" s="178"/>
      <c r="N14" s="175"/>
      <c r="O14" s="175"/>
      <c r="P14" s="175"/>
      <c r="Q14" s="175"/>
      <c r="R14" s="175"/>
      <c r="S14" s="176"/>
    </row>
    <row r="15" spans="1:21" x14ac:dyDescent="0.2">
      <c r="A15" s="51" t="s">
        <v>132</v>
      </c>
      <c r="B15" s="51">
        <f>F12^2/27</f>
        <v>2130.8017530309539</v>
      </c>
      <c r="L15" s="175"/>
      <c r="M15" s="175"/>
      <c r="N15" s="175"/>
      <c r="O15" s="175"/>
      <c r="P15" s="175"/>
      <c r="Q15" s="175"/>
      <c r="R15" s="175"/>
      <c r="S15" s="176"/>
      <c r="T15" s="53"/>
    </row>
    <row r="16" spans="1:21" x14ac:dyDescent="0.2">
      <c r="L16" s="175"/>
      <c r="M16" s="175"/>
      <c r="N16" s="175"/>
      <c r="O16" s="175"/>
      <c r="P16" s="175"/>
      <c r="Q16" s="175"/>
      <c r="R16" s="175"/>
      <c r="S16" s="176"/>
      <c r="T16" s="53"/>
    </row>
    <row r="17" spans="1:20" x14ac:dyDescent="0.2">
      <c r="A17" s="119" t="s">
        <v>133</v>
      </c>
      <c r="B17" s="119"/>
      <c r="C17" s="119"/>
      <c r="D17" s="119"/>
      <c r="E17" s="119"/>
      <c r="F17" s="119"/>
      <c r="G17" s="119"/>
      <c r="L17" s="191"/>
      <c r="M17" s="189"/>
      <c r="N17" s="189"/>
      <c r="O17" s="189"/>
      <c r="P17" s="189"/>
      <c r="Q17" s="175"/>
      <c r="R17" s="175"/>
      <c r="S17" s="176"/>
      <c r="T17" s="53"/>
    </row>
    <row r="18" spans="1:20" x14ac:dyDescent="0.2">
      <c r="A18" s="54"/>
      <c r="B18" s="54"/>
      <c r="C18" s="54" t="s">
        <v>137</v>
      </c>
      <c r="D18" s="54" t="s">
        <v>138</v>
      </c>
      <c r="E18" s="54" t="s">
        <v>139</v>
      </c>
      <c r="F18" s="54" t="s">
        <v>19</v>
      </c>
      <c r="G18" s="54" t="s">
        <v>93</v>
      </c>
      <c r="L18" s="191"/>
      <c r="M18" s="177"/>
      <c r="N18" s="175"/>
      <c r="O18" s="175"/>
      <c r="P18" s="189"/>
      <c r="Q18" s="175"/>
      <c r="R18" s="175"/>
      <c r="S18" s="176"/>
      <c r="T18" s="53"/>
    </row>
    <row r="19" spans="1:20" x14ac:dyDescent="0.2">
      <c r="A19" s="54"/>
      <c r="B19" s="54" t="s">
        <v>134</v>
      </c>
      <c r="C19" s="54">
        <f>F3</f>
        <v>32.406451738512622</v>
      </c>
      <c r="D19" s="54">
        <f>F4</f>
        <v>29.060088864227936</v>
      </c>
      <c r="E19" s="54">
        <f>F5</f>
        <v>33.365314530331347</v>
      </c>
      <c r="F19" s="54">
        <f>SUM(C19:E19)</f>
        <v>94.831855133071912</v>
      </c>
      <c r="G19" s="54">
        <f>F19/9</f>
        <v>10.536872792563546</v>
      </c>
      <c r="L19" s="175"/>
      <c r="M19" s="175"/>
      <c r="N19" s="175"/>
      <c r="O19" s="175"/>
      <c r="P19" s="190"/>
      <c r="Q19" s="175"/>
      <c r="R19" s="175"/>
      <c r="S19" s="176"/>
      <c r="T19" s="53"/>
    </row>
    <row r="20" spans="1:20" x14ac:dyDescent="0.2">
      <c r="A20" s="54"/>
      <c r="B20" s="54" t="s">
        <v>135</v>
      </c>
      <c r="C20" s="54">
        <f>F6</f>
        <v>28.27677653706451</v>
      </c>
      <c r="D20" s="54">
        <f>F7</f>
        <v>27.002106982712451</v>
      </c>
      <c r="E20" s="54">
        <f>F8</f>
        <v>24.586358673206536</v>
      </c>
      <c r="F20" s="54">
        <f t="shared" ref="F20:F21" si="4">SUM(C20:E20)</f>
        <v>79.865242192983501</v>
      </c>
      <c r="G20" s="54">
        <f t="shared" ref="G20:G21" si="5">F20/9</f>
        <v>8.8739157992203896</v>
      </c>
      <c r="L20" s="175"/>
      <c r="M20" s="175"/>
      <c r="N20" s="175"/>
      <c r="O20" s="175"/>
      <c r="P20" s="190"/>
      <c r="Q20" s="175"/>
      <c r="R20" s="175"/>
      <c r="S20" s="176"/>
      <c r="T20" s="53"/>
    </row>
    <row r="21" spans="1:20" x14ac:dyDescent="0.2">
      <c r="A21" s="54"/>
      <c r="B21" s="54" t="s">
        <v>136</v>
      </c>
      <c r="C21" s="54">
        <f>F9</f>
        <v>22.285601889636546</v>
      </c>
      <c r="D21" s="54">
        <f>F10</f>
        <v>22.176567116710103</v>
      </c>
      <c r="E21" s="54">
        <f>F11</f>
        <v>20.698290004344933</v>
      </c>
      <c r="F21" s="54">
        <f t="shared" si="4"/>
        <v>65.160459010691582</v>
      </c>
      <c r="G21" s="54">
        <f t="shared" si="5"/>
        <v>7.240051001187954</v>
      </c>
      <c r="L21" s="175"/>
      <c r="M21" s="175"/>
      <c r="N21" s="175"/>
      <c r="O21" s="175"/>
      <c r="P21" s="190"/>
      <c r="Q21" s="175"/>
      <c r="R21" s="175"/>
      <c r="S21" s="176"/>
      <c r="T21" s="53"/>
    </row>
    <row r="22" spans="1:20" x14ac:dyDescent="0.2">
      <c r="A22" s="54"/>
      <c r="B22" s="54" t="s">
        <v>50</v>
      </c>
      <c r="C22" s="54">
        <f>SUM(C19:C21)</f>
        <v>82.968830165213689</v>
      </c>
      <c r="D22" s="54">
        <f t="shared" ref="D22:E22" si="6">SUM(D19:D21)</f>
        <v>78.238762963650487</v>
      </c>
      <c r="E22" s="54">
        <f t="shared" si="6"/>
        <v>78.64996320788282</v>
      </c>
      <c r="F22" s="54"/>
      <c r="G22" s="54"/>
      <c r="L22" s="175"/>
      <c r="M22" s="175"/>
      <c r="N22" s="175"/>
      <c r="O22" s="175"/>
      <c r="P22" s="190"/>
      <c r="Q22" s="175"/>
      <c r="R22" s="175"/>
      <c r="S22" s="176"/>
      <c r="T22" s="53"/>
    </row>
    <row r="23" spans="1:20" x14ac:dyDescent="0.2">
      <c r="A23" s="54"/>
      <c r="B23" s="54" t="s">
        <v>93</v>
      </c>
      <c r="C23" s="54">
        <f>C22/9</f>
        <v>9.2187589072459648</v>
      </c>
      <c r="D23" s="54">
        <f t="shared" ref="D23:E23" si="7">D22/9</f>
        <v>8.6931958848500539</v>
      </c>
      <c r="E23" s="54">
        <f t="shared" si="7"/>
        <v>8.7388848008758693</v>
      </c>
      <c r="F23" s="54"/>
      <c r="G23" s="54"/>
      <c r="L23" s="175"/>
      <c r="M23" s="175"/>
      <c r="N23" s="175"/>
      <c r="O23" s="175"/>
      <c r="P23" s="190"/>
      <c r="Q23" s="175"/>
      <c r="R23" s="175"/>
      <c r="S23" s="176"/>
      <c r="T23" s="53"/>
    </row>
    <row r="24" spans="1:20" x14ac:dyDescent="0.2">
      <c r="L24" s="175"/>
      <c r="M24" s="175"/>
      <c r="N24" s="175"/>
      <c r="O24" s="175"/>
      <c r="P24" s="190"/>
      <c r="Q24" s="175"/>
      <c r="R24" s="175"/>
      <c r="S24" s="175"/>
    </row>
    <row r="25" spans="1:20" x14ac:dyDescent="0.2">
      <c r="A25" s="119" t="s">
        <v>140</v>
      </c>
      <c r="B25" s="119"/>
      <c r="C25" s="119"/>
      <c r="D25" s="119"/>
      <c r="E25" s="119"/>
      <c r="F25" s="119"/>
      <c r="G25" s="119"/>
      <c r="H25" s="119"/>
      <c r="L25" s="175"/>
      <c r="M25" s="175"/>
      <c r="N25" s="175"/>
      <c r="O25" s="175"/>
      <c r="P25" s="190"/>
      <c r="Q25" s="175"/>
      <c r="R25" s="175"/>
      <c r="S25" s="175"/>
    </row>
    <row r="26" spans="1:20" x14ac:dyDescent="0.2">
      <c r="A26" s="120" t="s">
        <v>141</v>
      </c>
      <c r="B26" s="121" t="s">
        <v>144</v>
      </c>
      <c r="C26" s="121" t="s">
        <v>145</v>
      </c>
      <c r="D26" s="121" t="s">
        <v>146</v>
      </c>
      <c r="E26" s="121" t="s">
        <v>147</v>
      </c>
      <c r="F26" s="121" t="s">
        <v>188</v>
      </c>
      <c r="G26" s="121"/>
      <c r="H26" s="121" t="s">
        <v>171</v>
      </c>
      <c r="L26" s="175"/>
      <c r="M26" s="175"/>
      <c r="N26" s="175"/>
      <c r="O26" s="175"/>
      <c r="P26" s="190"/>
      <c r="Q26" s="175"/>
      <c r="R26" s="175"/>
      <c r="S26" s="175"/>
    </row>
    <row r="27" spans="1:20" x14ac:dyDescent="0.2">
      <c r="A27" s="120"/>
      <c r="B27" s="121"/>
      <c r="C27" s="121"/>
      <c r="D27" s="121"/>
      <c r="E27" s="121"/>
      <c r="F27" s="59">
        <v>0.05</v>
      </c>
      <c r="G27" s="54">
        <v>0.01</v>
      </c>
      <c r="H27" s="121"/>
      <c r="L27" s="175"/>
      <c r="M27" s="175"/>
      <c r="N27" s="175"/>
      <c r="O27" s="175"/>
      <c r="P27" s="190"/>
      <c r="Q27" s="175"/>
      <c r="R27" s="175"/>
      <c r="S27" s="175"/>
    </row>
    <row r="28" spans="1:20" x14ac:dyDescent="0.2">
      <c r="A28" s="54" t="s">
        <v>142</v>
      </c>
      <c r="B28" s="57">
        <f>3-1</f>
        <v>2</v>
      </c>
      <c r="C28" s="54">
        <f>SUMSQ(C12:E12)/9-B15</f>
        <v>4.3014568297762708</v>
      </c>
      <c r="D28" s="54">
        <f>C28/B28</f>
        <v>2.1507284148881354</v>
      </c>
      <c r="E28" s="54">
        <f>D28/$D$33</f>
        <v>1.4507701354267146</v>
      </c>
      <c r="F28" s="59">
        <f>FINV($F$27,B28,$B$33)</f>
        <v>3.6337234675916301</v>
      </c>
      <c r="G28" s="54">
        <f>FINV($G$27,B28,$B$33)</f>
        <v>6.2262352803113821</v>
      </c>
      <c r="H28" s="54" t="s">
        <v>172</v>
      </c>
      <c r="L28" s="175"/>
      <c r="M28" s="176"/>
      <c r="N28" s="176"/>
      <c r="O28" s="176"/>
      <c r="P28" s="175"/>
      <c r="Q28" s="175"/>
      <c r="R28" s="175"/>
      <c r="S28" s="175"/>
    </row>
    <row r="29" spans="1:20" x14ac:dyDescent="0.2">
      <c r="A29" s="54" t="s">
        <v>131</v>
      </c>
      <c r="B29" s="57">
        <f>3*3-1</f>
        <v>8</v>
      </c>
      <c r="C29" s="54">
        <f>SUMSQ(F3:F11)/3-B15</f>
        <v>55.184043034074421</v>
      </c>
      <c r="D29" s="54">
        <f>C29/B29</f>
        <v>6.8980053792593026</v>
      </c>
      <c r="E29" s="54">
        <f t="shared" ref="E29:E32" si="8">D29/$D$33</f>
        <v>4.6530376076157136</v>
      </c>
      <c r="F29" s="59">
        <f t="shared" ref="F29:F32" si="9">FINV($F$27,B29,$B$33)</f>
        <v>2.5910961798744014</v>
      </c>
      <c r="G29" s="54">
        <f t="shared" ref="G29:G32" si="10">FINV($G$27,B29,$B$33)</f>
        <v>3.8895721399261927</v>
      </c>
      <c r="H29" s="54" t="s">
        <v>173</v>
      </c>
      <c r="I29" s="51" t="s">
        <v>273</v>
      </c>
      <c r="K29" s="53"/>
      <c r="M29" s="53"/>
    </row>
    <row r="30" spans="1:20" x14ac:dyDescent="0.2">
      <c r="A30" s="54" t="s">
        <v>120</v>
      </c>
      <c r="B30" s="57">
        <f>3-1</f>
        <v>2</v>
      </c>
      <c r="C30" s="54">
        <f>SUMSQ(F19:F21)/9-B15</f>
        <v>48.911922192142356</v>
      </c>
      <c r="D30" s="54">
        <f>C30/B30</f>
        <v>24.455961096071178</v>
      </c>
      <c r="E30" s="54">
        <f t="shared" si="8"/>
        <v>16.49672629316289</v>
      </c>
      <c r="F30" s="59">
        <f t="shared" si="9"/>
        <v>3.6337234675916301</v>
      </c>
      <c r="G30" s="54">
        <f t="shared" si="10"/>
        <v>6.2262352803113821</v>
      </c>
      <c r="H30" s="54" t="s">
        <v>173</v>
      </c>
      <c r="K30" s="53"/>
    </row>
    <row r="31" spans="1:20" x14ac:dyDescent="0.2">
      <c r="A31" s="54" t="s">
        <v>150</v>
      </c>
      <c r="B31" s="57">
        <f>3-1</f>
        <v>2</v>
      </c>
      <c r="C31" s="54">
        <f>SUMSQ(C22:E22)/9-B15</f>
        <v>1.525749376566182</v>
      </c>
      <c r="D31" s="54">
        <f>C31/B31</f>
        <v>0.76287468828309102</v>
      </c>
      <c r="E31" s="54">
        <f t="shared" si="8"/>
        <v>0.51459580260004034</v>
      </c>
      <c r="F31" s="59">
        <f t="shared" si="9"/>
        <v>3.6337234675916301</v>
      </c>
      <c r="G31" s="54">
        <f t="shared" si="10"/>
        <v>6.2262352803113821</v>
      </c>
      <c r="H31" s="54" t="s">
        <v>172</v>
      </c>
      <c r="K31" s="53"/>
    </row>
    <row r="32" spans="1:20" x14ac:dyDescent="0.2">
      <c r="A32" s="54" t="s">
        <v>154</v>
      </c>
      <c r="B32" s="57">
        <f>(3-1)*(3-1)</f>
        <v>4</v>
      </c>
      <c r="C32" s="54">
        <f>C29-C30-C31</f>
        <v>4.7463714653658826</v>
      </c>
      <c r="D32" s="54">
        <f t="shared" ref="D32:D33" si="11">C32/B32</f>
        <v>1.1865928663414707</v>
      </c>
      <c r="E32" s="54">
        <f t="shared" si="8"/>
        <v>0.80041416734996129</v>
      </c>
      <c r="F32" s="59">
        <f t="shared" si="9"/>
        <v>3.0069172799243447</v>
      </c>
      <c r="G32" s="54">
        <f t="shared" si="10"/>
        <v>4.772577999723211</v>
      </c>
      <c r="H32" s="54" t="s">
        <v>172</v>
      </c>
      <c r="K32" s="53"/>
    </row>
    <row r="33" spans="1:13" x14ac:dyDescent="0.2">
      <c r="A33" s="54" t="s">
        <v>143</v>
      </c>
      <c r="B33" s="57">
        <f>B34-B28-B29</f>
        <v>16</v>
      </c>
      <c r="C33" s="54">
        <f>C34-C28-C29</f>
        <v>23.719577483643661</v>
      </c>
      <c r="D33" s="54">
        <f t="shared" si="11"/>
        <v>1.4824735927277288</v>
      </c>
      <c r="E33" s="54"/>
      <c r="F33" s="54"/>
      <c r="G33" s="54"/>
      <c r="H33" s="54"/>
      <c r="K33" s="53"/>
      <c r="M33" s="53"/>
    </row>
    <row r="34" spans="1:13" x14ac:dyDescent="0.2">
      <c r="A34" s="54" t="s">
        <v>19</v>
      </c>
      <c r="B34" s="57">
        <f>27-1</f>
        <v>26</v>
      </c>
      <c r="C34" s="54">
        <f>SUMSQ(C3:E11)-B15</f>
        <v>83.205077347494353</v>
      </c>
      <c r="D34" s="54"/>
      <c r="E34" s="54"/>
      <c r="F34" s="54"/>
      <c r="G34" s="54"/>
      <c r="H34" s="54"/>
      <c r="K34" s="53"/>
    </row>
    <row r="35" spans="1:13" x14ac:dyDescent="0.2">
      <c r="K35" s="53"/>
    </row>
  </sheetData>
  <sortState xmlns:xlrd2="http://schemas.microsoft.com/office/spreadsheetml/2017/richdata2" ref="I11:J13">
    <sortCondition ref="J13"/>
  </sortState>
  <mergeCells count="16">
    <mergeCell ref="A25:H25"/>
    <mergeCell ref="A26:A27"/>
    <mergeCell ref="B26:B27"/>
    <mergeCell ref="C26:C27"/>
    <mergeCell ref="D26:D27"/>
    <mergeCell ref="E26:E27"/>
    <mergeCell ref="F26:G26"/>
    <mergeCell ref="H26:H27"/>
    <mergeCell ref="G1:G2"/>
    <mergeCell ref="A13:B13"/>
    <mergeCell ref="A17:G17"/>
    <mergeCell ref="A12:B12"/>
    <mergeCell ref="A1:A2"/>
    <mergeCell ref="B1:B2"/>
    <mergeCell ref="C1:E1"/>
    <mergeCell ref="F1:F2"/>
  </mergeCells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C89D8-959F-734E-94A3-1C84057AC5CA}">
  <dimension ref="A1:R38"/>
  <sheetViews>
    <sheetView tabSelected="1" topLeftCell="C16" zoomScale="157" workbookViewId="0">
      <selection activeCell="K28" sqref="K28"/>
    </sheetView>
  </sheetViews>
  <sheetFormatPr baseColWidth="10" defaultRowHeight="16" x14ac:dyDescent="0.2"/>
  <cols>
    <col min="1" max="1" width="9.33203125" style="51" customWidth="1"/>
    <col min="2" max="2" width="13.33203125" style="51" customWidth="1"/>
    <col min="3" max="10" width="10.83203125" style="51"/>
    <col min="11" max="11" width="12.6640625" style="51" customWidth="1"/>
    <col min="12" max="12" width="14.33203125" style="51" customWidth="1"/>
    <col min="13" max="16384" width="10.83203125" style="51"/>
  </cols>
  <sheetData>
    <row r="1" spans="1:18" x14ac:dyDescent="0.2">
      <c r="A1" s="122" t="s">
        <v>62</v>
      </c>
      <c r="B1" s="122" t="s">
        <v>60</v>
      </c>
      <c r="C1" s="122" t="s">
        <v>92</v>
      </c>
      <c r="D1" s="122"/>
      <c r="E1" s="122"/>
      <c r="F1" s="122" t="s">
        <v>94</v>
      </c>
      <c r="G1" s="122" t="s">
        <v>93</v>
      </c>
      <c r="K1" s="61" t="s">
        <v>178</v>
      </c>
      <c r="L1" s="61" t="s">
        <v>176</v>
      </c>
    </row>
    <row r="2" spans="1:18" x14ac:dyDescent="0.2">
      <c r="A2" s="122"/>
      <c r="B2" s="122"/>
      <c r="C2" s="62">
        <v>1</v>
      </c>
      <c r="D2" s="62">
        <v>2</v>
      </c>
      <c r="E2" s="62">
        <v>3</v>
      </c>
      <c r="F2" s="122"/>
      <c r="G2" s="122"/>
      <c r="I2" s="61" t="s">
        <v>174</v>
      </c>
      <c r="J2" s="51">
        <f>SQRT(D33/3)</f>
        <v>2.1700013604976115E-2</v>
      </c>
      <c r="K2" s="51">
        <v>5.03</v>
      </c>
      <c r="L2" s="53">
        <f>J2*K2</f>
        <v>0.10915106843302987</v>
      </c>
    </row>
    <row r="3" spans="1:18" x14ac:dyDescent="0.2">
      <c r="A3" s="62">
        <v>1</v>
      </c>
      <c r="B3" s="62" t="s">
        <v>51</v>
      </c>
      <c r="C3" s="54">
        <f>((14.256-14.2541)/1.0019)*100</f>
        <v>0.18963968459935135</v>
      </c>
      <c r="D3" s="54">
        <f>((15.7406-15.738)/1.0067)*100</f>
        <v>0.25826959372216607</v>
      </c>
      <c r="E3" s="54">
        <f>((11.8362-11.833)/1.009)*100</f>
        <v>0.317145688800758</v>
      </c>
      <c r="F3" s="54">
        <f>SUM(C3:E3)</f>
        <v>0.76505496712227539</v>
      </c>
      <c r="G3" s="55">
        <f>AVERAGE(C3:E3)</f>
        <v>0.25501832237409178</v>
      </c>
    </row>
    <row r="4" spans="1:18" x14ac:dyDescent="0.2">
      <c r="A4" s="62">
        <v>2</v>
      </c>
      <c r="B4" s="62" t="s">
        <v>53</v>
      </c>
      <c r="C4" s="54">
        <f>((12.0229-12.02)/1.0061)*100</f>
        <v>0.28824172547463939</v>
      </c>
      <c r="D4" s="54">
        <f>((11.7764-11.7738)/1.0096)*100</f>
        <v>0.25752773375604654</v>
      </c>
      <c r="E4" s="54">
        <f>((11.7772-11.7745)/1.0062)*100</f>
        <v>0.2683363148480235</v>
      </c>
      <c r="F4" s="54">
        <f>SUM(C4:E4)</f>
        <v>0.81410577407870943</v>
      </c>
      <c r="G4" s="55">
        <f>AVERAGE(C4:E4)</f>
        <v>0.27136859135956981</v>
      </c>
      <c r="I4" s="175"/>
      <c r="J4" s="175"/>
      <c r="K4" s="175"/>
      <c r="M4" s="56"/>
    </row>
    <row r="5" spans="1:18" x14ac:dyDescent="0.2">
      <c r="A5" s="62">
        <v>3</v>
      </c>
      <c r="B5" s="62" t="s">
        <v>54</v>
      </c>
      <c r="C5" s="54">
        <f>((10.8262-10.8235)/1.0022)*100</f>
        <v>0.26940730393143214</v>
      </c>
      <c r="D5" s="54">
        <f>((13.1829-13.1802)/1.0047)*100</f>
        <v>0.26873693639900598</v>
      </c>
      <c r="E5" s="54">
        <f>((11.7772-11.7744)/1.0062)*100</f>
        <v>0.27827469687940565</v>
      </c>
      <c r="F5" s="54">
        <f t="shared" ref="F5" si="0">SUM(C5:E5)</f>
        <v>0.81641893720984382</v>
      </c>
      <c r="G5" s="55">
        <f t="shared" ref="G5:G11" si="1">AVERAGE(C5:E5)</f>
        <v>0.27213964573661459</v>
      </c>
      <c r="I5" s="178"/>
      <c r="J5" s="178"/>
      <c r="K5" s="178"/>
      <c r="L5" s="178"/>
      <c r="M5" s="178"/>
      <c r="N5" s="194"/>
      <c r="O5" s="183"/>
      <c r="P5" s="183"/>
      <c r="Q5" s="183"/>
      <c r="R5" s="178"/>
    </row>
    <row r="6" spans="1:18" x14ac:dyDescent="0.2">
      <c r="A6" s="62">
        <v>4</v>
      </c>
      <c r="B6" s="62" t="s">
        <v>55</v>
      </c>
      <c r="C6" s="54">
        <f>((11.4974-11.495)/1.0075)*100</f>
        <v>0.23821339950387213</v>
      </c>
      <c r="D6" s="54">
        <f>((13.1834-13.18)/1.0075)*100</f>
        <v>0.33746898263036801</v>
      </c>
      <c r="E6" s="54">
        <f>((11.1392-11.136)/1.0084)*100</f>
        <v>0.31733439111477824</v>
      </c>
      <c r="F6" s="54">
        <f>SUM(C6:E6)</f>
        <v>0.8930167732490184</v>
      </c>
      <c r="G6" s="55">
        <f t="shared" si="1"/>
        <v>0.29767225774967282</v>
      </c>
      <c r="I6" s="178"/>
      <c r="J6" s="179"/>
      <c r="K6" s="188"/>
      <c r="L6" s="179"/>
      <c r="M6" s="178"/>
      <c r="N6" s="194"/>
      <c r="O6" s="180"/>
      <c r="P6" s="178"/>
      <c r="Q6" s="178"/>
      <c r="R6" s="178"/>
    </row>
    <row r="7" spans="1:18" x14ac:dyDescent="0.2">
      <c r="A7" s="62">
        <v>5</v>
      </c>
      <c r="B7" s="62" t="s">
        <v>52</v>
      </c>
      <c r="C7" s="54">
        <f>((10.8248-10.8221)/1.0036)*100</f>
        <v>0.26903148664797094</v>
      </c>
      <c r="D7" s="54">
        <f>((14.2566-14.2533)/1.002)*100</f>
        <v>0.3293413173653883</v>
      </c>
      <c r="E7" s="54">
        <f>((10.5438-10.5406)/1.0055)*100</f>
        <v>0.31824962705118326</v>
      </c>
      <c r="F7" s="54">
        <f>SUM(C7:E7)</f>
        <v>0.91662243106454255</v>
      </c>
      <c r="G7" s="55">
        <f t="shared" si="1"/>
        <v>0.30554081035484754</v>
      </c>
      <c r="I7" s="178"/>
      <c r="J7" s="179"/>
      <c r="K7" s="188"/>
      <c r="L7" s="179"/>
      <c r="M7" s="178"/>
      <c r="N7" s="178"/>
      <c r="O7" s="178"/>
      <c r="P7" s="178"/>
      <c r="Q7" s="178"/>
      <c r="R7" s="178"/>
    </row>
    <row r="8" spans="1:18" x14ac:dyDescent="0.2">
      <c r="A8" s="62">
        <v>6</v>
      </c>
      <c r="B8" s="62" t="s">
        <v>56</v>
      </c>
      <c r="C8" s="54">
        <f>((11.836-11.8329)/1.0085)*100</f>
        <v>0.30738720872581859</v>
      </c>
      <c r="D8" s="54">
        <f>((15.7402-15.7368)/1.0099)*100</f>
        <v>0.33666699673226869</v>
      </c>
      <c r="E8" s="54">
        <f>((16.4292-16.4259)/1.0064)*100</f>
        <v>0.32790143084290219</v>
      </c>
      <c r="F8" s="54">
        <f>SUM(C8:E8)</f>
        <v>0.97195563630098958</v>
      </c>
      <c r="G8" s="55">
        <f t="shared" si="1"/>
        <v>0.32398521210032988</v>
      </c>
      <c r="I8" s="178"/>
      <c r="J8" s="179"/>
      <c r="K8" s="188"/>
      <c r="L8" s="178"/>
      <c r="M8" s="178"/>
      <c r="N8" s="178"/>
      <c r="O8" s="178"/>
      <c r="P8" s="178"/>
      <c r="Q8" s="178"/>
      <c r="R8" s="178"/>
    </row>
    <row r="9" spans="1:18" x14ac:dyDescent="0.2">
      <c r="A9" s="62">
        <v>7</v>
      </c>
      <c r="B9" s="62" t="s">
        <v>57</v>
      </c>
      <c r="C9" s="54">
        <f>((11.1389-11.1355)/1.019)*100</f>
        <v>0.33366045142288342</v>
      </c>
      <c r="D9" s="54">
        <f>((15.7397-15.737)/1.0257)*100</f>
        <v>0.26323486399522633</v>
      </c>
      <c r="E9" s="54">
        <f>((10.8254-10.822)/1.0006)*100</f>
        <v>0.33979612232669981</v>
      </c>
      <c r="F9" s="54">
        <f t="shared" ref="F9:F12" si="2">SUM(C9:E9)</f>
        <v>0.93669143774480967</v>
      </c>
      <c r="G9" s="55">
        <f t="shared" si="1"/>
        <v>0.31223047924826991</v>
      </c>
      <c r="I9" s="178"/>
      <c r="J9" s="179"/>
      <c r="K9" s="188"/>
      <c r="L9" s="178"/>
      <c r="M9" s="186"/>
      <c r="N9" s="178"/>
      <c r="O9" s="178"/>
      <c r="P9" s="178"/>
      <c r="Q9" s="178"/>
      <c r="R9" s="178"/>
    </row>
    <row r="10" spans="1:18" x14ac:dyDescent="0.2">
      <c r="A10" s="62">
        <v>8</v>
      </c>
      <c r="B10" s="62" t="s">
        <v>58</v>
      </c>
      <c r="C10" s="54">
        <f>((11.4975-11.4939)/1.0017)*100</f>
        <v>0.35938903863437072</v>
      </c>
      <c r="D10" s="54">
        <f>((16.4292-16.4256)/1.0015)*100</f>
        <v>0.35946080878704623</v>
      </c>
      <c r="E10" s="54">
        <f>((16.0216-16.0188)/1.0099)*100</f>
        <v>0.27725517377963954</v>
      </c>
      <c r="F10" s="54">
        <f t="shared" si="2"/>
        <v>0.99610502120105648</v>
      </c>
      <c r="G10" s="55">
        <f t="shared" si="1"/>
        <v>0.33203500706701883</v>
      </c>
      <c r="I10" s="178"/>
      <c r="J10" s="179"/>
      <c r="K10" s="188"/>
      <c r="L10" s="178"/>
      <c r="M10" s="178"/>
      <c r="N10" s="178"/>
      <c r="O10" s="178"/>
      <c r="P10" s="178"/>
      <c r="Q10" s="178"/>
      <c r="R10" s="178"/>
    </row>
    <row r="11" spans="1:18" x14ac:dyDescent="0.2">
      <c r="A11" s="62">
        <v>9</v>
      </c>
      <c r="B11" s="62" t="s">
        <v>59</v>
      </c>
      <c r="C11" s="54">
        <f>((12.0228-12.019)/1.042)*100</f>
        <v>0.36468330134357252</v>
      </c>
      <c r="D11" s="54">
        <f>((11.7765-11.7728)/1.0357)*100</f>
        <v>0.35724630684563663</v>
      </c>
      <c r="E11" s="54">
        <f>((16.0232-16.0194)/1.0051)*100</f>
        <v>0.37807183364821895</v>
      </c>
      <c r="F11" s="54">
        <f t="shared" si="2"/>
        <v>1.1000014418374282</v>
      </c>
      <c r="G11" s="55">
        <f t="shared" si="1"/>
        <v>0.36666714727914274</v>
      </c>
      <c r="I11" s="178"/>
      <c r="J11" s="179"/>
      <c r="K11" s="188"/>
      <c r="L11" s="178"/>
      <c r="M11" s="178"/>
      <c r="N11" s="178"/>
      <c r="O11" s="178"/>
      <c r="P11" s="178"/>
      <c r="Q11" s="178"/>
      <c r="R11" s="178"/>
    </row>
    <row r="12" spans="1:18" x14ac:dyDescent="0.2">
      <c r="A12" s="122" t="s">
        <v>50</v>
      </c>
      <c r="B12" s="122"/>
      <c r="C12" s="54">
        <f>SUM(C3:C11)</f>
        <v>2.6196536002839115</v>
      </c>
      <c r="D12" s="54">
        <f>SUM(D3:D11)</f>
        <v>2.7679535402331528</v>
      </c>
      <c r="E12" s="54">
        <f>SUM(E3:E11)</f>
        <v>2.822365279291609</v>
      </c>
      <c r="F12" s="54">
        <f t="shared" si="2"/>
        <v>8.2099724198086719</v>
      </c>
      <c r="G12" s="54"/>
      <c r="I12" s="178"/>
      <c r="J12" s="179"/>
      <c r="K12" s="188"/>
      <c r="L12" s="178"/>
      <c r="M12" s="178"/>
      <c r="N12" s="178"/>
      <c r="O12" s="178"/>
      <c r="P12" s="178"/>
      <c r="Q12" s="178"/>
      <c r="R12" s="178"/>
    </row>
    <row r="13" spans="1:18" x14ac:dyDescent="0.2">
      <c r="A13" s="122" t="s">
        <v>93</v>
      </c>
      <c r="B13" s="122"/>
      <c r="C13" s="54">
        <f>SUM(C3:C12)/9</f>
        <v>0.58214524450753591</v>
      </c>
      <c r="D13" s="54">
        <f>SUM(D3:D12)/9</f>
        <v>0.61510078671847834</v>
      </c>
      <c r="E13" s="54">
        <f>SUM(E3:E12)/9</f>
        <v>0.62719228428702423</v>
      </c>
      <c r="F13" s="54">
        <f>SUM(C12:E12)</f>
        <v>8.2099724198086719</v>
      </c>
      <c r="G13" s="54"/>
      <c r="I13" s="178"/>
      <c r="J13" s="179"/>
      <c r="K13" s="188"/>
      <c r="L13" s="178"/>
      <c r="M13" s="178"/>
      <c r="N13" s="178"/>
      <c r="O13" s="178"/>
      <c r="P13" s="178"/>
      <c r="Q13" s="178"/>
      <c r="R13" s="178"/>
    </row>
    <row r="14" spans="1:18" x14ac:dyDescent="0.2">
      <c r="I14" s="178"/>
      <c r="J14" s="179"/>
      <c r="K14" s="188"/>
      <c r="L14" s="178"/>
      <c r="M14" s="178"/>
      <c r="N14" s="178"/>
      <c r="O14" s="178"/>
      <c r="P14" s="178"/>
      <c r="Q14" s="178"/>
      <c r="R14" s="178"/>
    </row>
    <row r="15" spans="1:18" x14ac:dyDescent="0.2">
      <c r="A15" s="51" t="s">
        <v>132</v>
      </c>
      <c r="B15" s="51">
        <f>F12^2/27</f>
        <v>2.4964313753340388</v>
      </c>
      <c r="I15" s="178"/>
      <c r="J15" s="178"/>
      <c r="K15" s="178"/>
      <c r="L15" s="178"/>
      <c r="M15" s="178"/>
      <c r="N15" s="178"/>
      <c r="O15" s="178"/>
      <c r="P15" s="178"/>
      <c r="Q15" s="178"/>
      <c r="R15" s="178"/>
    </row>
    <row r="16" spans="1:18" x14ac:dyDescent="0.2">
      <c r="I16" s="178"/>
      <c r="J16" s="178"/>
      <c r="K16" s="178"/>
      <c r="L16" s="178"/>
      <c r="M16" s="178"/>
      <c r="N16" s="178"/>
      <c r="O16" s="178"/>
      <c r="P16" s="178"/>
      <c r="Q16" s="178"/>
      <c r="R16" s="178"/>
    </row>
    <row r="17" spans="1:18" x14ac:dyDescent="0.2">
      <c r="A17" s="123" t="s">
        <v>133</v>
      </c>
      <c r="B17" s="123"/>
      <c r="C17" s="123"/>
      <c r="D17" s="123"/>
      <c r="E17" s="123"/>
      <c r="F17" s="123"/>
      <c r="G17" s="123"/>
      <c r="I17" s="178"/>
      <c r="J17" s="178"/>
      <c r="K17" s="179"/>
      <c r="L17" s="178"/>
      <c r="M17" s="178"/>
      <c r="N17" s="178"/>
      <c r="O17" s="178"/>
      <c r="P17" s="178"/>
      <c r="Q17" s="178"/>
      <c r="R17" s="178"/>
    </row>
    <row r="18" spans="1:18" x14ac:dyDescent="0.2">
      <c r="A18" s="54"/>
      <c r="B18" s="54"/>
      <c r="C18" s="54" t="s">
        <v>137</v>
      </c>
      <c r="D18" s="54" t="s">
        <v>138</v>
      </c>
      <c r="E18" s="54" t="s">
        <v>139</v>
      </c>
      <c r="F18" s="54" t="s">
        <v>19</v>
      </c>
      <c r="G18" s="60" t="s">
        <v>93</v>
      </c>
      <c r="I18" s="178"/>
      <c r="J18" s="178"/>
      <c r="K18" s="179"/>
      <c r="L18" s="178"/>
      <c r="M18" s="179"/>
      <c r="N18" s="178"/>
      <c r="O18" s="178"/>
      <c r="P18" s="178"/>
      <c r="Q18" s="178"/>
      <c r="R18" s="178"/>
    </row>
    <row r="19" spans="1:18" x14ac:dyDescent="0.2">
      <c r="A19" s="54"/>
      <c r="B19" s="54" t="s">
        <v>134</v>
      </c>
      <c r="C19" s="54">
        <f>F3</f>
        <v>0.76505496712227539</v>
      </c>
      <c r="D19" s="54">
        <f>F4</f>
        <v>0.81410577407870943</v>
      </c>
      <c r="E19" s="54">
        <f>F5</f>
        <v>0.81641893720984382</v>
      </c>
      <c r="F19" s="54">
        <f>SUM(C19:E19)</f>
        <v>2.3955796784108285</v>
      </c>
      <c r="G19" s="54">
        <f>F19/9</f>
        <v>0.26617551982342541</v>
      </c>
      <c r="I19" s="178"/>
      <c r="J19" s="178"/>
      <c r="K19" s="179"/>
      <c r="L19" s="178"/>
      <c r="M19" s="179"/>
      <c r="N19" s="178"/>
      <c r="O19" s="178"/>
      <c r="P19" s="178"/>
      <c r="Q19" s="178"/>
      <c r="R19" s="178"/>
    </row>
    <row r="20" spans="1:18" x14ac:dyDescent="0.2">
      <c r="A20" s="54"/>
      <c r="B20" s="54" t="s">
        <v>135</v>
      </c>
      <c r="C20" s="54">
        <f>F6</f>
        <v>0.8930167732490184</v>
      </c>
      <c r="D20" s="54">
        <f>F7</f>
        <v>0.91662243106454255</v>
      </c>
      <c r="E20" s="54">
        <f>F8</f>
        <v>0.97195563630098958</v>
      </c>
      <c r="F20" s="54">
        <f t="shared" ref="F20:F21" si="3">SUM(C20:E20)</f>
        <v>2.7815948406145505</v>
      </c>
      <c r="G20" s="54">
        <f t="shared" ref="G20:G21" si="4">F20/9</f>
        <v>0.30906609340161673</v>
      </c>
      <c r="I20" s="178"/>
      <c r="J20" s="178"/>
      <c r="K20" s="179"/>
      <c r="L20" s="178"/>
      <c r="M20" s="179"/>
      <c r="N20" s="178"/>
      <c r="O20" s="178"/>
      <c r="P20" s="178"/>
      <c r="Q20" s="178"/>
      <c r="R20" s="178"/>
    </row>
    <row r="21" spans="1:18" x14ac:dyDescent="0.2">
      <c r="A21" s="54"/>
      <c r="B21" s="54" t="s">
        <v>136</v>
      </c>
      <c r="C21" s="54">
        <f>F9</f>
        <v>0.93669143774480967</v>
      </c>
      <c r="D21" s="54">
        <f>F10</f>
        <v>0.99610502120105648</v>
      </c>
      <c r="E21" s="54">
        <f>F11</f>
        <v>1.1000014418374282</v>
      </c>
      <c r="F21" s="54">
        <f t="shared" si="3"/>
        <v>3.0327979007832946</v>
      </c>
      <c r="G21" s="54">
        <f t="shared" si="4"/>
        <v>0.33697754453147716</v>
      </c>
      <c r="I21" s="178"/>
      <c r="J21" s="178"/>
      <c r="K21" s="179"/>
      <c r="L21" s="178"/>
      <c r="M21" s="179"/>
      <c r="N21" s="178"/>
      <c r="O21" s="178"/>
      <c r="P21" s="178"/>
      <c r="Q21" s="178"/>
      <c r="R21" s="178"/>
    </row>
    <row r="22" spans="1:18" x14ac:dyDescent="0.2">
      <c r="A22" s="54"/>
      <c r="B22" s="54" t="s">
        <v>50</v>
      </c>
      <c r="C22" s="54">
        <f>SUM(C19:C21)</f>
        <v>2.5947631781161036</v>
      </c>
      <c r="D22" s="54">
        <f t="shared" ref="D22:E22" si="5">SUM(D19:D21)</f>
        <v>2.7268332263443087</v>
      </c>
      <c r="E22" s="54">
        <f t="shared" si="5"/>
        <v>2.8883760153482614</v>
      </c>
      <c r="F22" s="54"/>
      <c r="G22" s="54"/>
      <c r="I22" s="178"/>
      <c r="J22" s="178"/>
      <c r="K22" s="179"/>
      <c r="L22" s="178"/>
      <c r="M22" s="179"/>
      <c r="N22" s="178"/>
      <c r="O22" s="179"/>
      <c r="P22" s="178"/>
      <c r="Q22" s="178"/>
      <c r="R22" s="178"/>
    </row>
    <row r="23" spans="1:18" x14ac:dyDescent="0.2">
      <c r="A23" s="54"/>
      <c r="B23" s="54" t="s">
        <v>93</v>
      </c>
      <c r="C23" s="54">
        <f>C22/9</f>
        <v>0.28830701979067819</v>
      </c>
      <c r="D23" s="54">
        <f t="shared" ref="D23:E23" si="6">D22/9</f>
        <v>0.30298146959381206</v>
      </c>
      <c r="E23" s="54">
        <f t="shared" si="6"/>
        <v>0.32093066837202905</v>
      </c>
      <c r="F23" s="54"/>
      <c r="G23" s="54"/>
      <c r="I23" s="178"/>
      <c r="J23" s="178"/>
      <c r="K23" s="179"/>
      <c r="L23" s="178"/>
      <c r="M23" s="179"/>
      <c r="N23" s="178"/>
      <c r="O23" s="178"/>
      <c r="P23" s="178"/>
      <c r="Q23" s="178"/>
      <c r="R23" s="178"/>
    </row>
    <row r="24" spans="1:18" x14ac:dyDescent="0.2">
      <c r="J24" s="175"/>
      <c r="K24" s="176"/>
      <c r="L24" s="175"/>
      <c r="M24" s="53"/>
    </row>
    <row r="25" spans="1:18" x14ac:dyDescent="0.2">
      <c r="A25" s="123" t="s">
        <v>140</v>
      </c>
      <c r="B25" s="123"/>
      <c r="C25" s="123"/>
      <c r="D25" s="123"/>
      <c r="E25" s="123"/>
      <c r="F25" s="123"/>
      <c r="G25" s="123"/>
      <c r="H25" s="123"/>
      <c r="J25" s="175"/>
      <c r="K25" s="176"/>
      <c r="L25" s="175"/>
    </row>
    <row r="26" spans="1:18" x14ac:dyDescent="0.2">
      <c r="A26" s="120" t="s">
        <v>141</v>
      </c>
      <c r="B26" s="121" t="s">
        <v>144</v>
      </c>
      <c r="C26" s="121" t="s">
        <v>145</v>
      </c>
      <c r="D26" s="121" t="s">
        <v>146</v>
      </c>
      <c r="E26" s="121" t="s">
        <v>147</v>
      </c>
      <c r="F26" s="121" t="s">
        <v>188</v>
      </c>
      <c r="G26" s="121"/>
      <c r="H26" s="121" t="s">
        <v>171</v>
      </c>
    </row>
    <row r="27" spans="1:18" x14ac:dyDescent="0.2">
      <c r="A27" s="120"/>
      <c r="B27" s="121"/>
      <c r="C27" s="121"/>
      <c r="D27" s="121"/>
      <c r="E27" s="121"/>
      <c r="F27" s="59">
        <v>0.05</v>
      </c>
      <c r="G27" s="54">
        <v>0.01</v>
      </c>
      <c r="H27" s="121"/>
      <c r="J27" s="51" t="s">
        <v>131</v>
      </c>
      <c r="K27" s="51" t="s">
        <v>219</v>
      </c>
      <c r="L27" s="51" t="s">
        <v>276</v>
      </c>
      <c r="M27" s="51" t="s">
        <v>148</v>
      </c>
    </row>
    <row r="28" spans="1:18" x14ac:dyDescent="0.2">
      <c r="A28" s="54" t="s">
        <v>142</v>
      </c>
      <c r="B28" s="57">
        <f>3-1</f>
        <v>2</v>
      </c>
      <c r="C28" s="54">
        <f>SUMSQ(C12:E12)/9-B15</f>
        <v>2.4461309015726407E-3</v>
      </c>
      <c r="D28" s="54">
        <f>C28/B28</f>
        <v>1.2230654507863203E-3</v>
      </c>
      <c r="E28" s="54">
        <f>D28/$D$33</f>
        <v>0.86578175877440033</v>
      </c>
      <c r="F28" s="59">
        <f>FINV($F$27,B28,$B$33)</f>
        <v>3.6337234675916301</v>
      </c>
      <c r="G28" s="54">
        <f>FINV($G$27,B28,$B$33)</f>
        <v>6.2262352803113821</v>
      </c>
      <c r="H28" s="54" t="s">
        <v>172</v>
      </c>
      <c r="J28" s="51" t="s">
        <v>134</v>
      </c>
      <c r="K28" s="53">
        <f>AVERAGE(C3:E5)</f>
        <v>0.26617551982342541</v>
      </c>
      <c r="L28" s="53">
        <f>K28+L2</f>
        <v>0.37532658825645526</v>
      </c>
      <c r="M28" s="51" t="s">
        <v>151</v>
      </c>
    </row>
    <row r="29" spans="1:18" x14ac:dyDescent="0.2">
      <c r="A29" s="54" t="s">
        <v>131</v>
      </c>
      <c r="B29" s="57">
        <f>3*3-1</f>
        <v>8</v>
      </c>
      <c r="C29" s="54">
        <f>SUMSQ(F3:F11)/3-B15</f>
        <v>2.9105233787444451E-2</v>
      </c>
      <c r="D29" s="54">
        <f>C29/B29</f>
        <v>3.6381542234305564E-3</v>
      </c>
      <c r="E29" s="54">
        <f t="shared" ref="E29:E32" si="7">D29/$D$33</f>
        <v>2.5753712201004069</v>
      </c>
      <c r="F29" s="59">
        <f t="shared" ref="F29:F32" si="8">FINV($F$27,B29,$B$33)</f>
        <v>2.5910961798744014</v>
      </c>
      <c r="G29" s="54">
        <f t="shared" ref="G29:G32" si="9">FINV($G$27,B29,$B$33)</f>
        <v>3.8895721399261927</v>
      </c>
      <c r="H29" s="54" t="s">
        <v>172</v>
      </c>
      <c r="J29" s="51" t="s">
        <v>135</v>
      </c>
      <c r="K29" s="53">
        <f>AVERAGE(C6:E8)</f>
        <v>0.30906609340161667</v>
      </c>
      <c r="M29" s="51" t="s">
        <v>151</v>
      </c>
    </row>
    <row r="30" spans="1:18" x14ac:dyDescent="0.2">
      <c r="A30" s="54" t="s">
        <v>120</v>
      </c>
      <c r="B30" s="57">
        <f>3-1</f>
        <v>2</v>
      </c>
      <c r="C30" s="54">
        <f>SUMSQ(F19:F21)/9-B15</f>
        <v>2.2894731326402962E-2</v>
      </c>
      <c r="D30" s="54">
        <f>C30/B30</f>
        <v>1.1447365663201481E-2</v>
      </c>
      <c r="E30" s="54">
        <f t="shared" si="7"/>
        <v>8.1033442411838497</v>
      </c>
      <c r="F30" s="59">
        <f t="shared" si="8"/>
        <v>3.6337234675916301</v>
      </c>
      <c r="G30" s="54">
        <f t="shared" si="9"/>
        <v>6.2262352803113821</v>
      </c>
      <c r="H30" s="54" t="s">
        <v>173</v>
      </c>
      <c r="J30" s="51" t="s">
        <v>136</v>
      </c>
      <c r="K30" s="53">
        <f>AVERAGE(C9:E11)</f>
        <v>0.33697754453147716</v>
      </c>
      <c r="L30" s="53"/>
      <c r="M30" s="51" t="s">
        <v>151</v>
      </c>
    </row>
    <row r="31" spans="1:18" x14ac:dyDescent="0.2">
      <c r="A31" s="54" t="s">
        <v>150</v>
      </c>
      <c r="B31" s="57">
        <f>3-1</f>
        <v>2</v>
      </c>
      <c r="C31" s="54">
        <f>SUMSQ(C22:E22)/9-B15</f>
        <v>4.8054469816936063E-3</v>
      </c>
      <c r="D31" s="54">
        <f>C31/B31</f>
        <v>2.4027234908468031E-3</v>
      </c>
      <c r="E31" s="54">
        <f>D31/$D$33</f>
        <v>1.7008363439720333</v>
      </c>
      <c r="F31" s="59">
        <f t="shared" si="8"/>
        <v>3.6337234675916301</v>
      </c>
      <c r="G31" s="54">
        <f t="shared" si="9"/>
        <v>6.2262352803113821</v>
      </c>
      <c r="H31" s="54" t="s">
        <v>172</v>
      </c>
      <c r="K31" s="53"/>
      <c r="L31" s="53"/>
    </row>
    <row r="32" spans="1:18" x14ac:dyDescent="0.2">
      <c r="A32" s="54" t="s">
        <v>154</v>
      </c>
      <c r="B32" s="57">
        <f>(3-1)*(3-1)</f>
        <v>4</v>
      </c>
      <c r="C32" s="54">
        <f>C29-C30-C31</f>
        <v>1.4050554793478831E-3</v>
      </c>
      <c r="D32" s="54">
        <f t="shared" ref="D32" si="10">C32/B32</f>
        <v>3.5126386983697078E-4</v>
      </c>
      <c r="E32" s="54">
        <f t="shared" si="7"/>
        <v>0.24865214762287197</v>
      </c>
      <c r="F32" s="59">
        <f t="shared" si="8"/>
        <v>3.0069172799243447</v>
      </c>
      <c r="G32" s="54">
        <f t="shared" si="9"/>
        <v>4.772577999723211</v>
      </c>
      <c r="H32" s="54" t="s">
        <v>172</v>
      </c>
      <c r="K32" s="53"/>
      <c r="L32" s="53"/>
    </row>
    <row r="33" spans="1:12" x14ac:dyDescent="0.2">
      <c r="A33" s="54" t="s">
        <v>143</v>
      </c>
      <c r="B33" s="57">
        <f>B34-B28-B29</f>
        <v>16</v>
      </c>
      <c r="C33" s="54">
        <f>C34-C28-C29</f>
        <v>2.2602748341895129E-2</v>
      </c>
      <c r="D33" s="54">
        <f>C33/B33</f>
        <v>1.4126717713684456E-3</v>
      </c>
      <c r="E33" s="54"/>
      <c r="F33" s="54"/>
      <c r="G33" s="54"/>
      <c r="H33" s="54"/>
      <c r="K33" s="53"/>
      <c r="L33" s="53"/>
    </row>
    <row r="34" spans="1:12" x14ac:dyDescent="0.2">
      <c r="A34" s="54" t="s">
        <v>19</v>
      </c>
      <c r="B34" s="57">
        <f>27-1</f>
        <v>26</v>
      </c>
      <c r="C34" s="54">
        <f>SUMSQ(C3:E11)-B15</f>
        <v>5.4154113030912221E-2</v>
      </c>
      <c r="D34" s="54"/>
      <c r="E34" s="54"/>
      <c r="F34" s="54"/>
      <c r="G34" s="54"/>
      <c r="H34" s="54"/>
      <c r="K34" s="53"/>
      <c r="L34" s="53"/>
    </row>
    <row r="35" spans="1:12" x14ac:dyDescent="0.2">
      <c r="L35" s="53"/>
    </row>
    <row r="36" spans="1:12" x14ac:dyDescent="0.2">
      <c r="L36" s="53"/>
    </row>
    <row r="37" spans="1:12" x14ac:dyDescent="0.2">
      <c r="L37" s="53"/>
    </row>
    <row r="38" spans="1:12" x14ac:dyDescent="0.2">
      <c r="L38" s="53"/>
    </row>
  </sheetData>
  <sortState xmlns:xlrd2="http://schemas.microsoft.com/office/spreadsheetml/2017/richdata2" ref="J17:L25">
    <sortCondition ref="J17:J25"/>
  </sortState>
  <mergeCells count="18">
    <mergeCell ref="A25:H25"/>
    <mergeCell ref="A26:A27"/>
    <mergeCell ref="B26:B27"/>
    <mergeCell ref="C26:C27"/>
    <mergeCell ref="D26:D27"/>
    <mergeCell ref="E26:E27"/>
    <mergeCell ref="F26:G26"/>
    <mergeCell ref="H26:H27"/>
    <mergeCell ref="N5:N6"/>
    <mergeCell ref="O5:Q5"/>
    <mergeCell ref="G1:G2"/>
    <mergeCell ref="A13:B13"/>
    <mergeCell ref="A17:G17"/>
    <mergeCell ref="A12:B12"/>
    <mergeCell ref="A1:A2"/>
    <mergeCell ref="B1:B2"/>
    <mergeCell ref="C1:E1"/>
    <mergeCell ref="F1:F2"/>
  </mergeCells>
  <pageMargins left="0.7" right="0.7" top="0.75" bottom="0.75" header="0.3" footer="0.3"/>
  <pageSetup paperSize="9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4A555-7247-7C46-BC49-6CF8754FAAF2}">
  <dimension ref="A1:M34"/>
  <sheetViews>
    <sheetView topLeftCell="C1" zoomScale="162" zoomScaleNormal="212" workbookViewId="0">
      <selection activeCell="J2" sqref="J2:J8"/>
    </sheetView>
  </sheetViews>
  <sheetFormatPr baseColWidth="10" defaultRowHeight="16" x14ac:dyDescent="0.2"/>
  <cols>
    <col min="1" max="1" width="9.5" customWidth="1"/>
    <col min="2" max="2" width="12.1640625" bestFit="1" customWidth="1"/>
    <col min="3" max="3" width="12.1640625" customWidth="1"/>
    <col min="4" max="4" width="12.1640625" bestFit="1" customWidth="1"/>
    <col min="5" max="5" width="12.33203125" bestFit="1" customWidth="1"/>
    <col min="6" max="6" width="7.6640625" bestFit="1" customWidth="1"/>
    <col min="7" max="7" width="12.33203125" bestFit="1" customWidth="1"/>
    <col min="10" max="10" width="12.1640625" bestFit="1" customWidth="1"/>
  </cols>
  <sheetData>
    <row r="1" spans="1:13" x14ac:dyDescent="0.2">
      <c r="A1" s="118" t="s">
        <v>62</v>
      </c>
      <c r="B1" s="118" t="s">
        <v>60</v>
      </c>
      <c r="C1" s="118" t="s">
        <v>92</v>
      </c>
      <c r="D1" s="118"/>
      <c r="E1" s="118"/>
      <c r="F1" s="118" t="s">
        <v>94</v>
      </c>
      <c r="G1" s="118" t="s">
        <v>93</v>
      </c>
      <c r="H1" s="51"/>
      <c r="I1" s="52" t="s">
        <v>131</v>
      </c>
      <c r="J1" s="52" t="s">
        <v>219</v>
      </c>
      <c r="K1" s="51"/>
      <c r="L1" s="51"/>
    </row>
    <row r="2" spans="1:13" x14ac:dyDescent="0.2">
      <c r="A2" s="118"/>
      <c r="B2" s="118"/>
      <c r="C2" s="52">
        <v>1</v>
      </c>
      <c r="D2" s="52">
        <v>2</v>
      </c>
      <c r="E2" s="52">
        <v>3</v>
      </c>
      <c r="F2" s="118"/>
      <c r="G2" s="118"/>
      <c r="H2" s="51"/>
      <c r="I2" s="54" t="s">
        <v>134</v>
      </c>
      <c r="J2" s="111">
        <f>AVERAGE(C3:E5)</f>
        <v>1.7576918243992334E-2</v>
      </c>
      <c r="K2" s="51"/>
      <c r="L2" s="51"/>
    </row>
    <row r="3" spans="1:13" x14ac:dyDescent="0.2">
      <c r="A3" s="52">
        <v>1</v>
      </c>
      <c r="B3" s="52" t="s">
        <v>51</v>
      </c>
      <c r="C3" s="54">
        <f>((0.1*0.88*10/5008.9)*100)</f>
        <v>1.7568727664756738E-2</v>
      </c>
      <c r="D3" s="54">
        <f>0.1*0.88*10*100/5005.7</f>
        <v>1.7579958846914521E-2</v>
      </c>
      <c r="E3" s="54">
        <f>((0.1*0.88*10/5005.7)*100)</f>
        <v>1.7579958846914521E-2</v>
      </c>
      <c r="F3" s="54">
        <f>SUM(C3:E3)</f>
        <v>5.2728645358585777E-2</v>
      </c>
      <c r="G3" s="64">
        <f>AVERAGE(C3:E3)</f>
        <v>1.7576215119528591E-2</v>
      </c>
      <c r="H3" s="51"/>
      <c r="I3" s="54" t="s">
        <v>135</v>
      </c>
      <c r="J3" s="111">
        <f>AVERAGE(C6:E8)</f>
        <v>1.7577466400950325E-2</v>
      </c>
      <c r="K3" s="51"/>
      <c r="L3" s="51"/>
    </row>
    <row r="4" spans="1:13" x14ac:dyDescent="0.2">
      <c r="A4" s="52">
        <v>2</v>
      </c>
      <c r="B4" s="52" t="s">
        <v>53</v>
      </c>
      <c r="C4" s="54">
        <f>((0.1*0.88*10/5009.5)*100)</f>
        <v>1.7566623415510532E-2</v>
      </c>
      <c r="D4" s="54">
        <f>((0.1*0.88*10/5007.9)*100)</f>
        <v>1.7572235867329623E-2</v>
      </c>
      <c r="E4" s="54">
        <f>((0.1*0.88*10/5002.9)*100)</f>
        <v>1.7589797917208022E-2</v>
      </c>
      <c r="F4" s="54">
        <f t="shared" ref="F4:F11" si="0">SUM(C4:E4)</f>
        <v>5.2728657200048178E-2</v>
      </c>
      <c r="G4" s="64">
        <f t="shared" ref="G4:G11" si="1">AVERAGE(C4:E4)</f>
        <v>1.7576219066682726E-2</v>
      </c>
      <c r="H4" s="51"/>
      <c r="I4" s="54" t="s">
        <v>136</v>
      </c>
      <c r="J4" s="111">
        <f>AVERAGE(C9:E11)</f>
        <v>1.7577736370259826E-2</v>
      </c>
      <c r="K4" s="51"/>
      <c r="L4" s="51"/>
      <c r="M4" s="24"/>
    </row>
    <row r="5" spans="1:13" x14ac:dyDescent="0.2">
      <c r="A5" s="52">
        <v>3</v>
      </c>
      <c r="B5" s="52" t="s">
        <v>54</v>
      </c>
      <c r="C5" s="54">
        <f>((0.1*0.88*10/5005.1)*100)</f>
        <v>1.7582066292381772E-2</v>
      </c>
      <c r="D5" s="54">
        <f>((0.1*0.88*10/5007.1)*100)</f>
        <v>1.7575043438317589E-2</v>
      </c>
      <c r="E5" s="54">
        <f>((0.1*0.88*10/5006.3)*100)</f>
        <v>1.7577851906597688E-2</v>
      </c>
      <c r="F5" s="54">
        <f t="shared" si="0"/>
        <v>5.2734961637297045E-2</v>
      </c>
      <c r="G5" s="64">
        <f t="shared" si="1"/>
        <v>1.7578320545765681E-2</v>
      </c>
      <c r="H5" s="51"/>
      <c r="I5" s="52" t="s">
        <v>131</v>
      </c>
      <c r="J5" s="112" t="s">
        <v>219</v>
      </c>
      <c r="K5" s="51"/>
      <c r="L5" s="51"/>
    </row>
    <row r="6" spans="1:13" x14ac:dyDescent="0.2">
      <c r="A6" s="52">
        <v>4</v>
      </c>
      <c r="B6" s="52" t="s">
        <v>55</v>
      </c>
      <c r="C6" s="54">
        <f>((0.1*0.88*10/5005.4)*100)</f>
        <v>1.758101250649299E-2</v>
      </c>
      <c r="D6" s="54">
        <f>((0.1*0.88*10/5009.8)*100)</f>
        <v>1.75655714798994E-2</v>
      </c>
      <c r="E6" s="54">
        <f>((0.1*0.88*10/5009.9)*100)</f>
        <v>1.7565220862691872E-2</v>
      </c>
      <c r="F6" s="54">
        <f t="shared" si="0"/>
        <v>5.2711804849084262E-2</v>
      </c>
      <c r="G6" s="64">
        <f t="shared" si="1"/>
        <v>1.7570601616361422E-2</v>
      </c>
      <c r="H6" s="51"/>
      <c r="I6" s="54" t="s">
        <v>137</v>
      </c>
      <c r="J6" s="111">
        <f>AVERAGE(C3:E3,C6:E6,C9:E9)</f>
        <v>1.7577192210316853E-2</v>
      </c>
      <c r="K6" s="65"/>
      <c r="L6" s="51"/>
    </row>
    <row r="7" spans="1:13" x14ac:dyDescent="0.2">
      <c r="A7" s="52">
        <v>5</v>
      </c>
      <c r="B7" s="52" t="s">
        <v>52</v>
      </c>
      <c r="C7" s="54">
        <f>((0.1*0.88*10/5005.2)*100)</f>
        <v>1.7581715016382966E-2</v>
      </c>
      <c r="D7" s="54">
        <f>((0.1*0.88*10/5001.2)*100)</f>
        <v>1.7595777013516761E-2</v>
      </c>
      <c r="E7" s="54">
        <f>((0.1*0.88*10/5007.9)*100)</f>
        <v>1.7572235867329623E-2</v>
      </c>
      <c r="F7" s="54">
        <f t="shared" si="0"/>
        <v>5.274972789722935E-2</v>
      </c>
      <c r="G7" s="64">
        <f t="shared" si="1"/>
        <v>1.7583242632409783E-2</v>
      </c>
      <c r="H7" s="51"/>
      <c r="I7" s="54" t="s">
        <v>138</v>
      </c>
      <c r="J7" s="111">
        <f>AVERAGE(C4:E4,C7:E7,C10:E10)</f>
        <v>1.7577583439702157E-2</v>
      </c>
      <c r="K7" s="65"/>
      <c r="L7" s="51"/>
    </row>
    <row r="8" spans="1:13" x14ac:dyDescent="0.2">
      <c r="A8" s="52">
        <v>6</v>
      </c>
      <c r="B8" s="52" t="s">
        <v>56</v>
      </c>
      <c r="C8" s="54">
        <f>((0.1*0.88*10/5005.3)*100)</f>
        <v>1.7581363754420317E-2</v>
      </c>
      <c r="D8" s="54">
        <f>((0.1*0.88*10/5007.6)*100)</f>
        <v>1.7573288601325985E-2</v>
      </c>
      <c r="E8" s="54">
        <f>((0.1*0.88*10/5005.4)*100)</f>
        <v>1.758101250649299E-2</v>
      </c>
      <c r="F8" s="54">
        <f t="shared" si="0"/>
        <v>5.2735664862239295E-2</v>
      </c>
      <c r="G8" s="64">
        <f t="shared" si="1"/>
        <v>1.7578554954079766E-2</v>
      </c>
      <c r="H8" s="51"/>
      <c r="I8" s="54" t="s">
        <v>139</v>
      </c>
      <c r="J8" s="111">
        <f>AVERAGE(C5:E5,C8:E8,C11:E11)</f>
        <v>1.7577345365183468E-2</v>
      </c>
      <c r="K8" s="65"/>
      <c r="L8" s="51"/>
    </row>
    <row r="9" spans="1:13" x14ac:dyDescent="0.2">
      <c r="A9" s="52">
        <v>7</v>
      </c>
      <c r="B9" s="86" t="s">
        <v>57</v>
      </c>
      <c r="C9" s="86">
        <f>((0.1*0.88*10/5004.1)*100)</f>
        <v>1.7585579824543875E-2</v>
      </c>
      <c r="D9" s="86">
        <f>((0.1*0.88*10/5004.4)*100)</f>
        <v>1.7584525617456642E-2</v>
      </c>
      <c r="E9" s="86">
        <f>((0.1*0.88*10/5004.5)*100)</f>
        <v>1.7584174243181139E-2</v>
      </c>
      <c r="F9" s="86">
        <f t="shared" si="0"/>
        <v>5.2754279685181649E-2</v>
      </c>
      <c r="G9" s="87">
        <f t="shared" si="1"/>
        <v>1.7584759895060548E-2</v>
      </c>
      <c r="H9" s="51"/>
      <c r="I9" s="51"/>
      <c r="J9" s="51"/>
      <c r="K9" s="65"/>
      <c r="L9" s="51"/>
      <c r="M9" s="24"/>
    </row>
    <row r="10" spans="1:13" ht="17" x14ac:dyDescent="0.2">
      <c r="A10" s="52">
        <v>8</v>
      </c>
      <c r="B10" s="52" t="s">
        <v>58</v>
      </c>
      <c r="C10" s="54">
        <f>((0.1*0.88*10/5007.6)*100)</f>
        <v>1.7573288601325985E-2</v>
      </c>
      <c r="D10" s="54">
        <f>((0.1*0.88*10/5007.8)*100)</f>
        <v>1.7572586764647152E-2</v>
      </c>
      <c r="E10" s="54">
        <f>((0.1*0.88*10/5007.4)*100)</f>
        <v>1.7573990494068784E-2</v>
      </c>
      <c r="F10" s="54">
        <f>SUM(C10:E10)</f>
        <v>5.2719865860041917E-2</v>
      </c>
      <c r="G10" s="64">
        <f t="shared" si="1"/>
        <v>1.7573288620013974E-2</v>
      </c>
      <c r="H10" s="51"/>
      <c r="I10" s="58" t="s">
        <v>215</v>
      </c>
      <c r="J10" s="57" t="s">
        <v>214</v>
      </c>
      <c r="K10" s="57"/>
      <c r="L10" s="57"/>
    </row>
    <row r="11" spans="1:13" x14ac:dyDescent="0.2">
      <c r="A11" s="52">
        <v>9</v>
      </c>
      <c r="B11" s="52" t="s">
        <v>59</v>
      </c>
      <c r="C11" s="54">
        <f>((0.1*0.88*10/5006.4)*100)</f>
        <v>1.7577500798977314E-2</v>
      </c>
      <c r="D11" s="54">
        <f>((0.1*0.88*10/5007.4)*100)</f>
        <v>1.7573990494068784E-2</v>
      </c>
      <c r="E11" s="54">
        <f>((0.1*0.88*10/5007.4)*100)</f>
        <v>1.7573990494068784E-2</v>
      </c>
      <c r="F11" s="54">
        <f t="shared" si="0"/>
        <v>5.2725481787114878E-2</v>
      </c>
      <c r="G11" s="64">
        <f t="shared" si="1"/>
        <v>1.757516059570496E-2</v>
      </c>
      <c r="H11" s="51"/>
      <c r="I11" s="58"/>
      <c r="J11" s="57" t="s">
        <v>137</v>
      </c>
      <c r="K11" s="54" t="s">
        <v>138</v>
      </c>
      <c r="L11" s="54" t="s">
        <v>139</v>
      </c>
    </row>
    <row r="12" spans="1:13" x14ac:dyDescent="0.2">
      <c r="A12" s="118" t="s">
        <v>50</v>
      </c>
      <c r="B12" s="118"/>
      <c r="C12" s="54">
        <f>SUM(C3:C11)</f>
        <v>0.1581978778747925</v>
      </c>
      <c r="D12" s="54">
        <f t="shared" ref="D12:E12" si="2">SUM(D3:D11)</f>
        <v>0.15819297812347644</v>
      </c>
      <c r="E12" s="54">
        <f t="shared" si="2"/>
        <v>0.15819823313855341</v>
      </c>
      <c r="F12" s="54">
        <f>SUM(F3:F11)</f>
        <v>0.47458908913682235</v>
      </c>
      <c r="G12" s="66"/>
      <c r="H12" s="51"/>
      <c r="I12" s="54" t="s">
        <v>134</v>
      </c>
      <c r="J12" s="54">
        <v>1.7572235867329623E-2</v>
      </c>
      <c r="K12" s="54">
        <v>1.7566623415510532E-2</v>
      </c>
      <c r="L12" s="54">
        <v>1.7599648007039861E-2</v>
      </c>
    </row>
    <row r="13" spans="1:13" x14ac:dyDescent="0.2">
      <c r="A13" s="118" t="s">
        <v>93</v>
      </c>
      <c r="B13" s="118"/>
      <c r="C13" s="54">
        <f>SUM(C3:C12)/9</f>
        <v>3.5155083972176114E-2</v>
      </c>
      <c r="D13" s="54">
        <f t="shared" ref="D13:E13" si="3">SUM(D3:D12)/9</f>
        <v>3.5153995138550317E-2</v>
      </c>
      <c r="E13" s="54">
        <f t="shared" si="3"/>
        <v>3.5155162919678538E-2</v>
      </c>
      <c r="F13" s="54">
        <f>SUM(C12:E12)</f>
        <v>0.47458908913682235</v>
      </c>
      <c r="G13" s="54"/>
      <c r="H13" s="51"/>
      <c r="I13" s="54"/>
      <c r="J13" s="54">
        <v>1.7586985630633333E-2</v>
      </c>
      <c r="K13" s="54">
        <v>1.7575043438317589E-2</v>
      </c>
      <c r="L13" s="54">
        <v>1.7592611103336601E-2</v>
      </c>
    </row>
    <row r="14" spans="1:13" ht="16" customHeight="1" x14ac:dyDescent="0.2">
      <c r="A14" s="51"/>
      <c r="B14" s="51"/>
      <c r="C14" s="51"/>
      <c r="D14" s="51"/>
      <c r="E14" s="51"/>
      <c r="F14" s="51"/>
      <c r="G14" s="51"/>
      <c r="H14" s="51"/>
      <c r="I14" s="54"/>
      <c r="J14" s="54">
        <v>1.7583471536755452E-2</v>
      </c>
      <c r="K14" s="54">
        <v>1.7589797917208022E-2</v>
      </c>
      <c r="L14" s="54">
        <v>1.7576798625813926E-2</v>
      </c>
    </row>
    <row r="15" spans="1:13" x14ac:dyDescent="0.2">
      <c r="A15" s="51" t="s">
        <v>132</v>
      </c>
      <c r="B15" s="51">
        <f>F12^2/27</f>
        <v>8.3420297602858785E-3</v>
      </c>
      <c r="C15" s="51"/>
      <c r="D15" s="51"/>
      <c r="E15" s="51"/>
      <c r="F15" s="51"/>
      <c r="G15" s="51"/>
      <c r="H15" s="51"/>
      <c r="I15" s="54" t="s">
        <v>135</v>
      </c>
      <c r="J15" s="54">
        <v>1.7588040132709763E-2</v>
      </c>
      <c r="K15" s="54">
        <v>1.7581715016382966E-2</v>
      </c>
      <c r="L15" s="54">
        <v>1.7574341461466261E-2</v>
      </c>
    </row>
    <row r="16" spans="1:13" x14ac:dyDescent="0.2">
      <c r="A16" s="51"/>
      <c r="B16" s="51"/>
      <c r="C16" s="51"/>
      <c r="D16" s="51"/>
      <c r="E16" s="51"/>
      <c r="F16" s="51"/>
      <c r="G16" s="51"/>
      <c r="H16" s="51"/>
      <c r="I16" s="54"/>
      <c r="J16" s="54">
        <v>1.756907842197732E-2</v>
      </c>
      <c r="K16" s="54">
        <v>1.7595777013516761E-2</v>
      </c>
      <c r="L16" s="54">
        <v>1.7573288601325985E-2</v>
      </c>
    </row>
    <row r="17" spans="1:12" x14ac:dyDescent="0.2">
      <c r="A17" s="123" t="s">
        <v>133</v>
      </c>
      <c r="B17" s="123"/>
      <c r="C17" s="123"/>
      <c r="D17" s="123"/>
      <c r="E17" s="123"/>
      <c r="F17" s="123"/>
      <c r="G17" s="123"/>
      <c r="H17" s="51"/>
      <c r="I17" s="54"/>
      <c r="J17" s="54">
        <v>1.7565220862691872E-2</v>
      </c>
      <c r="K17" s="54">
        <v>1.7572235867329623E-2</v>
      </c>
      <c r="L17" s="54">
        <v>1.7600000000000001E-2</v>
      </c>
    </row>
    <row r="18" spans="1:12" x14ac:dyDescent="0.2">
      <c r="A18" s="54"/>
      <c r="B18" s="54"/>
      <c r="C18" s="54" t="s">
        <v>137</v>
      </c>
      <c r="D18" s="54" t="s">
        <v>138</v>
      </c>
      <c r="E18" s="54" t="s">
        <v>139</v>
      </c>
      <c r="F18" s="54" t="s">
        <v>19</v>
      </c>
      <c r="G18" s="54" t="s">
        <v>93</v>
      </c>
      <c r="H18" s="51"/>
      <c r="I18" s="54" t="s">
        <v>136</v>
      </c>
      <c r="J18" s="54">
        <v>1.7596128851652636E-2</v>
      </c>
      <c r="K18" s="54">
        <v>1.7569779978437089E-2</v>
      </c>
      <c r="L18" s="54">
        <v>1.758101250649299E-2</v>
      </c>
    </row>
    <row r="19" spans="1:12" x14ac:dyDescent="0.2">
      <c r="A19" s="54"/>
      <c r="B19" s="54" t="s">
        <v>134</v>
      </c>
      <c r="C19" s="54">
        <f>F3</f>
        <v>5.2728645358585777E-2</v>
      </c>
      <c r="D19" s="54">
        <f>F4</f>
        <v>5.2728657200048178E-2</v>
      </c>
      <c r="E19" s="54">
        <f>F5</f>
        <v>5.2734961637297045E-2</v>
      </c>
      <c r="F19" s="54">
        <f>SUM(C19:E19)</f>
        <v>0.15819226419593099</v>
      </c>
      <c r="G19" s="54">
        <f>F19/9</f>
        <v>1.7576918243992334E-2</v>
      </c>
      <c r="H19" s="51"/>
      <c r="I19" s="54"/>
      <c r="J19" s="54">
        <v>1.758101250649299E-2</v>
      </c>
      <c r="K19" s="54">
        <v>1.756907842197732E-2</v>
      </c>
      <c r="L19" s="54">
        <v>1.7588040132709763E-2</v>
      </c>
    </row>
    <row r="20" spans="1:12" x14ac:dyDescent="0.2">
      <c r="A20" s="54"/>
      <c r="B20" s="54" t="s">
        <v>135</v>
      </c>
      <c r="C20" s="54">
        <f>F6</f>
        <v>5.2711804849084262E-2</v>
      </c>
      <c r="D20" s="54">
        <f>F7</f>
        <v>5.274972789722935E-2</v>
      </c>
      <c r="E20" s="54">
        <f>F8</f>
        <v>5.2735664862239295E-2</v>
      </c>
      <c r="F20" s="54">
        <f t="shared" ref="F20:F21" si="4">SUM(C20:E20)</f>
        <v>0.15819719760855291</v>
      </c>
      <c r="G20" s="54">
        <f t="shared" ref="G20:G21" si="5">F20/9</f>
        <v>1.7577466400950325E-2</v>
      </c>
      <c r="H20" s="51"/>
      <c r="I20" s="54"/>
      <c r="J20" s="54">
        <v>1.758276888649124E-2</v>
      </c>
      <c r="K20" s="54">
        <v>1.7573990494068784E-2</v>
      </c>
      <c r="L20" s="54">
        <v>1.7584525617456642E-2</v>
      </c>
    </row>
    <row r="21" spans="1:12" x14ac:dyDescent="0.2">
      <c r="A21" s="54"/>
      <c r="B21" s="54" t="s">
        <v>136</v>
      </c>
      <c r="C21" s="54">
        <f>F9</f>
        <v>5.2754279685181649E-2</v>
      </c>
      <c r="D21" s="54">
        <f>F10</f>
        <v>5.2719865860041917E-2</v>
      </c>
      <c r="E21" s="54">
        <f>F11</f>
        <v>5.2725481787114878E-2</v>
      </c>
      <c r="F21" s="54">
        <f t="shared" si="4"/>
        <v>0.15819962733233844</v>
      </c>
      <c r="G21" s="54">
        <f t="shared" si="5"/>
        <v>1.7577736370259826E-2</v>
      </c>
      <c r="H21" s="51"/>
      <c r="I21" s="51"/>
      <c r="J21" s="51"/>
      <c r="K21" s="51"/>
      <c r="L21" s="51"/>
    </row>
    <row r="22" spans="1:12" x14ac:dyDescent="0.2">
      <c r="A22" s="54"/>
      <c r="B22" s="54" t="s">
        <v>50</v>
      </c>
      <c r="C22" s="54">
        <f>SUM(C19:C21)</f>
        <v>0.15819472989285169</v>
      </c>
      <c r="D22" s="54">
        <f t="shared" ref="D22:E22" si="6">SUM(D19:D21)</f>
        <v>0.15819825095731943</v>
      </c>
      <c r="E22" s="54">
        <f t="shared" si="6"/>
        <v>0.1581961082866512</v>
      </c>
      <c r="F22" s="54"/>
      <c r="G22" s="54"/>
      <c r="H22" s="51"/>
      <c r="I22" s="51"/>
      <c r="J22" s="51"/>
      <c r="K22" s="51"/>
      <c r="L22" s="51"/>
    </row>
    <row r="23" spans="1:12" x14ac:dyDescent="0.2">
      <c r="A23" s="54"/>
      <c r="B23" s="54" t="s">
        <v>93</v>
      </c>
      <c r="C23" s="54">
        <f>C22/9</f>
        <v>1.7577192210316853E-2</v>
      </c>
      <c r="D23" s="54">
        <f t="shared" ref="D23:E23" si="7">D22/9</f>
        <v>1.7577583439702157E-2</v>
      </c>
      <c r="E23" s="54">
        <f t="shared" si="7"/>
        <v>1.7577345365183468E-2</v>
      </c>
      <c r="F23" s="54"/>
      <c r="G23" s="54"/>
      <c r="H23" s="51"/>
      <c r="I23" s="51"/>
      <c r="J23" s="51"/>
      <c r="K23" s="51"/>
      <c r="L23" s="51"/>
    </row>
    <row r="25" spans="1:12" x14ac:dyDescent="0.2">
      <c r="A25" s="127" t="s">
        <v>140</v>
      </c>
      <c r="B25" s="127"/>
      <c r="C25" s="127"/>
      <c r="D25" s="127"/>
      <c r="E25" s="127"/>
      <c r="F25" s="127"/>
      <c r="G25" s="127"/>
      <c r="H25" s="127"/>
      <c r="I25" s="124" t="s">
        <v>218</v>
      </c>
      <c r="J25" s="125"/>
    </row>
    <row r="26" spans="1:12" x14ac:dyDescent="0.2">
      <c r="A26" s="126" t="s">
        <v>141</v>
      </c>
      <c r="B26" s="116" t="s">
        <v>144</v>
      </c>
      <c r="C26" s="116" t="s">
        <v>145</v>
      </c>
      <c r="D26" s="116" t="s">
        <v>146</v>
      </c>
      <c r="E26" s="116" t="s">
        <v>147</v>
      </c>
      <c r="F26" s="116" t="s">
        <v>188</v>
      </c>
      <c r="G26" s="116"/>
      <c r="H26" s="116" t="s">
        <v>171</v>
      </c>
    </row>
    <row r="27" spans="1:12" x14ac:dyDescent="0.2">
      <c r="A27" s="126"/>
      <c r="B27" s="116"/>
      <c r="C27" s="116"/>
      <c r="D27" s="116"/>
      <c r="E27" s="116"/>
      <c r="F27" s="14">
        <v>0.05</v>
      </c>
      <c r="G27" s="2">
        <v>0.01</v>
      </c>
      <c r="H27" s="116"/>
    </row>
    <row r="28" spans="1:12" x14ac:dyDescent="0.2">
      <c r="A28" s="2" t="s">
        <v>142</v>
      </c>
      <c r="B28" s="21">
        <f>3-1</f>
        <v>2</v>
      </c>
      <c r="C28" s="2">
        <f>SUMSQ(C12:E12)/9-B15</f>
        <v>1.9166265796677351E-12</v>
      </c>
      <c r="D28" s="2">
        <f>C28/B28</f>
        <v>9.5831328983386754E-13</v>
      </c>
      <c r="E28" s="2">
        <f>D28/$D$33</f>
        <v>1.7138333523110137E-2</v>
      </c>
      <c r="F28" s="14">
        <f>FINV($F$27,B28,$B$33)</f>
        <v>3.6337234675916301</v>
      </c>
      <c r="G28" s="2">
        <f>FINV($G$27,B28,$B$33)</f>
        <v>6.2262352803113821</v>
      </c>
      <c r="H28" s="2" t="s">
        <v>172</v>
      </c>
    </row>
    <row r="29" spans="1:12" x14ac:dyDescent="0.2">
      <c r="A29" s="2" t="s">
        <v>131</v>
      </c>
      <c r="B29" s="21">
        <f>3*3-1</f>
        <v>8</v>
      </c>
      <c r="C29" s="2">
        <f>SUMSQ(F3:F11)/3-B15</f>
        <v>4.84243306911325E-10</v>
      </c>
      <c r="D29" s="2">
        <f>C29/B29</f>
        <v>6.0530413363915625E-11</v>
      </c>
      <c r="E29" s="2">
        <f t="shared" ref="E29:E32" si="8">D29/$D$33</f>
        <v>1.0825169842968057</v>
      </c>
      <c r="F29" s="14">
        <f t="shared" ref="F29:F32" si="9">FINV($F$27,B29,$B$33)</f>
        <v>2.5910961798744014</v>
      </c>
      <c r="G29" s="2">
        <f t="shared" ref="G29:G32" si="10">FINV($G$27,B29,$B$33)</f>
        <v>3.8895721399261927</v>
      </c>
      <c r="H29" s="2" t="s">
        <v>172</v>
      </c>
    </row>
    <row r="30" spans="1:12" x14ac:dyDescent="0.2">
      <c r="A30" s="2" t="s">
        <v>120</v>
      </c>
      <c r="B30" s="21">
        <f>3-1</f>
        <v>2</v>
      </c>
      <c r="C30" s="2">
        <f>SUMSQ(F19:F21)/9-B15</f>
        <v>3.1280707191161383E-12</v>
      </c>
      <c r="D30" s="2">
        <f>C30/B30</f>
        <v>1.5640353595580692E-12</v>
      </c>
      <c r="E30" s="2">
        <f t="shared" si="8"/>
        <v>2.7970977673377105E-2</v>
      </c>
      <c r="F30" s="14">
        <f t="shared" si="9"/>
        <v>3.6337234675916301</v>
      </c>
      <c r="G30" s="2">
        <f t="shared" si="10"/>
        <v>6.2262352803113821</v>
      </c>
      <c r="H30" s="2" t="s">
        <v>172</v>
      </c>
    </row>
    <row r="31" spans="1:12" x14ac:dyDescent="0.2">
      <c r="A31" s="2" t="s">
        <v>150</v>
      </c>
      <c r="B31" s="21">
        <f>3-1</f>
        <v>2</v>
      </c>
      <c r="C31" s="2">
        <f>SUMSQ(C22:E22)/9-B15</f>
        <v>6.9958622228583067E-13</v>
      </c>
      <c r="D31" s="2">
        <f>C31/B31</f>
        <v>3.4979311114291534E-13</v>
      </c>
      <c r="E31" s="2">
        <f t="shared" si="8"/>
        <v>6.2556484048059925E-3</v>
      </c>
      <c r="F31" s="14">
        <f t="shared" si="9"/>
        <v>3.6337234675916301</v>
      </c>
      <c r="G31" s="2">
        <f t="shared" si="10"/>
        <v>6.2262352803113821</v>
      </c>
      <c r="H31" s="2" t="s">
        <v>172</v>
      </c>
    </row>
    <row r="32" spans="1:12" x14ac:dyDescent="0.2">
      <c r="A32" s="2" t="s">
        <v>154</v>
      </c>
      <c r="B32" s="21">
        <f>(3-1)*(3-1)</f>
        <v>4</v>
      </c>
      <c r="C32" s="2">
        <f>C29-C30-C31</f>
        <v>4.8041564996992303E-10</v>
      </c>
      <c r="D32" s="2">
        <f t="shared" ref="D32:D33" si="11">C32/B32</f>
        <v>1.2010391249248076E-10</v>
      </c>
      <c r="E32" s="2">
        <f t="shared" si="8"/>
        <v>2.1479206555545196</v>
      </c>
      <c r="F32" s="14">
        <f t="shared" si="9"/>
        <v>3.0069172799243447</v>
      </c>
      <c r="G32" s="2">
        <f t="shared" si="10"/>
        <v>4.772577999723211</v>
      </c>
      <c r="H32" s="2" t="s">
        <v>172</v>
      </c>
    </row>
    <row r="33" spans="1:8" x14ac:dyDescent="0.2">
      <c r="A33" s="2" t="s">
        <v>143</v>
      </c>
      <c r="B33" s="21">
        <f>B34-B28-B29</f>
        <v>16</v>
      </c>
      <c r="C33" s="2">
        <f>C34-C28-C29</f>
        <v>8.9466181858732785E-10</v>
      </c>
      <c r="D33" s="2">
        <f t="shared" si="11"/>
        <v>5.5916363661707991E-11</v>
      </c>
      <c r="E33" s="2"/>
      <c r="F33" s="2"/>
      <c r="G33" s="2"/>
      <c r="H33" s="2"/>
    </row>
    <row r="34" spans="1:8" x14ac:dyDescent="0.2">
      <c r="A34" s="2" t="s">
        <v>19</v>
      </c>
      <c r="B34" s="21">
        <f>27-1</f>
        <v>26</v>
      </c>
      <c r="C34" s="2">
        <f>SUMSQ(C3:E11)-B15</f>
        <v>1.3808217520783206E-9</v>
      </c>
      <c r="D34" s="2"/>
      <c r="E34" s="2"/>
      <c r="F34" s="2"/>
      <c r="G34" s="2"/>
      <c r="H34" s="2"/>
    </row>
  </sheetData>
  <mergeCells count="17">
    <mergeCell ref="I25:J25"/>
    <mergeCell ref="H26:H27"/>
    <mergeCell ref="F26:G26"/>
    <mergeCell ref="A26:A27"/>
    <mergeCell ref="A25:H25"/>
    <mergeCell ref="B26:B27"/>
    <mergeCell ref="C26:C27"/>
    <mergeCell ref="D26:D27"/>
    <mergeCell ref="E26:E27"/>
    <mergeCell ref="A13:B13"/>
    <mergeCell ref="A17:G17"/>
    <mergeCell ref="A1:A2"/>
    <mergeCell ref="B1:B2"/>
    <mergeCell ref="C1:E1"/>
    <mergeCell ref="F1:F2"/>
    <mergeCell ref="G1:G2"/>
    <mergeCell ref="A12:B12"/>
  </mergeCells>
  <pageMargins left="0.7" right="0.7" top="0.75" bottom="0.75" header="0.3" footer="0.3"/>
  <pageSetup paperSize="9"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C74D02-8ACC-5F41-A623-DA67D8E6C1B8}">
  <dimension ref="A1:R36"/>
  <sheetViews>
    <sheetView topLeftCell="K15" zoomScale="150" workbookViewId="0">
      <selection activeCell="Q17" sqref="Q17:R25"/>
    </sheetView>
  </sheetViews>
  <sheetFormatPr baseColWidth="10" defaultRowHeight="16" x14ac:dyDescent="0.2"/>
  <cols>
    <col min="1" max="1" width="3.83203125" style="51" bestFit="1" customWidth="1"/>
    <col min="2" max="2" width="12.6640625" style="51" customWidth="1"/>
    <col min="3" max="6" width="12.1640625" style="51" bestFit="1" customWidth="1"/>
    <col min="7" max="7" width="8.33203125" style="51" customWidth="1"/>
    <col min="8" max="16384" width="10.83203125" style="51"/>
  </cols>
  <sheetData>
    <row r="1" spans="1:17" x14ac:dyDescent="0.2">
      <c r="A1" s="118" t="s">
        <v>62</v>
      </c>
      <c r="B1" s="118" t="s">
        <v>60</v>
      </c>
      <c r="C1" s="118" t="s">
        <v>92</v>
      </c>
      <c r="D1" s="118"/>
      <c r="E1" s="118"/>
      <c r="F1" s="118" t="s">
        <v>94</v>
      </c>
      <c r="G1" s="118" t="s">
        <v>93</v>
      </c>
      <c r="K1" s="68" t="s">
        <v>178</v>
      </c>
      <c r="L1" s="68" t="s">
        <v>176</v>
      </c>
      <c r="Q1" s="128"/>
    </row>
    <row r="2" spans="1:17" x14ac:dyDescent="0.2">
      <c r="A2" s="118"/>
      <c r="B2" s="118"/>
      <c r="C2" s="52">
        <v>1</v>
      </c>
      <c r="D2" s="52">
        <v>2</v>
      </c>
      <c r="E2" s="52">
        <v>3</v>
      </c>
      <c r="F2" s="118"/>
      <c r="G2" s="118"/>
      <c r="I2" s="51" t="s">
        <v>174</v>
      </c>
      <c r="J2" s="51">
        <f>SQRT(E33/3)</f>
        <v>1.4272029332740346</v>
      </c>
      <c r="K2" s="51">
        <v>5.03</v>
      </c>
      <c r="L2" s="73">
        <f>J2*K2</f>
        <v>7.178830754368394</v>
      </c>
      <c r="Q2" s="128"/>
    </row>
    <row r="3" spans="1:17" x14ac:dyDescent="0.2">
      <c r="A3" s="52">
        <v>1</v>
      </c>
      <c r="B3" s="52" t="s">
        <v>51</v>
      </c>
      <c r="C3" s="69">
        <f>100-SQRT((100-73.4)^2+(16.49)^2+(4.89)^2)</f>
        <v>68.323633415431004</v>
      </c>
      <c r="D3" s="69">
        <f>100-SQRT((100-73.57)^2+(16.65)^2+(4.23)^2)</f>
        <v>68.477622234355479</v>
      </c>
      <c r="E3" s="69">
        <f>100-SQRT((100-75.6)^2+(16.55)^2+(5)^2)</f>
        <v>70.095777890070437</v>
      </c>
      <c r="F3" s="69">
        <f>SUM(C3:E3)</f>
        <v>206.89703353985692</v>
      </c>
      <c r="G3" s="69">
        <f>AVERAGE(C3:E3)</f>
        <v>68.965677846618973</v>
      </c>
    </row>
    <row r="4" spans="1:17" x14ac:dyDescent="0.2">
      <c r="A4" s="52">
        <v>2</v>
      </c>
      <c r="B4" s="52" t="s">
        <v>53</v>
      </c>
      <c r="C4" s="69">
        <f>100-SQRT((100-74.89)^2+(16.17)^2+(6.05)^2)</f>
        <v>69.527331918586455</v>
      </c>
      <c r="D4" s="69">
        <f>100-SQRT((100-71.95)^2+(17)^2+(5.12)^2)</f>
        <v>66.803360109794255</v>
      </c>
      <c r="E4" s="69">
        <f>100-SQRT((100-73.69)^2+(16.53)^2+(6.38)^2)</f>
        <v>68.27995271125846</v>
      </c>
      <c r="F4" s="69">
        <f t="shared" ref="F4:F11" si="0">SUM(C4:E4)</f>
        <v>204.61064473963918</v>
      </c>
      <c r="G4" s="69">
        <f t="shared" ref="G4:G11" si="1">AVERAGE(C4:E4)</f>
        <v>68.20354824654639</v>
      </c>
      <c r="M4" s="56"/>
    </row>
    <row r="5" spans="1:17" x14ac:dyDescent="0.2">
      <c r="A5" s="52">
        <v>3</v>
      </c>
      <c r="B5" s="52" t="s">
        <v>54</v>
      </c>
      <c r="C5" s="69">
        <f>100-SQRT((100-76.41)^2+(14.65)^2+(5.58)^2)</f>
        <v>71.676034882100282</v>
      </c>
      <c r="D5" s="69">
        <f>100-SQRT((100-73.16)^2+(16.72)^2+(5.42)^2)</f>
        <v>67.916976451712031</v>
      </c>
      <c r="E5" s="69">
        <f>100-SQRT((100-73.45)^2+(16.4)^2+(4.75)^2)</f>
        <v>68.433799721854399</v>
      </c>
      <c r="F5" s="69">
        <f t="shared" si="0"/>
        <v>208.02681105566671</v>
      </c>
      <c r="G5" s="69">
        <f t="shared" si="1"/>
        <v>69.342270351888899</v>
      </c>
      <c r="I5" s="70" t="s">
        <v>131</v>
      </c>
      <c r="J5" s="70" t="s">
        <v>93</v>
      </c>
      <c r="K5" s="70" t="s">
        <v>148</v>
      </c>
      <c r="L5" s="70" t="s">
        <v>179</v>
      </c>
      <c r="M5" s="51" t="s">
        <v>131</v>
      </c>
      <c r="N5" s="51" t="s">
        <v>93</v>
      </c>
      <c r="O5" s="51" t="s">
        <v>148</v>
      </c>
      <c r="P5" s="51" t="s">
        <v>179</v>
      </c>
    </row>
    <row r="6" spans="1:17" x14ac:dyDescent="0.2">
      <c r="A6" s="52">
        <v>4</v>
      </c>
      <c r="B6" s="52" t="s">
        <v>55</v>
      </c>
      <c r="C6" s="69">
        <f>100-SQRT((100-78.07)^2+(13.41)^2+(5.21)^2)</f>
        <v>73.772207489001289</v>
      </c>
      <c r="D6" s="69">
        <f>100-SQRT((100-74.27)^2+(16.29)^2+(4.88)^2)</f>
        <v>69.158284742900562</v>
      </c>
      <c r="E6" s="69">
        <f>100-SQRT((100-74.58)^2+(16.31)^2+(4.5)^2)</f>
        <v>69.464078530360354</v>
      </c>
      <c r="F6" s="69">
        <f t="shared" si="0"/>
        <v>212.39457076226219</v>
      </c>
      <c r="G6" s="69">
        <f t="shared" si="1"/>
        <v>70.798190254087402</v>
      </c>
      <c r="I6" s="54" t="s">
        <v>53</v>
      </c>
      <c r="J6" s="55">
        <v>68.20354824654639</v>
      </c>
      <c r="K6" s="57" t="s">
        <v>151</v>
      </c>
      <c r="L6" s="71">
        <f>J6+L2</f>
        <v>75.382379000914781</v>
      </c>
      <c r="M6" s="72" t="s">
        <v>51</v>
      </c>
      <c r="N6" s="53">
        <v>68.965677846618973</v>
      </c>
      <c r="O6" s="51" t="s">
        <v>180</v>
      </c>
      <c r="P6" s="73">
        <v>75.382379000914781</v>
      </c>
    </row>
    <row r="7" spans="1:17" x14ac:dyDescent="0.2">
      <c r="A7" s="52">
        <v>5</v>
      </c>
      <c r="B7" s="52" t="s">
        <v>52</v>
      </c>
      <c r="C7" s="69">
        <f>100-SQRT((100-75.37)^2+(14.48)^2+(4.78)^2)</f>
        <v>71.031815728285636</v>
      </c>
      <c r="D7" s="69">
        <f>100-SQRT((100-75.95)^2+(15.38)^2+(4.94)^2)</f>
        <v>71.02845361393355</v>
      </c>
      <c r="E7" s="69">
        <f>100-SQRT((100-75.17)^2+(16.28)^2+(4.71)^2)</f>
        <v>69.937541684020587</v>
      </c>
      <c r="F7" s="69">
        <f t="shared" si="0"/>
        <v>211.99781102623979</v>
      </c>
      <c r="G7" s="69">
        <f t="shared" si="1"/>
        <v>70.665937008746596</v>
      </c>
      <c r="I7" s="54" t="s">
        <v>51</v>
      </c>
      <c r="J7" s="55">
        <v>68.965677846618973</v>
      </c>
      <c r="K7" s="57" t="s">
        <v>180</v>
      </c>
      <c r="L7" s="71">
        <f>J7+L2</f>
        <v>76.144508600987365</v>
      </c>
      <c r="M7" s="72" t="s">
        <v>53</v>
      </c>
      <c r="N7" s="53">
        <v>68.20354824654639</v>
      </c>
      <c r="O7" s="51" t="s">
        <v>151</v>
      </c>
      <c r="P7" s="73">
        <v>76.144508600987365</v>
      </c>
    </row>
    <row r="8" spans="1:17" x14ac:dyDescent="0.2">
      <c r="A8" s="52">
        <v>6</v>
      </c>
      <c r="B8" s="52" t="s">
        <v>56</v>
      </c>
      <c r="C8" s="69">
        <f>100-SQRT((100-74.52)^2+(16.34)^2+(5.71)^2)</f>
        <v>69.196914115627948</v>
      </c>
      <c r="D8" s="69">
        <f>100-SQRT((100-77.46)^2+(15.75)^2+(7.47)^2)</f>
        <v>71.505877799096879</v>
      </c>
      <c r="E8" s="69">
        <f>100-SQRT((100-80.29)^2+(12.52)^2+(8.3)^2)</f>
        <v>75.218464535061599</v>
      </c>
      <c r="F8" s="69">
        <f t="shared" si="0"/>
        <v>215.92125644978643</v>
      </c>
      <c r="G8" s="69">
        <f t="shared" si="1"/>
        <v>71.973752149928814</v>
      </c>
      <c r="I8" s="54" t="s">
        <v>54</v>
      </c>
      <c r="J8" s="55">
        <v>69.342270351888899</v>
      </c>
      <c r="K8" s="57" t="s">
        <v>180</v>
      </c>
      <c r="L8" s="71">
        <f>J8+L2</f>
        <v>76.521101106257291</v>
      </c>
      <c r="M8" s="72" t="s">
        <v>54</v>
      </c>
      <c r="N8" s="53">
        <v>69.342270351888899</v>
      </c>
      <c r="O8" s="51" t="s">
        <v>180</v>
      </c>
      <c r="P8" s="51">
        <v>76.521101106257291</v>
      </c>
    </row>
    <row r="9" spans="1:17" x14ac:dyDescent="0.2">
      <c r="A9" s="52">
        <v>7</v>
      </c>
      <c r="B9" s="52" t="s">
        <v>57</v>
      </c>
      <c r="C9" s="69">
        <f>100-SQRT((100-74.44)^2+(14.4)^2+(5.33)^2)</f>
        <v>70.182513519748184</v>
      </c>
      <c r="D9" s="69">
        <f>100-SQRT((100-80.34)^2+(11.18)^2+(5.82)^2)</f>
        <v>76.646619088448887</v>
      </c>
      <c r="E9" s="69">
        <f>100-SQRT((100-84.43)^2+(9.68)^2+(6.89)^2)</f>
        <v>80.41430624154458</v>
      </c>
      <c r="F9" s="69">
        <f t="shared" si="0"/>
        <v>227.24343884974166</v>
      </c>
      <c r="G9" s="69">
        <f t="shared" si="1"/>
        <v>75.747812949913893</v>
      </c>
      <c r="I9" s="54" t="s">
        <v>52</v>
      </c>
      <c r="J9" s="55">
        <v>70.665937008746596</v>
      </c>
      <c r="K9" s="57" t="s">
        <v>189</v>
      </c>
      <c r="L9" s="71">
        <f>J9+L2</f>
        <v>77.844767763114987</v>
      </c>
      <c r="M9" s="72" t="s">
        <v>55</v>
      </c>
      <c r="N9" s="53">
        <v>70.798190254087402</v>
      </c>
      <c r="O9" s="51" t="s">
        <v>189</v>
      </c>
      <c r="P9" s="51">
        <v>77.844767763114987</v>
      </c>
    </row>
    <row r="10" spans="1:17" x14ac:dyDescent="0.2">
      <c r="A10" s="52">
        <v>8</v>
      </c>
      <c r="B10" s="52" t="s">
        <v>58</v>
      </c>
      <c r="C10" s="69">
        <f>100-SQRT((100-83.61)^2+(10.21)^2+(8.91)^2)</f>
        <v>78.733493469777414</v>
      </c>
      <c r="D10" s="69">
        <f>100-SQRT((100-81.4)^2+(11.59)^2+(7.59)^2)</f>
        <v>76.807410666335684</v>
      </c>
      <c r="E10" s="69">
        <f>100-SQRT((100-81.37)^2+(10.44)^2+(8.1)^2)</f>
        <v>77.159673820192495</v>
      </c>
      <c r="F10" s="69">
        <f t="shared" si="0"/>
        <v>232.70057795630561</v>
      </c>
      <c r="G10" s="69">
        <f t="shared" si="1"/>
        <v>77.566859318768536</v>
      </c>
      <c r="I10" s="54" t="s">
        <v>55</v>
      </c>
      <c r="J10" s="55">
        <v>70.798190254087402</v>
      </c>
      <c r="K10" s="57" t="s">
        <v>189</v>
      </c>
      <c r="L10" s="60"/>
      <c r="M10" s="72" t="s">
        <v>52</v>
      </c>
      <c r="N10" s="53">
        <v>70.665937008746596</v>
      </c>
      <c r="O10" s="51" t="s">
        <v>189</v>
      </c>
      <c r="P10" s="73"/>
    </row>
    <row r="11" spans="1:17" x14ac:dyDescent="0.2">
      <c r="A11" s="52">
        <v>9</v>
      </c>
      <c r="B11" s="52" t="s">
        <v>59</v>
      </c>
      <c r="C11" s="88">
        <f>100-SQRT((100-82.1)^2+(9.88)^2+(8.72)^2)</f>
        <v>77.772476521213605</v>
      </c>
      <c r="D11" s="88">
        <f>100-SQRT((100-79.36)^2+(12.38)^2+(7.29)^2)</f>
        <v>74.85207563237077</v>
      </c>
      <c r="E11" s="88">
        <f>100-SQRT((100-82.68)^2+(10.46)^2+(8.56)^2)</f>
        <v>78.030302687565325</v>
      </c>
      <c r="F11" s="88">
        <f t="shared" si="0"/>
        <v>230.6548548411497</v>
      </c>
      <c r="G11" s="88">
        <f t="shared" si="1"/>
        <v>76.884951613716566</v>
      </c>
      <c r="I11" s="54" t="s">
        <v>56</v>
      </c>
      <c r="J11" s="55">
        <v>71.973752149928814</v>
      </c>
      <c r="K11" s="57" t="s">
        <v>189</v>
      </c>
      <c r="L11" s="60"/>
      <c r="M11" s="72" t="s">
        <v>56</v>
      </c>
      <c r="N11" s="53">
        <v>71.973752149928814</v>
      </c>
      <c r="O11" s="51" t="s">
        <v>189</v>
      </c>
    </row>
    <row r="12" spans="1:17" x14ac:dyDescent="0.2">
      <c r="A12" s="118" t="s">
        <v>50</v>
      </c>
      <c r="B12" s="118"/>
      <c r="C12" s="69">
        <f>SUM(C3:C11)</f>
        <v>650.21642105977185</v>
      </c>
      <c r="D12" s="69">
        <f t="shared" ref="D12:E12" si="2">SUM(D3:D11)</f>
        <v>643.19668033894811</v>
      </c>
      <c r="E12" s="69">
        <f t="shared" si="2"/>
        <v>657.03389782192812</v>
      </c>
      <c r="F12" s="69">
        <f>SUM(F3:F11)</f>
        <v>1950.4469992206482</v>
      </c>
      <c r="G12" s="69"/>
      <c r="I12" s="54" t="s">
        <v>57</v>
      </c>
      <c r="J12" s="55">
        <v>75.747812949913893</v>
      </c>
      <c r="K12" s="57" t="s">
        <v>190</v>
      </c>
      <c r="L12" s="60"/>
      <c r="M12" s="72" t="s">
        <v>57</v>
      </c>
      <c r="N12" s="53">
        <v>75.747812949913893</v>
      </c>
      <c r="O12" s="51" t="s">
        <v>190</v>
      </c>
    </row>
    <row r="13" spans="1:17" x14ac:dyDescent="0.2">
      <c r="A13" s="118" t="s">
        <v>93</v>
      </c>
      <c r="B13" s="118"/>
      <c r="C13" s="69">
        <f>SUM(C3:C12)/9</f>
        <v>144.49253801328263</v>
      </c>
      <c r="D13" s="69">
        <f t="shared" ref="D13:E13" si="3">SUM(D3:D12)/9</f>
        <v>142.93259563087736</v>
      </c>
      <c r="E13" s="69">
        <f t="shared" si="3"/>
        <v>146.00753284931736</v>
      </c>
      <c r="F13" s="69">
        <f>SUM(C12:E12)</f>
        <v>1950.446999220648</v>
      </c>
      <c r="G13" s="69"/>
      <c r="I13" s="54" t="s">
        <v>58</v>
      </c>
      <c r="J13" s="55">
        <v>76.884951613716566</v>
      </c>
      <c r="K13" s="57" t="s">
        <v>191</v>
      </c>
      <c r="L13" s="60"/>
      <c r="M13" s="72" t="s">
        <v>58</v>
      </c>
      <c r="N13" s="53">
        <v>76.884951613716566</v>
      </c>
      <c r="O13" s="51" t="s">
        <v>191</v>
      </c>
    </row>
    <row r="14" spans="1:17" x14ac:dyDescent="0.2">
      <c r="I14" s="54" t="s">
        <v>59</v>
      </c>
      <c r="J14" s="55">
        <v>77.566859318768536</v>
      </c>
      <c r="K14" s="57" t="s">
        <v>191</v>
      </c>
      <c r="L14" s="60"/>
      <c r="M14" s="72" t="s">
        <v>59</v>
      </c>
      <c r="N14" s="53">
        <v>77.566859318768536</v>
      </c>
      <c r="O14" s="51" t="s">
        <v>191</v>
      </c>
    </row>
    <row r="15" spans="1:17" x14ac:dyDescent="0.2">
      <c r="B15" s="51" t="s">
        <v>132</v>
      </c>
      <c r="C15" s="51">
        <f>F13^2/27</f>
        <v>140897.90728773444</v>
      </c>
    </row>
    <row r="17" spans="1:18" x14ac:dyDescent="0.2">
      <c r="A17" s="129" t="s">
        <v>133</v>
      </c>
      <c r="B17" s="130"/>
      <c r="C17" s="130"/>
      <c r="D17" s="130"/>
      <c r="E17" s="130"/>
      <c r="F17" s="130"/>
      <c r="G17" s="131"/>
      <c r="L17" s="120" t="s">
        <v>215</v>
      </c>
      <c r="M17" s="121" t="s">
        <v>214</v>
      </c>
      <c r="N17" s="121"/>
      <c r="O17" s="121"/>
      <c r="Q17" s="132" t="s">
        <v>274</v>
      </c>
      <c r="R17" s="132"/>
    </row>
    <row r="18" spans="1:18" x14ac:dyDescent="0.2">
      <c r="A18" s="54"/>
      <c r="B18" s="54"/>
      <c r="C18" s="54" t="s">
        <v>137</v>
      </c>
      <c r="D18" s="54" t="s">
        <v>138</v>
      </c>
      <c r="E18" s="54" t="s">
        <v>139</v>
      </c>
      <c r="F18" s="54" t="s">
        <v>19</v>
      </c>
      <c r="G18" s="60" t="s">
        <v>93</v>
      </c>
      <c r="H18" s="72"/>
      <c r="L18" s="120"/>
      <c r="M18" s="57" t="s">
        <v>137</v>
      </c>
      <c r="N18" s="54" t="s">
        <v>138</v>
      </c>
      <c r="O18" s="54" t="s">
        <v>139</v>
      </c>
      <c r="Q18" s="59" t="s">
        <v>131</v>
      </c>
      <c r="R18" s="59" t="s">
        <v>219</v>
      </c>
    </row>
    <row r="19" spans="1:18" x14ac:dyDescent="0.2">
      <c r="A19" s="54"/>
      <c r="B19" s="54" t="s">
        <v>134</v>
      </c>
      <c r="C19" s="69">
        <f>F3</f>
        <v>206.89703353985692</v>
      </c>
      <c r="D19" s="69">
        <f>F4</f>
        <v>204.61064473963918</v>
      </c>
      <c r="E19" s="69">
        <f>F5</f>
        <v>208.02681105566671</v>
      </c>
      <c r="F19" s="69">
        <f>SUM(C19:E19)</f>
        <v>619.53448933516279</v>
      </c>
      <c r="G19" s="69">
        <f>F19/9</f>
        <v>68.83716548168475</v>
      </c>
      <c r="L19" s="54" t="s">
        <v>134</v>
      </c>
      <c r="M19" s="54">
        <v>68.323633415431004</v>
      </c>
      <c r="N19" s="54">
        <v>69.527331918586455</v>
      </c>
      <c r="O19" s="54">
        <v>71.676034882100282</v>
      </c>
      <c r="Q19" s="54" t="s">
        <v>134</v>
      </c>
      <c r="R19" s="55">
        <f>AVERAGE(C3:E5)</f>
        <v>68.83716548168475</v>
      </c>
    </row>
    <row r="20" spans="1:18" x14ac:dyDescent="0.2">
      <c r="A20" s="54"/>
      <c r="B20" s="54" t="s">
        <v>135</v>
      </c>
      <c r="C20" s="69">
        <f>F6</f>
        <v>212.39457076226219</v>
      </c>
      <c r="D20" s="69">
        <f>F7</f>
        <v>211.99781102623979</v>
      </c>
      <c r="E20" s="69">
        <f>F8</f>
        <v>215.92125644978643</v>
      </c>
      <c r="F20" s="69">
        <f t="shared" ref="F20:F21" si="4">SUM(C20:E20)</f>
        <v>640.31363823828838</v>
      </c>
      <c r="G20" s="69">
        <f t="shared" ref="G20:G21" si="5">F20/9</f>
        <v>71.145959804254261</v>
      </c>
      <c r="L20" s="54"/>
      <c r="M20" s="54">
        <v>68.477622234355479</v>
      </c>
      <c r="N20" s="54">
        <v>66.803360109794255</v>
      </c>
      <c r="O20" s="54">
        <v>67.916976451712031</v>
      </c>
      <c r="Q20" s="69" t="s">
        <v>135</v>
      </c>
      <c r="R20" s="69">
        <f>AVERAGE(C6:E8)</f>
        <v>71.145959804254261</v>
      </c>
    </row>
    <row r="21" spans="1:18" x14ac:dyDescent="0.2">
      <c r="A21" s="54"/>
      <c r="B21" s="54" t="s">
        <v>136</v>
      </c>
      <c r="C21" s="69">
        <f>F9</f>
        <v>227.24343884974166</v>
      </c>
      <c r="D21" s="69">
        <f>F10</f>
        <v>232.70057795630561</v>
      </c>
      <c r="E21" s="69">
        <f>F11</f>
        <v>230.6548548411497</v>
      </c>
      <c r="F21" s="69">
        <f t="shared" si="4"/>
        <v>690.59887164719703</v>
      </c>
      <c r="G21" s="69">
        <f t="shared" si="5"/>
        <v>76.733207960799675</v>
      </c>
      <c r="L21" s="54"/>
      <c r="M21" s="54">
        <v>70.095777890070437</v>
      </c>
      <c r="N21" s="54">
        <v>68.27995271125846</v>
      </c>
      <c r="O21" s="54">
        <v>68.433799721854399</v>
      </c>
      <c r="Q21" s="69" t="s">
        <v>136</v>
      </c>
      <c r="R21" s="69">
        <f>AVERAGE(C9:E11)</f>
        <v>76.733207960799675</v>
      </c>
    </row>
    <row r="22" spans="1:18" x14ac:dyDescent="0.2">
      <c r="A22" s="54"/>
      <c r="B22" s="54" t="s">
        <v>50</v>
      </c>
      <c r="C22" s="69">
        <f>SUM(C19:C21)</f>
        <v>646.5350431518608</v>
      </c>
      <c r="D22" s="69">
        <f t="shared" ref="D22:E22" si="6">SUM(D19:D21)</f>
        <v>649.30903372218449</v>
      </c>
      <c r="E22" s="69">
        <f t="shared" si="6"/>
        <v>654.60292234660278</v>
      </c>
      <c r="F22" s="69"/>
      <c r="G22" s="69"/>
      <c r="L22" s="54" t="s">
        <v>135</v>
      </c>
      <c r="M22" s="54">
        <v>73.772207489001289</v>
      </c>
      <c r="N22" s="54">
        <v>71.031815728285636</v>
      </c>
      <c r="O22" s="54">
        <v>69.196914115627948</v>
      </c>
      <c r="Q22" s="69"/>
      <c r="R22" s="69"/>
    </row>
    <row r="23" spans="1:18" x14ac:dyDescent="0.2">
      <c r="A23" s="54"/>
      <c r="B23" s="54" t="s">
        <v>93</v>
      </c>
      <c r="C23" s="69">
        <f>C22/9</f>
        <v>71.837227016873427</v>
      </c>
      <c r="D23" s="69">
        <f t="shared" ref="D23:E23" si="7">D22/9</f>
        <v>72.145448191353836</v>
      </c>
      <c r="E23" s="69">
        <f t="shared" si="7"/>
        <v>72.733658038511422</v>
      </c>
      <c r="F23" s="69"/>
      <c r="G23" s="69"/>
      <c r="L23" s="54"/>
      <c r="M23" s="54">
        <v>69.158284742900562</v>
      </c>
      <c r="N23" s="54">
        <v>71.02845361393355</v>
      </c>
      <c r="O23" s="54">
        <v>71.505877799096879</v>
      </c>
      <c r="Q23" s="69" t="s">
        <v>137</v>
      </c>
      <c r="R23" s="69">
        <f>AVERAGE(C3:E3,C6:E6,C9:E9)</f>
        <v>71.837227016873413</v>
      </c>
    </row>
    <row r="24" spans="1:18" x14ac:dyDescent="0.2">
      <c r="L24" s="54"/>
      <c r="M24" s="54">
        <v>69.464078530360354</v>
      </c>
      <c r="N24" s="54">
        <v>69.937541684020587</v>
      </c>
      <c r="O24" s="54">
        <v>75.218464535061599</v>
      </c>
      <c r="Q24" s="69" t="s">
        <v>138</v>
      </c>
      <c r="R24" s="69">
        <f>AVERAGE(C4:E4,C7:E7,C10:E10)</f>
        <v>72.145448191353836</v>
      </c>
    </row>
    <row r="25" spans="1:18" x14ac:dyDescent="0.2">
      <c r="A25" s="129" t="s">
        <v>140</v>
      </c>
      <c r="B25" s="130"/>
      <c r="C25" s="130"/>
      <c r="D25" s="130"/>
      <c r="E25" s="130"/>
      <c r="F25" s="130"/>
      <c r="G25" s="130"/>
      <c r="H25" s="130"/>
      <c r="I25" s="131"/>
      <c r="L25" s="54" t="s">
        <v>136</v>
      </c>
      <c r="M25" s="54">
        <v>70.182513519748184</v>
      </c>
      <c r="N25" s="54">
        <v>78.733493469777414</v>
      </c>
      <c r="O25" s="54">
        <v>77.772476521213605</v>
      </c>
      <c r="Q25" s="69" t="s">
        <v>139</v>
      </c>
      <c r="R25" s="69">
        <f>AVERAGE(C5:E5,C8:E8,C11:E11)</f>
        <v>72.733658038511422</v>
      </c>
    </row>
    <row r="26" spans="1:18" x14ac:dyDescent="0.2">
      <c r="A26" s="54"/>
      <c r="B26" s="121" t="s">
        <v>141</v>
      </c>
      <c r="C26" s="121" t="s">
        <v>144</v>
      </c>
      <c r="D26" s="121" t="s">
        <v>145</v>
      </c>
      <c r="E26" s="121" t="s">
        <v>146</v>
      </c>
      <c r="F26" s="121" t="s">
        <v>147</v>
      </c>
      <c r="G26" s="121" t="s">
        <v>188</v>
      </c>
      <c r="H26" s="121"/>
      <c r="I26" s="121" t="s">
        <v>171</v>
      </c>
      <c r="L26" s="54"/>
      <c r="M26" s="54">
        <v>76.646619088448887</v>
      </c>
      <c r="N26" s="54">
        <v>76.807410666335684</v>
      </c>
      <c r="O26" s="54">
        <v>74.85207563237077</v>
      </c>
    </row>
    <row r="27" spans="1:18" x14ac:dyDescent="0.2">
      <c r="A27" s="54"/>
      <c r="B27" s="121"/>
      <c r="C27" s="121"/>
      <c r="D27" s="121"/>
      <c r="E27" s="121"/>
      <c r="F27" s="121"/>
      <c r="G27" s="59">
        <v>0.05</v>
      </c>
      <c r="H27" s="54">
        <v>0.01</v>
      </c>
      <c r="I27" s="121"/>
      <c r="L27" s="54"/>
      <c r="M27" s="54">
        <v>80.41430624154458</v>
      </c>
      <c r="N27" s="54">
        <v>77.159673820192495</v>
      </c>
      <c r="O27" s="54">
        <v>78.030302687565325</v>
      </c>
    </row>
    <row r="28" spans="1:18" x14ac:dyDescent="0.2">
      <c r="A28" s="54"/>
      <c r="B28" s="54" t="s">
        <v>142</v>
      </c>
      <c r="C28" s="57">
        <f>3-1</f>
        <v>2</v>
      </c>
      <c r="D28" s="54">
        <f>SUMSQ(C12:E12)/9-C15</f>
        <v>10.637901365262223</v>
      </c>
      <c r="E28" s="54">
        <f>D28/C28</f>
        <v>5.3189506826311117</v>
      </c>
      <c r="F28" s="54">
        <f>E28/$E$33</f>
        <v>0.87042879486790048</v>
      </c>
      <c r="G28" s="59">
        <f>FINV(G27,C28,C33)</f>
        <v>3.6337234675916301</v>
      </c>
      <c r="H28" s="54">
        <f>FINV(H27,D28,D33)</f>
        <v>2.509145056774607</v>
      </c>
      <c r="I28" s="54" t="s">
        <v>172</v>
      </c>
    </row>
    <row r="29" spans="1:18" x14ac:dyDescent="0.2">
      <c r="A29" s="54"/>
      <c r="B29" s="54" t="s">
        <v>131</v>
      </c>
      <c r="C29" s="57">
        <f>3*3-1</f>
        <v>8</v>
      </c>
      <c r="D29" s="54">
        <f>SUMSQ(F3:F11)/3-C15</f>
        <v>306.88226081812172</v>
      </c>
      <c r="E29" s="54">
        <f>D29/C29</f>
        <v>38.360282602265215</v>
      </c>
      <c r="F29" s="54">
        <f>E29/$E$33</f>
        <v>6.2775341507330742</v>
      </c>
      <c r="G29" s="59">
        <f>FINV(G27,C29,C33)</f>
        <v>2.5910961798744014</v>
      </c>
      <c r="H29" s="54">
        <f>FINV(H27,D29,D33)</f>
        <v>1.4963573784779309</v>
      </c>
      <c r="I29" s="54" t="s">
        <v>173</v>
      </c>
    </row>
    <row r="30" spans="1:18" x14ac:dyDescent="0.2">
      <c r="A30" s="54"/>
      <c r="B30" s="54" t="s">
        <v>120</v>
      </c>
      <c r="C30" s="57">
        <f>3-1</f>
        <v>2</v>
      </c>
      <c r="D30" s="54">
        <f>SUMSQ(F19:F21)/9-C15</f>
        <v>296.68608005624264</v>
      </c>
      <c r="E30" s="54">
        <f t="shared" ref="E30:E33" si="8">D30/C30</f>
        <v>148.34304002812132</v>
      </c>
      <c r="F30" s="54">
        <f>E30/$E$33</f>
        <v>24.275850870428808</v>
      </c>
      <c r="G30" s="59">
        <f>FINV(G27,C30,C33)</f>
        <v>3.6337234675916301</v>
      </c>
      <c r="H30" s="54">
        <f>FINV(H27,D30,D33)</f>
        <v>1.4982932702115994</v>
      </c>
      <c r="I30" s="54" t="s">
        <v>173</v>
      </c>
    </row>
    <row r="31" spans="1:18" x14ac:dyDescent="0.2">
      <c r="A31" s="54"/>
      <c r="B31" s="54" t="s">
        <v>150</v>
      </c>
      <c r="C31" s="57">
        <f>3-1</f>
        <v>2</v>
      </c>
      <c r="D31" s="54">
        <f>SUMSQ(C22:E22)/9-C15</f>
        <v>3.7337390797620174</v>
      </c>
      <c r="E31" s="54">
        <f t="shared" si="8"/>
        <v>1.8668695398810087</v>
      </c>
      <c r="F31" s="54">
        <f t="shared" ref="F31" si="9">E31/$E$33</f>
        <v>0.30550706346658496</v>
      </c>
      <c r="G31" s="59">
        <f>FINV(G27,C31,C33)</f>
        <v>3.6337234675916301</v>
      </c>
      <c r="H31" s="54">
        <f>FINV(H27,D31,D33)</f>
        <v>3.9901564291591129</v>
      </c>
      <c r="I31" s="54" t="s">
        <v>172</v>
      </c>
    </row>
    <row r="32" spans="1:18" x14ac:dyDescent="0.2">
      <c r="A32" s="54"/>
      <c r="B32" s="54" t="s">
        <v>154</v>
      </c>
      <c r="C32" s="57">
        <f>(3-1)*(3-1)</f>
        <v>4</v>
      </c>
      <c r="D32" s="54">
        <f>D29-D30-D31</f>
        <v>6.4624416821170598</v>
      </c>
      <c r="E32" s="54">
        <f t="shared" si="8"/>
        <v>1.615610420529265</v>
      </c>
      <c r="F32" s="54">
        <f>E32/$E$33</f>
        <v>0.26438933451845281</v>
      </c>
      <c r="G32" s="59">
        <f>FINV(G27,C32,C33)</f>
        <v>3.0069172799243447</v>
      </c>
      <c r="H32" s="54">
        <f>FINV(H27,D32,D33)</f>
        <v>2.9936309016020521</v>
      </c>
      <c r="I32" s="54" t="s">
        <v>172</v>
      </c>
    </row>
    <row r="33" spans="1:9" x14ac:dyDescent="0.2">
      <c r="A33" s="54"/>
      <c r="B33" s="54" t="s">
        <v>143</v>
      </c>
      <c r="C33" s="57">
        <f>C34-C28-C29</f>
        <v>16</v>
      </c>
      <c r="D33" s="54">
        <f>D34-D28-D29</f>
        <v>97.771594211808406</v>
      </c>
      <c r="E33" s="54">
        <f t="shared" si="8"/>
        <v>6.1107246382380254</v>
      </c>
      <c r="F33" s="54"/>
      <c r="G33" s="54"/>
      <c r="H33" s="54"/>
      <c r="I33" s="54"/>
    </row>
    <row r="34" spans="1:9" x14ac:dyDescent="0.2">
      <c r="A34" s="54"/>
      <c r="B34" s="54" t="s">
        <v>19</v>
      </c>
      <c r="C34" s="57">
        <f>27-1</f>
        <v>26</v>
      </c>
      <c r="D34" s="54">
        <f>SUMSQ(C3:E11)-C15</f>
        <v>415.29175639519235</v>
      </c>
      <c r="E34" s="54"/>
      <c r="F34" s="54"/>
      <c r="G34" s="54"/>
      <c r="H34" s="54"/>
      <c r="I34" s="54"/>
    </row>
    <row r="36" spans="1:9" x14ac:dyDescent="0.2">
      <c r="B36" s="51" t="s">
        <v>149</v>
      </c>
    </row>
  </sheetData>
  <sortState xmlns:xlrd2="http://schemas.microsoft.com/office/spreadsheetml/2017/richdata2" ref="M6:O14">
    <sortCondition ref="M6:M14"/>
  </sortState>
  <mergeCells count="20">
    <mergeCell ref="E26:E27"/>
    <mergeCell ref="F26:F27"/>
    <mergeCell ref="G26:H26"/>
    <mergeCell ref="A25:I25"/>
    <mergeCell ref="Q1:Q2"/>
    <mergeCell ref="I26:I27"/>
    <mergeCell ref="G1:G2"/>
    <mergeCell ref="A12:B12"/>
    <mergeCell ref="A13:B13"/>
    <mergeCell ref="A1:A2"/>
    <mergeCell ref="B1:B2"/>
    <mergeCell ref="C1:E1"/>
    <mergeCell ref="F1:F2"/>
    <mergeCell ref="A17:G17"/>
    <mergeCell ref="B26:B27"/>
    <mergeCell ref="C26:C27"/>
    <mergeCell ref="L17:L18"/>
    <mergeCell ref="Q17:R17"/>
    <mergeCell ref="M17:O17"/>
    <mergeCell ref="D26:D27"/>
  </mergeCells>
  <conditionalFormatting sqref="I6:I14">
    <cfRule type="colorScale" priority="3">
      <colorScale>
        <cfvo type="min"/>
        <cfvo type="max"/>
        <color rgb="FFFF7128"/>
        <color rgb="FFFFEF9C"/>
      </colorScale>
    </cfRule>
    <cfRule type="colorScale" priority="4">
      <colorScale>
        <cfvo type="min"/>
        <cfvo type="max"/>
        <color rgb="FFF8696B"/>
        <color rgb="FFFCFCFF"/>
      </colorScale>
    </cfRule>
  </conditionalFormatting>
  <conditionalFormatting sqref="M6:M14">
    <cfRule type="colorScale" priority="1">
      <colorScale>
        <cfvo type="min"/>
        <cfvo type="max"/>
        <color rgb="FFFF7128"/>
        <color rgb="FFFFEF9C"/>
      </colorScale>
    </cfRule>
    <cfRule type="colorScale" priority="2">
      <colorScale>
        <cfvo type="min"/>
        <cfvo type="max"/>
        <color rgb="FFF8696B"/>
        <color rgb="FFFCFCFF"/>
      </colorScale>
    </cfRule>
  </conditionalFormatting>
  <pageMargins left="0.7" right="0.7" top="0.75" bottom="0.75" header="0.3" footer="0.3"/>
  <pageSetup paperSize="9"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D9D403-490B-5C4C-AAFC-0495E892AD00}">
  <dimension ref="A1:R35"/>
  <sheetViews>
    <sheetView topLeftCell="A7" zoomScale="178" workbookViewId="0">
      <selection activeCell="J7" sqref="J7"/>
    </sheetView>
  </sheetViews>
  <sheetFormatPr baseColWidth="10" defaultRowHeight="16" x14ac:dyDescent="0.2"/>
  <cols>
    <col min="1" max="1" width="3.83203125" bestFit="1" customWidth="1"/>
    <col min="2" max="2" width="13.1640625" bestFit="1" customWidth="1"/>
    <col min="3" max="3" width="9.33203125" customWidth="1"/>
    <col min="4" max="4" width="9.1640625" customWidth="1"/>
    <col min="5" max="5" width="7.1640625" bestFit="1" customWidth="1"/>
    <col min="6" max="6" width="7.83203125" bestFit="1" customWidth="1"/>
    <col min="8" max="8" width="11.6640625" bestFit="1" customWidth="1"/>
    <col min="9" max="9" width="9.1640625" bestFit="1" customWidth="1"/>
    <col min="10" max="10" width="8.6640625" customWidth="1"/>
    <col min="11" max="11" width="8.5" customWidth="1"/>
    <col min="12" max="12" width="13.33203125" customWidth="1"/>
    <col min="13" max="13" width="10" bestFit="1" customWidth="1"/>
    <col min="14" max="14" width="11.5" bestFit="1" customWidth="1"/>
    <col min="15" max="15" width="6.6640625" bestFit="1" customWidth="1"/>
    <col min="16" max="16" width="7.1640625" customWidth="1"/>
    <col min="17" max="17" width="8" customWidth="1"/>
    <col min="18" max="18" width="8.33203125" bestFit="1" customWidth="1"/>
    <col min="19" max="19" width="5.33203125" bestFit="1" customWidth="1"/>
    <col min="20" max="20" width="6.1640625" bestFit="1" customWidth="1"/>
  </cols>
  <sheetData>
    <row r="1" spans="1:18" ht="34" x14ac:dyDescent="0.2">
      <c r="A1" s="118" t="s">
        <v>62</v>
      </c>
      <c r="B1" s="118" t="s">
        <v>60</v>
      </c>
      <c r="C1" s="118" t="s">
        <v>92</v>
      </c>
      <c r="D1" s="118"/>
      <c r="E1" s="118"/>
      <c r="F1" s="118" t="s">
        <v>94</v>
      </c>
      <c r="G1" s="118" t="s">
        <v>93</v>
      </c>
      <c r="H1" s="51"/>
      <c r="I1" s="51"/>
      <c r="J1" s="51"/>
      <c r="K1" s="184" t="s">
        <v>178</v>
      </c>
      <c r="L1" s="70" t="s">
        <v>176</v>
      </c>
      <c r="Q1" s="137" t="s">
        <v>175</v>
      </c>
    </row>
    <row r="2" spans="1:18" x14ac:dyDescent="0.2">
      <c r="A2" s="118"/>
      <c r="B2" s="118"/>
      <c r="C2" s="52">
        <v>1</v>
      </c>
      <c r="D2" s="52">
        <v>2</v>
      </c>
      <c r="E2" s="52">
        <v>3</v>
      </c>
      <c r="F2" s="118"/>
      <c r="G2" s="118"/>
      <c r="H2" s="51"/>
      <c r="I2" s="51" t="s">
        <v>174</v>
      </c>
      <c r="J2" s="51">
        <f>SQRT(E32/3)</f>
        <v>2.4673017200532583</v>
      </c>
      <c r="K2" s="54">
        <v>5.03</v>
      </c>
      <c r="L2" s="55">
        <f>J2*K2</f>
        <v>12.41052765186789</v>
      </c>
      <c r="Q2" s="171"/>
    </row>
    <row r="3" spans="1:18" x14ac:dyDescent="0.2">
      <c r="A3" s="52">
        <v>1</v>
      </c>
      <c r="B3" s="52" t="s">
        <v>51</v>
      </c>
      <c r="C3" s="54">
        <v>7.31</v>
      </c>
      <c r="D3" s="54">
        <v>9.69</v>
      </c>
      <c r="E3" s="54">
        <v>6.83</v>
      </c>
      <c r="F3" s="54">
        <f>SUM(C3:E3)</f>
        <v>23.83</v>
      </c>
      <c r="G3" s="54">
        <f>AVERAGE(C3:E3)</f>
        <v>7.9433333333333325</v>
      </c>
      <c r="H3" s="56"/>
      <c r="I3" s="51"/>
      <c r="J3" s="51"/>
      <c r="K3" s="51"/>
      <c r="L3" s="51"/>
      <c r="M3" s="51"/>
      <c r="N3" s="183"/>
      <c r="O3" s="183"/>
      <c r="Q3" s="172"/>
    </row>
    <row r="4" spans="1:18" x14ac:dyDescent="0.2">
      <c r="A4" s="52">
        <v>2</v>
      </c>
      <c r="B4" s="52" t="s">
        <v>53</v>
      </c>
      <c r="C4" s="54">
        <v>8.44</v>
      </c>
      <c r="D4" s="54">
        <v>10.29</v>
      </c>
      <c r="E4" s="54">
        <v>7.27</v>
      </c>
      <c r="F4" s="54">
        <f t="shared" ref="F4:F11" si="0">SUM(C4:E4)</f>
        <v>25.999999999999996</v>
      </c>
      <c r="G4" s="54">
        <f t="shared" ref="G4:G11" si="1">AVERAGE(C4:E4)</f>
        <v>8.6666666666666661</v>
      </c>
      <c r="H4" s="51"/>
      <c r="I4" s="51"/>
      <c r="J4" s="51"/>
      <c r="K4" s="51"/>
      <c r="L4" s="51"/>
      <c r="M4" s="56"/>
      <c r="N4" s="178"/>
      <c r="O4" s="178"/>
      <c r="Q4" s="172"/>
      <c r="R4" s="24"/>
    </row>
    <row r="5" spans="1:18" x14ac:dyDescent="0.2">
      <c r="A5" s="52">
        <v>3</v>
      </c>
      <c r="B5" s="52" t="s">
        <v>54</v>
      </c>
      <c r="C5" s="54">
        <v>11.03</v>
      </c>
      <c r="D5" s="54">
        <v>9.36</v>
      </c>
      <c r="E5" s="54">
        <v>10.210000000000001</v>
      </c>
      <c r="F5" s="54">
        <f t="shared" si="0"/>
        <v>30.6</v>
      </c>
      <c r="G5" s="54">
        <f t="shared" si="1"/>
        <v>10.200000000000001</v>
      </c>
      <c r="H5" s="51"/>
      <c r="I5" s="178"/>
      <c r="J5" s="178"/>
      <c r="K5" s="178"/>
      <c r="L5" s="178"/>
      <c r="M5" s="178"/>
      <c r="N5" s="178"/>
      <c r="O5" s="179"/>
    </row>
    <row r="6" spans="1:18" x14ac:dyDescent="0.2">
      <c r="A6" s="52">
        <v>4</v>
      </c>
      <c r="B6" s="52" t="s">
        <v>55</v>
      </c>
      <c r="C6" s="54">
        <v>12.12</v>
      </c>
      <c r="D6" s="54">
        <v>10.99</v>
      </c>
      <c r="E6" s="54">
        <v>13.68</v>
      </c>
      <c r="F6" s="54">
        <f t="shared" si="0"/>
        <v>36.79</v>
      </c>
      <c r="G6" s="54">
        <f t="shared" si="1"/>
        <v>12.263333333333334</v>
      </c>
      <c r="H6" s="51"/>
      <c r="I6" s="178" t="s">
        <v>131</v>
      </c>
      <c r="J6" s="179"/>
      <c r="K6" s="180"/>
      <c r="L6" s="178"/>
      <c r="M6" s="178"/>
      <c r="N6" s="181"/>
      <c r="O6" s="181"/>
      <c r="P6" s="67"/>
    </row>
    <row r="7" spans="1:18" x14ac:dyDescent="0.2">
      <c r="A7" s="52">
        <v>5</v>
      </c>
      <c r="B7" s="52" t="s">
        <v>52</v>
      </c>
      <c r="C7" s="54">
        <v>12.02</v>
      </c>
      <c r="D7" s="54">
        <v>15.83</v>
      </c>
      <c r="E7" s="54">
        <v>14.51</v>
      </c>
      <c r="F7" s="54">
        <f t="shared" si="0"/>
        <v>42.36</v>
      </c>
      <c r="G7" s="54">
        <f t="shared" si="1"/>
        <v>14.12</v>
      </c>
      <c r="H7" s="51"/>
      <c r="I7" s="178" t="s">
        <v>134</v>
      </c>
      <c r="J7" s="179"/>
      <c r="K7" s="180"/>
      <c r="L7" s="178"/>
      <c r="M7" s="178"/>
      <c r="N7" s="181"/>
      <c r="O7" s="181"/>
      <c r="P7" s="67"/>
    </row>
    <row r="8" spans="1:18" x14ac:dyDescent="0.2">
      <c r="A8" s="52">
        <v>6</v>
      </c>
      <c r="B8" s="52" t="s">
        <v>56</v>
      </c>
      <c r="C8" s="54">
        <v>17.440000000000001</v>
      </c>
      <c r="D8" s="54">
        <v>19.03</v>
      </c>
      <c r="E8" s="54">
        <v>15.93</v>
      </c>
      <c r="F8" s="54">
        <f t="shared" si="0"/>
        <v>52.4</v>
      </c>
      <c r="G8" s="54">
        <f t="shared" si="1"/>
        <v>17.466666666666665</v>
      </c>
      <c r="H8" s="51"/>
      <c r="I8" s="178" t="s">
        <v>135</v>
      </c>
      <c r="J8" s="178"/>
      <c r="K8" s="180"/>
      <c r="L8" s="178"/>
      <c r="M8" s="178"/>
      <c r="N8" s="181"/>
      <c r="O8" s="181"/>
    </row>
    <row r="9" spans="1:18" x14ac:dyDescent="0.2">
      <c r="A9" s="52">
        <v>7</v>
      </c>
      <c r="B9" s="52" t="s">
        <v>57</v>
      </c>
      <c r="C9" s="54">
        <v>11.33</v>
      </c>
      <c r="D9" s="54">
        <v>19.82</v>
      </c>
      <c r="E9" s="54">
        <v>26.86</v>
      </c>
      <c r="F9" s="54">
        <f t="shared" si="0"/>
        <v>58.01</v>
      </c>
      <c r="G9" s="54">
        <f t="shared" si="1"/>
        <v>19.336666666666666</v>
      </c>
      <c r="H9" s="51"/>
      <c r="I9" s="178" t="s">
        <v>136</v>
      </c>
      <c r="J9" s="179"/>
      <c r="K9" s="180"/>
      <c r="L9" s="178"/>
      <c r="M9" s="178"/>
      <c r="N9" s="181"/>
      <c r="O9" s="181"/>
      <c r="R9" s="24"/>
    </row>
    <row r="10" spans="1:18" x14ac:dyDescent="0.2">
      <c r="A10" s="52">
        <v>8</v>
      </c>
      <c r="B10" s="52" t="s">
        <v>58</v>
      </c>
      <c r="C10" s="54">
        <v>23.92</v>
      </c>
      <c r="D10" s="54">
        <v>14.36</v>
      </c>
      <c r="E10" s="54">
        <v>27.22</v>
      </c>
      <c r="F10" s="54">
        <f t="shared" si="0"/>
        <v>65.5</v>
      </c>
      <c r="G10" s="54">
        <f t="shared" si="1"/>
        <v>21.833333333333332</v>
      </c>
      <c r="H10" s="51"/>
      <c r="I10" s="178"/>
      <c r="J10" s="178"/>
      <c r="K10" s="180"/>
      <c r="L10" s="178"/>
      <c r="M10" s="178"/>
      <c r="N10" s="181"/>
      <c r="O10" s="181"/>
      <c r="P10" s="67"/>
    </row>
    <row r="11" spans="1:18" x14ac:dyDescent="0.2">
      <c r="A11" s="52">
        <v>9</v>
      </c>
      <c r="B11" s="52" t="s">
        <v>59</v>
      </c>
      <c r="C11" s="185">
        <v>30.89</v>
      </c>
      <c r="D11" s="185">
        <v>18.47</v>
      </c>
      <c r="E11" s="185">
        <v>24.8</v>
      </c>
      <c r="F11" s="185">
        <f t="shared" si="0"/>
        <v>74.16</v>
      </c>
      <c r="G11" s="185">
        <f t="shared" si="1"/>
        <v>24.72</v>
      </c>
      <c r="H11" s="51"/>
      <c r="I11" s="178"/>
      <c r="J11" s="179"/>
      <c r="K11" s="180"/>
      <c r="L11" s="178"/>
      <c r="M11" s="178"/>
      <c r="N11" s="181"/>
      <c r="O11" s="181"/>
    </row>
    <row r="12" spans="1:18" x14ac:dyDescent="0.2">
      <c r="A12" s="118" t="s">
        <v>94</v>
      </c>
      <c r="B12" s="118"/>
      <c r="C12" s="54">
        <f>SUM(C3:C11)</f>
        <v>134.5</v>
      </c>
      <c r="D12" s="54">
        <f t="shared" ref="D12" si="2">SUM(D3:D11)</f>
        <v>127.83999999999999</v>
      </c>
      <c r="E12" s="54">
        <f>SUM(E3:E11)</f>
        <v>147.31</v>
      </c>
      <c r="F12" s="54">
        <f>SUM(F3:F11)</f>
        <v>409.65</v>
      </c>
      <c r="G12" s="54"/>
      <c r="H12" s="51"/>
      <c r="I12" s="178"/>
      <c r="J12" s="179"/>
      <c r="K12" s="180"/>
      <c r="L12" s="178"/>
      <c r="M12" s="178"/>
      <c r="N12" s="181"/>
      <c r="O12" s="182"/>
    </row>
    <row r="13" spans="1:18" x14ac:dyDescent="0.2">
      <c r="A13" s="51"/>
      <c r="B13" s="51"/>
      <c r="C13" s="51"/>
      <c r="D13" s="51"/>
      <c r="E13" s="51"/>
      <c r="F13" s="51"/>
      <c r="G13" s="51"/>
      <c r="H13" s="51"/>
      <c r="I13" s="178"/>
      <c r="J13" s="179"/>
      <c r="K13" s="180"/>
      <c r="L13" s="178"/>
      <c r="M13" s="178"/>
      <c r="N13" s="178"/>
      <c r="O13" s="182"/>
    </row>
    <row r="14" spans="1:18" x14ac:dyDescent="0.2">
      <c r="A14" s="51"/>
      <c r="B14" s="54" t="s">
        <v>132</v>
      </c>
      <c r="C14" s="52">
        <f>F12^2/27</f>
        <v>6215.3008333333319</v>
      </c>
      <c r="D14" s="51"/>
      <c r="E14" s="51"/>
      <c r="F14" s="51"/>
      <c r="G14" s="51"/>
      <c r="H14" s="51"/>
      <c r="I14" s="178"/>
      <c r="J14" s="178"/>
      <c r="K14" s="180"/>
      <c r="L14" s="178"/>
      <c r="M14" s="178"/>
      <c r="N14" s="178"/>
      <c r="O14" s="182"/>
    </row>
    <row r="15" spans="1:18" ht="16" customHeight="1" x14ac:dyDescent="0.2">
      <c r="I15" s="25"/>
    </row>
    <row r="16" spans="1:18" x14ac:dyDescent="0.2">
      <c r="A16" s="139" t="s">
        <v>133</v>
      </c>
      <c r="B16" s="140"/>
      <c r="C16" s="140"/>
      <c r="D16" s="140"/>
      <c r="E16" s="140"/>
      <c r="F16" s="140"/>
      <c r="G16" s="141"/>
      <c r="I16" s="25"/>
    </row>
    <row r="17" spans="1:15" x14ac:dyDescent="0.2">
      <c r="A17" s="2"/>
      <c r="B17" s="2"/>
      <c r="C17" s="2" t="s">
        <v>137</v>
      </c>
      <c r="D17" s="2" t="s">
        <v>138</v>
      </c>
      <c r="E17" s="2" t="s">
        <v>139</v>
      </c>
      <c r="F17" s="2" t="s">
        <v>19</v>
      </c>
      <c r="G17" s="2" t="s">
        <v>93</v>
      </c>
      <c r="L17" s="174"/>
      <c r="M17" s="174"/>
      <c r="N17" s="174"/>
      <c r="O17" s="174"/>
    </row>
    <row r="18" spans="1:15" x14ac:dyDescent="0.2">
      <c r="A18" s="2"/>
      <c r="B18" s="2" t="s">
        <v>134</v>
      </c>
      <c r="C18" s="2">
        <f>F3</f>
        <v>23.83</v>
      </c>
      <c r="D18" s="2">
        <f>F4</f>
        <v>25.999999999999996</v>
      </c>
      <c r="E18" s="2">
        <f>F5</f>
        <v>30.6</v>
      </c>
      <c r="F18" s="2">
        <f>SUM(C18:E18)</f>
        <v>80.430000000000007</v>
      </c>
      <c r="G18" s="2">
        <f>F18/(3*3)</f>
        <v>8.9366666666666674</v>
      </c>
      <c r="L18" s="174"/>
      <c r="M18" s="173"/>
      <c r="N18" s="174"/>
      <c r="O18" s="174"/>
    </row>
    <row r="19" spans="1:15" x14ac:dyDescent="0.2">
      <c r="A19" s="2"/>
      <c r="B19" s="2" t="s">
        <v>135</v>
      </c>
      <c r="C19" s="2">
        <f>F6</f>
        <v>36.79</v>
      </c>
      <c r="D19" s="2">
        <f>F7</f>
        <v>42.36</v>
      </c>
      <c r="E19" s="2">
        <f>F8</f>
        <v>52.4</v>
      </c>
      <c r="F19" s="2">
        <f t="shared" ref="F19:F20" si="3">SUM(C19:E19)</f>
        <v>131.55000000000001</v>
      </c>
      <c r="G19" s="2">
        <f t="shared" ref="G19:G20" si="4">F19/(3*3)</f>
        <v>14.616666666666667</v>
      </c>
      <c r="L19" s="174"/>
      <c r="M19" s="174"/>
      <c r="N19" s="174"/>
      <c r="O19" s="174"/>
    </row>
    <row r="20" spans="1:15" x14ac:dyDescent="0.2">
      <c r="A20" s="2"/>
      <c r="B20" s="2" t="s">
        <v>136</v>
      </c>
      <c r="C20" s="2">
        <f>F9</f>
        <v>58.01</v>
      </c>
      <c r="D20" s="2">
        <f>F10</f>
        <v>65.5</v>
      </c>
      <c r="E20" s="2">
        <f>F11</f>
        <v>74.16</v>
      </c>
      <c r="F20" s="2">
        <f t="shared" si="3"/>
        <v>197.67</v>
      </c>
      <c r="G20" s="2">
        <f t="shared" si="4"/>
        <v>21.963333333333331</v>
      </c>
      <c r="L20" s="174"/>
      <c r="M20" s="174"/>
      <c r="N20" s="174"/>
      <c r="O20" s="174"/>
    </row>
    <row r="21" spans="1:15" x14ac:dyDescent="0.2">
      <c r="A21" s="2"/>
      <c r="B21" s="2" t="s">
        <v>50</v>
      </c>
      <c r="C21" s="2">
        <f>SUM(C18:C20)</f>
        <v>118.63</v>
      </c>
      <c r="D21" s="2">
        <f t="shared" ref="D21:E21" si="5">SUM(D18:D20)</f>
        <v>133.86000000000001</v>
      </c>
      <c r="E21" s="2">
        <f t="shared" si="5"/>
        <v>157.16</v>
      </c>
      <c r="F21" s="2"/>
      <c r="G21" s="2"/>
      <c r="L21" s="174"/>
      <c r="M21" s="174"/>
      <c r="N21" s="174"/>
      <c r="O21" s="174"/>
    </row>
    <row r="22" spans="1:15" x14ac:dyDescent="0.2">
      <c r="A22" s="2"/>
      <c r="B22" s="2" t="s">
        <v>93</v>
      </c>
      <c r="C22" s="2">
        <f>C21/(3*3)</f>
        <v>13.181111111111111</v>
      </c>
      <c r="D22" s="2">
        <f t="shared" ref="D22:E22" si="6">D21/(3*3)</f>
        <v>14.873333333333335</v>
      </c>
      <c r="E22" s="2">
        <f t="shared" si="6"/>
        <v>17.462222222222223</v>
      </c>
      <c r="F22" s="2"/>
      <c r="G22" s="2"/>
      <c r="L22" s="174"/>
      <c r="M22" s="174"/>
      <c r="N22" s="174"/>
      <c r="O22" s="174"/>
    </row>
    <row r="23" spans="1:15" x14ac:dyDescent="0.2">
      <c r="L23" s="174"/>
      <c r="M23" s="174"/>
      <c r="N23" s="174"/>
      <c r="O23" s="174"/>
    </row>
    <row r="24" spans="1:15" x14ac:dyDescent="0.2">
      <c r="A24" s="135" t="s">
        <v>140</v>
      </c>
      <c r="B24" s="136"/>
      <c r="C24" s="136"/>
      <c r="D24" s="136"/>
      <c r="E24" s="136"/>
      <c r="F24" s="136"/>
      <c r="G24" s="136"/>
      <c r="H24" s="136"/>
      <c r="I24" s="136"/>
      <c r="L24" s="174"/>
      <c r="M24" s="174"/>
      <c r="N24" s="174"/>
      <c r="O24" s="174"/>
    </row>
    <row r="25" spans="1:15" x14ac:dyDescent="0.2">
      <c r="A25" s="28"/>
      <c r="B25" s="138" t="s">
        <v>141</v>
      </c>
      <c r="C25" s="138" t="s">
        <v>144</v>
      </c>
      <c r="D25" s="138" t="s">
        <v>145</v>
      </c>
      <c r="E25" s="138" t="s">
        <v>146</v>
      </c>
      <c r="F25" s="138" t="s">
        <v>147</v>
      </c>
      <c r="G25" s="138" t="s">
        <v>170</v>
      </c>
      <c r="H25" s="138"/>
      <c r="I25" s="133" t="s">
        <v>171</v>
      </c>
      <c r="L25" s="174"/>
      <c r="M25" s="174"/>
      <c r="N25" s="174"/>
      <c r="O25" s="174"/>
    </row>
    <row r="26" spans="1:15" x14ac:dyDescent="0.2">
      <c r="A26" s="28"/>
      <c r="B26" s="138"/>
      <c r="C26" s="138"/>
      <c r="D26" s="138"/>
      <c r="E26" s="138"/>
      <c r="F26" s="138"/>
      <c r="G26" s="14">
        <v>0.05</v>
      </c>
      <c r="H26" s="28">
        <v>0.01</v>
      </c>
      <c r="I26" s="134"/>
      <c r="L26" s="174"/>
      <c r="M26" s="174"/>
      <c r="N26" s="174"/>
      <c r="O26" s="174"/>
    </row>
    <row r="27" spans="1:15" x14ac:dyDescent="0.2">
      <c r="A27" s="2"/>
      <c r="B27" s="2" t="s">
        <v>142</v>
      </c>
      <c r="C27" s="21">
        <f>3-1</f>
        <v>2</v>
      </c>
      <c r="D27" s="2">
        <f>SUMSQ(C12:E12)/9-C14</f>
        <v>21.760466666668435</v>
      </c>
      <c r="E27" s="2">
        <f>D27/C27</f>
        <v>10.880233333334218</v>
      </c>
      <c r="F27" s="2">
        <f>E27/E32</f>
        <v>0.59576149608862328</v>
      </c>
      <c r="G27" s="14">
        <f>FINV(G26,C27,$C32)</f>
        <v>3.6337234675916301</v>
      </c>
      <c r="H27" s="2">
        <f>FINV(H26,C27,C32)</f>
        <v>6.2262352803113821</v>
      </c>
      <c r="I27" s="2" t="s">
        <v>172</v>
      </c>
      <c r="L27" s="174"/>
      <c r="M27" s="174"/>
      <c r="N27" s="174"/>
      <c r="O27" s="174"/>
    </row>
    <row r="28" spans="1:15" x14ac:dyDescent="0.2">
      <c r="A28" s="2"/>
      <c r="B28" s="2" t="s">
        <v>131</v>
      </c>
      <c r="C28" s="21">
        <f>3*3-1</f>
        <v>8</v>
      </c>
      <c r="D28" s="2">
        <f>SUMSQ(F3:F11)/3-C14</f>
        <v>861.02526666666745</v>
      </c>
      <c r="E28" s="2">
        <f t="shared" ref="E28:E31" si="7">D28/C28</f>
        <v>107.62815833333343</v>
      </c>
      <c r="F28" s="2">
        <f>E28/E32</f>
        <v>5.8933214633808166</v>
      </c>
      <c r="G28" s="14">
        <f>FINV(G26,C28,$C32)</f>
        <v>2.5910961798744014</v>
      </c>
      <c r="H28" s="2">
        <f>FINV(H26,C28,C32)</f>
        <v>3.8895721399261927</v>
      </c>
      <c r="I28" s="2" t="s">
        <v>173</v>
      </c>
    </row>
    <row r="29" spans="1:15" x14ac:dyDescent="0.2">
      <c r="A29" s="2"/>
      <c r="B29" s="2" t="s">
        <v>120</v>
      </c>
      <c r="C29" s="21">
        <f>3-1</f>
        <v>2</v>
      </c>
      <c r="D29" s="2">
        <f>SUMSQ(F18:F20)/9-C14</f>
        <v>767.78986666666788</v>
      </c>
      <c r="E29" s="2">
        <f t="shared" si="7"/>
        <v>383.89493333333394</v>
      </c>
      <c r="F29" s="2">
        <f>E29/$E$32</f>
        <v>21.020672334553861</v>
      </c>
      <c r="G29" s="14">
        <f>FINV(G26,C29,C32)</f>
        <v>3.6337234675916301</v>
      </c>
      <c r="H29" s="2">
        <f>FINV(H26,C29,C32)</f>
        <v>6.2262352803113821</v>
      </c>
      <c r="I29" s="2" t="s">
        <v>173</v>
      </c>
    </row>
    <row r="30" spans="1:15" x14ac:dyDescent="0.2">
      <c r="A30" s="2"/>
      <c r="B30" s="2" t="s">
        <v>150</v>
      </c>
      <c r="C30" s="21">
        <f>3-1</f>
        <v>2</v>
      </c>
      <c r="D30" s="2">
        <f>SUMSQ(C21:E21)/9-C14</f>
        <v>83.681622222224178</v>
      </c>
      <c r="E30" s="2">
        <f t="shared" si="7"/>
        <v>41.840811111112089</v>
      </c>
      <c r="F30" s="2">
        <f>E30/$E$32</f>
        <v>2.2910486807987209</v>
      </c>
      <c r="G30" s="14">
        <f>FINV(G26,C30,C32)</f>
        <v>3.6337234675916301</v>
      </c>
      <c r="H30" s="2">
        <f>FINV(H26,C30,C32)</f>
        <v>6.2262352803113821</v>
      </c>
      <c r="I30" s="2" t="s">
        <v>172</v>
      </c>
    </row>
    <row r="31" spans="1:15" x14ac:dyDescent="0.2">
      <c r="A31" s="2"/>
      <c r="B31" s="2" t="s">
        <v>154</v>
      </c>
      <c r="C31" s="21">
        <f>(3-1)*(3-1)</f>
        <v>4</v>
      </c>
      <c r="D31" s="2">
        <f>D28-D29-D30</f>
        <v>9.5537777777753945</v>
      </c>
      <c r="E31" s="2">
        <f t="shared" si="7"/>
        <v>2.3884444444438486</v>
      </c>
      <c r="F31" s="2">
        <f>E31/$E$32</f>
        <v>0.13078241908534244</v>
      </c>
      <c r="G31" s="14">
        <f>FINV(G26,C31,C32)</f>
        <v>3.0069172799243447</v>
      </c>
      <c r="H31" s="2">
        <f>FINV(H26,C31,C32)</f>
        <v>4.772577999723211</v>
      </c>
      <c r="I31" s="2" t="s">
        <v>172</v>
      </c>
    </row>
    <row r="32" spans="1:15" x14ac:dyDescent="0.2">
      <c r="A32" s="2"/>
      <c r="B32" s="2" t="s">
        <v>143</v>
      </c>
      <c r="C32" s="21">
        <f>C33-C27-C28</f>
        <v>16</v>
      </c>
      <c r="D32" s="2">
        <f>D33-D27-D28</f>
        <v>292.20373333333282</v>
      </c>
      <c r="E32" s="2">
        <f>D32/C32</f>
        <v>18.262733333333301</v>
      </c>
      <c r="F32" s="2"/>
      <c r="G32" s="2" t="s">
        <v>177</v>
      </c>
      <c r="H32" s="2"/>
      <c r="I32" s="2"/>
    </row>
    <row r="33" spans="1:9" x14ac:dyDescent="0.2">
      <c r="A33" s="2"/>
      <c r="B33" s="2" t="s">
        <v>19</v>
      </c>
      <c r="C33" s="21">
        <f>27-1</f>
        <v>26</v>
      </c>
      <c r="D33" s="2">
        <f>SUMSQ(C3:E11)-C14</f>
        <v>1174.9894666666687</v>
      </c>
      <c r="E33" s="2"/>
      <c r="F33" s="2"/>
      <c r="G33" s="2"/>
      <c r="H33" s="2"/>
      <c r="I33" s="2"/>
    </row>
    <row r="35" spans="1:9" x14ac:dyDescent="0.2">
      <c r="C35" t="s">
        <v>149</v>
      </c>
    </row>
  </sheetData>
  <sortState xmlns:xlrd2="http://schemas.microsoft.com/office/spreadsheetml/2017/richdata2" ref="I6:J14">
    <sortCondition ref="J6:J14"/>
  </sortState>
  <mergeCells count="17">
    <mergeCell ref="Q1:Q2"/>
    <mergeCell ref="C25:C26"/>
    <mergeCell ref="B25:B26"/>
    <mergeCell ref="A16:G16"/>
    <mergeCell ref="G25:H25"/>
    <mergeCell ref="F25:F26"/>
    <mergeCell ref="E25:E26"/>
    <mergeCell ref="D25:D26"/>
    <mergeCell ref="G1:G2"/>
    <mergeCell ref="A12:B12"/>
    <mergeCell ref="C1:E1"/>
    <mergeCell ref="B1:B2"/>
    <mergeCell ref="A1:A2"/>
    <mergeCell ref="F1:F2"/>
    <mergeCell ref="N3:O3"/>
    <mergeCell ref="I25:I26"/>
    <mergeCell ref="A24:I24"/>
  </mergeCells>
  <conditionalFormatting sqref="M6:M12">
    <cfRule type="colorScale" priority="1">
      <colorScale>
        <cfvo type="min"/>
        <cfvo type="max"/>
        <color rgb="FFFF7128"/>
        <color rgb="FFFFEF9C"/>
      </colorScale>
    </cfRule>
    <cfRule type="colorScale" priority="2">
      <colorScale>
        <cfvo type="min"/>
        <cfvo type="max"/>
        <color rgb="FFF8696B"/>
        <color rgb="FFFCFCFF"/>
      </colorScale>
    </cfRule>
  </conditionalFormatting>
  <pageMargins left="0.7" right="0.7" top="0.75" bottom="0.75" header="0.3" footer="0.3"/>
  <pageSetup paperSize="9"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5F8EA3-C3E2-6A4E-8F03-50F66E711A65}">
  <dimension ref="A1:AC11"/>
  <sheetViews>
    <sheetView zoomScale="150" workbookViewId="0">
      <selection activeCell="J7" sqref="J7"/>
    </sheetView>
  </sheetViews>
  <sheetFormatPr baseColWidth="10" defaultRowHeight="16" x14ac:dyDescent="0.2"/>
  <sheetData>
    <row r="1" spans="1:29" x14ac:dyDescent="0.2">
      <c r="A1" s="2" t="s">
        <v>192</v>
      </c>
      <c r="B1" s="2" t="s">
        <v>193</v>
      </c>
      <c r="C1" t="s">
        <v>168</v>
      </c>
      <c r="D1" s="29"/>
      <c r="AA1" s="74"/>
      <c r="AC1" s="74"/>
    </row>
    <row r="2" spans="1:29" x14ac:dyDescent="0.2">
      <c r="A2" s="2" t="s">
        <v>169</v>
      </c>
      <c r="B2" s="2">
        <v>0</v>
      </c>
      <c r="C2">
        <v>0.124</v>
      </c>
      <c r="D2" s="29"/>
      <c r="AA2" s="74"/>
      <c r="AC2" s="74"/>
    </row>
    <row r="3" spans="1:29" x14ac:dyDescent="0.2">
      <c r="A3" s="2">
        <v>1</v>
      </c>
      <c r="B3" s="2">
        <v>0.2</v>
      </c>
      <c r="C3">
        <v>0.36599999999999999</v>
      </c>
      <c r="AA3" s="74"/>
      <c r="AC3" s="74"/>
    </row>
    <row r="4" spans="1:29" x14ac:dyDescent="0.2">
      <c r="A4" s="2">
        <v>2</v>
      </c>
      <c r="B4" s="2">
        <v>0.4</v>
      </c>
      <c r="C4">
        <v>0.52600000000000002</v>
      </c>
      <c r="AA4" s="74"/>
      <c r="AC4" s="74"/>
    </row>
    <row r="5" spans="1:29" x14ac:dyDescent="0.2">
      <c r="A5" s="2">
        <v>3</v>
      </c>
      <c r="B5" s="2">
        <v>0.6</v>
      </c>
      <c r="C5">
        <v>0.63300000000000001</v>
      </c>
      <c r="AA5" s="74"/>
      <c r="AC5" s="74"/>
    </row>
    <row r="6" spans="1:29" x14ac:dyDescent="0.2">
      <c r="A6" s="2">
        <v>4</v>
      </c>
      <c r="B6" s="2">
        <v>0.8</v>
      </c>
      <c r="C6">
        <v>0.8</v>
      </c>
      <c r="AA6" s="74"/>
      <c r="AC6" s="74"/>
    </row>
    <row r="7" spans="1:29" x14ac:dyDescent="0.2">
      <c r="A7" s="2">
        <v>5</v>
      </c>
      <c r="B7" s="2">
        <v>1</v>
      </c>
      <c r="C7">
        <v>0.99250000000000005</v>
      </c>
      <c r="AA7" s="74"/>
      <c r="AC7" s="74"/>
    </row>
    <row r="8" spans="1:29" x14ac:dyDescent="0.2">
      <c r="AA8" s="74"/>
      <c r="AC8" s="74"/>
    </row>
    <row r="9" spans="1:29" x14ac:dyDescent="0.2">
      <c r="AA9" s="74"/>
      <c r="AC9" s="74"/>
    </row>
    <row r="10" spans="1:29" x14ac:dyDescent="0.2">
      <c r="AA10" s="74"/>
      <c r="AC10" s="74"/>
    </row>
    <row r="11" spans="1:29" x14ac:dyDescent="0.2">
      <c r="AA11" s="74"/>
      <c r="AC11" s="7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pengeluaran</vt:lpstr>
      <vt:lpstr>done list</vt:lpstr>
      <vt:lpstr>data mentah</vt:lpstr>
      <vt:lpstr>uji kadar air</vt:lpstr>
      <vt:lpstr>uji abu</vt:lpstr>
      <vt:lpstr>uji vitamin c</vt:lpstr>
      <vt:lpstr>uji warna</vt:lpstr>
      <vt:lpstr>uji tekstur</vt:lpstr>
      <vt:lpstr>kurva standar</vt:lpstr>
      <vt:lpstr>uji gula total</vt:lpstr>
      <vt:lpstr>uji orlep (warna)</vt:lpstr>
      <vt:lpstr>uji orlep (rasa)</vt:lpstr>
      <vt:lpstr>uji orlep (aroma)</vt:lpstr>
      <vt:lpstr>uji orlep (tekstur)</vt:lpstr>
      <vt:lpstr>perlakuan terbaik sidang</vt:lpstr>
      <vt:lpstr>Sheet1</vt:lpstr>
      <vt:lpstr>perlakuan terbaik orlep LoA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Zidny Maziya</dc:creator>
  <cp:lastModifiedBy>Zidny Maziya</cp:lastModifiedBy>
  <dcterms:created xsi:type="dcterms:W3CDTF">2024-08-14T16:45:22Z</dcterms:created>
  <dcterms:modified xsi:type="dcterms:W3CDTF">2025-04-23T06:57:28Z</dcterms:modified>
</cp:coreProperties>
</file>