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IMA\skripsi\"/>
    </mc:Choice>
  </mc:AlternateContent>
  <xr:revisionPtr revIDLastSave="0" documentId="13_ncr:1_{C1D9005E-FFD5-42EE-BFD9-0C73070650BE}" xr6:coauthVersionLast="47" xr6:coauthVersionMax="47" xr10:uidLastSave="{00000000-0000-0000-0000-000000000000}"/>
  <bookViews>
    <workbookView xWindow="-120" yWindow="-120" windowWidth="20730" windowHeight="11160" activeTab="1" xr2:uid="{0D1D6CA6-4DEC-4345-9705-757A5E3C3398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D5" i="1"/>
  <c r="D16" i="1"/>
  <c r="D4" i="1"/>
  <c r="D12" i="1"/>
  <c r="D15" i="1"/>
  <c r="D18" i="1"/>
  <c r="D3" i="1"/>
  <c r="D17" i="1"/>
  <c r="D9" i="1"/>
  <c r="D13" i="1"/>
  <c r="D10" i="1"/>
  <c r="D8" i="1"/>
  <c r="D6" i="1"/>
  <c r="D19" i="1"/>
  <c r="D14" i="1"/>
  <c r="D11" i="1"/>
  <c r="D7" i="1"/>
  <c r="M12" i="1"/>
  <c r="E14" i="1" l="1"/>
  <c r="I19" i="1" s="1"/>
  <c r="E8" i="1"/>
  <c r="E2" i="1"/>
  <c r="I15" i="1" s="1"/>
  <c r="H4" i="1"/>
  <c r="H20" i="1"/>
  <c r="H19" i="1"/>
  <c r="H18" i="1"/>
  <c r="H17" i="1"/>
  <c r="H16" i="1"/>
  <c r="H15" i="1"/>
  <c r="C22" i="1"/>
  <c r="C23" i="1" s="1"/>
  <c r="I17" i="1" l="1"/>
  <c r="D20" i="2" l="1"/>
  <c r="D21" i="2" s="1"/>
  <c r="B7" i="2" l="1"/>
  <c r="B30" i="2" s="1"/>
  <c r="L7" i="1"/>
  <c r="E11" i="1" l="1"/>
  <c r="H6" i="1"/>
  <c r="E17" i="1"/>
  <c r="I20" i="1" s="1"/>
  <c r="F16" i="1"/>
  <c r="F10" i="1"/>
  <c r="E5" i="1"/>
  <c r="B14" i="2"/>
  <c r="G16" i="2" s="1"/>
  <c r="H5" i="1"/>
  <c r="F7" i="1" l="1"/>
  <c r="I16" i="1"/>
  <c r="D22" i="1"/>
  <c r="E22" i="1" s="1"/>
  <c r="B16" i="2"/>
  <c r="G14" i="2" s="1"/>
  <c r="B15" i="2"/>
  <c r="G15" i="2" s="1"/>
  <c r="F13" i="1"/>
  <c r="I18" i="1"/>
  <c r="F19" i="1"/>
  <c r="C7" i="2"/>
  <c r="H7" i="1"/>
  <c r="I5" i="1" s="1"/>
  <c r="F7" i="2"/>
  <c r="B6" i="2"/>
  <c r="B5" i="2"/>
  <c r="B4" i="2"/>
  <c r="B3" i="2"/>
  <c r="B2" i="2"/>
  <c r="F4" i="1"/>
  <c r="G17" i="2" l="1"/>
  <c r="H14" i="2" s="1"/>
  <c r="H8" i="1"/>
  <c r="H10" i="1" s="1"/>
  <c r="I4" i="1"/>
  <c r="I6" i="1"/>
  <c r="F5" i="2"/>
  <c r="B28" i="2"/>
  <c r="F4" i="2"/>
  <c r="B27" i="2"/>
  <c r="F6" i="2"/>
  <c r="B29" i="2"/>
  <c r="F3" i="2"/>
  <c r="B26" i="2"/>
  <c r="E7" i="2"/>
  <c r="C30" i="2"/>
  <c r="F2" i="2"/>
  <c r="B25" i="2"/>
  <c r="C6" i="2"/>
  <c r="C3" i="2"/>
  <c r="G7" i="2"/>
  <c r="H7" i="2" s="1"/>
  <c r="I7" i="2" s="1"/>
  <c r="C5" i="2"/>
  <c r="C4" i="2"/>
  <c r="C27" i="2" s="1"/>
  <c r="C2" i="2"/>
  <c r="B8" i="2"/>
  <c r="H15" i="2" l="1"/>
  <c r="H16" i="2"/>
  <c r="F8" i="2"/>
  <c r="E5" i="2"/>
  <c r="C28" i="2"/>
  <c r="E3" i="2"/>
  <c r="C26" i="2"/>
  <c r="D27" i="2"/>
  <c r="E27" i="2"/>
  <c r="G6" i="2"/>
  <c r="H6" i="2" s="1"/>
  <c r="I6" i="2" s="1"/>
  <c r="C29" i="2"/>
  <c r="E30" i="2"/>
  <c r="D30" i="2"/>
  <c r="E2" i="2"/>
  <c r="C25" i="2"/>
  <c r="B31" i="2"/>
  <c r="B32" i="2"/>
  <c r="B17" i="2"/>
  <c r="C14" i="2" s="1"/>
  <c r="D14" i="2" s="1"/>
  <c r="G3" i="2"/>
  <c r="H3" i="2" s="1"/>
  <c r="I3" i="2" s="1"/>
  <c r="G5" i="2"/>
  <c r="H5" i="2" s="1"/>
  <c r="I5" i="2" s="1"/>
  <c r="C8" i="2"/>
  <c r="E4" i="2"/>
  <c r="E6" i="2"/>
  <c r="G4" i="2"/>
  <c r="H4" i="2" s="1"/>
  <c r="I4" i="2" s="1"/>
  <c r="G2" i="2"/>
  <c r="H2" i="2" s="1"/>
  <c r="H11" i="1"/>
  <c r="I14" i="2"/>
  <c r="I15" i="2" l="1"/>
  <c r="I16" i="2" s="1"/>
  <c r="H17" i="2"/>
  <c r="E29" i="2"/>
  <c r="D29" i="2"/>
  <c r="E26" i="2"/>
  <c r="D26" i="2"/>
  <c r="D28" i="2"/>
  <c r="E28" i="2"/>
  <c r="D25" i="2"/>
  <c r="C32" i="2"/>
  <c r="E25" i="2"/>
  <c r="C31" i="2"/>
  <c r="F25" i="2" s="1"/>
  <c r="C16" i="2"/>
  <c r="C15" i="2"/>
  <c r="D15" i="2" s="1"/>
  <c r="E8" i="2"/>
  <c r="H8" i="2"/>
  <c r="G8" i="2"/>
  <c r="I2" i="2"/>
  <c r="I8" i="2" s="1"/>
  <c r="D16" i="2" l="1"/>
  <c r="B33" i="2"/>
  <c r="F27" i="2"/>
  <c r="F30" i="2"/>
  <c r="F28" i="2"/>
  <c r="F29" i="2"/>
  <c r="F26" i="2"/>
  <c r="D31" i="2"/>
  <c r="D32" i="2"/>
  <c r="G30" i="2" l="1"/>
  <c r="H30" i="2"/>
  <c r="G28" i="2"/>
  <c r="H28" i="2"/>
  <c r="G25" i="2"/>
  <c r="H25" i="2"/>
  <c r="G26" i="2"/>
  <c r="H26" i="2"/>
  <c r="G29" i="2"/>
  <c r="H29" i="2"/>
  <c r="G27" i="2"/>
  <c r="H27" i="2"/>
</calcChain>
</file>

<file path=xl/sharedStrings.xml><?xml version="1.0" encoding="utf-8"?>
<sst xmlns="http://schemas.openxmlformats.org/spreadsheetml/2006/main" count="65" uniqueCount="32">
  <si>
    <t>Jumlah Produksi</t>
  </si>
  <si>
    <t>Proses</t>
  </si>
  <si>
    <t>Total Poduk Gagal</t>
  </si>
  <si>
    <t>Jumlah Produk Gagal</t>
  </si>
  <si>
    <t>Periode</t>
  </si>
  <si>
    <t xml:space="preserve">Defect </t>
  </si>
  <si>
    <t>Unit Produksi</t>
  </si>
  <si>
    <t>Opportunities</t>
  </si>
  <si>
    <t>DPU</t>
  </si>
  <si>
    <t>TOP</t>
  </si>
  <si>
    <t>DPO</t>
  </si>
  <si>
    <t>DPMO</t>
  </si>
  <si>
    <t>Level Sigma</t>
  </si>
  <si>
    <t>Defect Procentage</t>
  </si>
  <si>
    <t>Defect Type</t>
  </si>
  <si>
    <t>Total</t>
  </si>
  <si>
    <t>Procentage</t>
  </si>
  <si>
    <t>Cummulative</t>
  </si>
  <si>
    <t xml:space="preserve">Jumlah Defect </t>
  </si>
  <si>
    <t>P</t>
  </si>
  <si>
    <t>CL</t>
  </si>
  <si>
    <t>UCL</t>
  </si>
  <si>
    <t>LCL</t>
  </si>
  <si>
    <t>TOTAL</t>
  </si>
  <si>
    <t>Rata - rata</t>
  </si>
  <si>
    <t>Proportion</t>
  </si>
  <si>
    <t xml:space="preserve"> </t>
  </si>
  <si>
    <t>Dimensi</t>
  </si>
  <si>
    <t>penyok</t>
  </si>
  <si>
    <t>karat</t>
  </si>
  <si>
    <t>Karat</t>
  </si>
  <si>
    <t>Penyok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</si>
</sst>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64" formatCode="0.0000"/>
    <numFmt numFmtId="165" formatCode="0.000"/>
    <numFmt numFmtId="166" formatCode="0.00000"/>
    <numFmt numFmtId="167" formatCode="#,##0.0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2"/>
      <name val="Times New Roman"/>
      <family val="1"/>
    </font>
    <font>
      <sz val="11"/>
      <name val="Calibri"/>
      <family val="2"/>
      <scheme val="minor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1" fontId="2" fillId="0" borderId="0" applyFont="0" applyFill="0" applyBorder="0" applyAlignment="0" applyProtection="0"/>
  </cellStyleXfs>
  <cellXfs count="64">
    <xf numFmtId="0" fontId="0" fillId="0" borderId="0" xfId="0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/>
    <xf numFmtId="164" fontId="1" fillId="0" borderId="0" xfId="0" applyNumberFormat="1" applyFont="1"/>
    <xf numFmtId="1" fontId="1" fillId="0" borderId="0" xfId="0" applyNumberFormat="1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9" fontId="3" fillId="0" borderId="9" xfId="0" applyNumberFormat="1" applyFont="1" applyBorder="1"/>
    <xf numFmtId="9" fontId="3" fillId="0" borderId="11" xfId="0" applyNumberFormat="1" applyFont="1" applyBorder="1"/>
    <xf numFmtId="0" fontId="3" fillId="0" borderId="12" xfId="0" applyFont="1" applyBorder="1"/>
    <xf numFmtId="0" fontId="4" fillId="0" borderId="10" xfId="0" applyFont="1" applyBorder="1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3" fontId="1" fillId="0" borderId="1" xfId="0" applyNumberFormat="1" applyFont="1" applyBorder="1" applyAlignment="1">
      <alignment horizontal="center" vertical="center"/>
    </xf>
    <xf numFmtId="165" fontId="1" fillId="0" borderId="0" xfId="0" applyNumberFormat="1" applyFont="1"/>
    <xf numFmtId="165" fontId="1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165" fontId="0" fillId="0" borderId="0" xfId="0" applyNumberFormat="1"/>
    <xf numFmtId="165" fontId="3" fillId="0" borderId="1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166" fontId="1" fillId="0" borderId="1" xfId="0" applyNumberFormat="1" applyFont="1" applyBorder="1" applyAlignment="1">
      <alignment horizontal="center" vertical="center"/>
    </xf>
    <xf numFmtId="3" fontId="0" fillId="0" borderId="0" xfId="0" applyNumberFormat="1"/>
    <xf numFmtId="166" fontId="3" fillId="0" borderId="1" xfId="0" applyNumberFormat="1" applyFont="1" applyBorder="1" applyAlignment="1">
      <alignment horizontal="center"/>
    </xf>
    <xf numFmtId="167" fontId="0" fillId="0" borderId="0" xfId="0" applyNumberFormat="1"/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/>
    <xf numFmtId="0" fontId="5" fillId="0" borderId="0" xfId="0" applyFont="1" applyAlignment="1">
      <alignment horizontal="center" vertical="center"/>
    </xf>
    <xf numFmtId="2" fontId="6" fillId="0" borderId="0" xfId="0" applyNumberFormat="1" applyFont="1"/>
    <xf numFmtId="3" fontId="5" fillId="0" borderId="1" xfId="2" applyNumberFormat="1" applyFont="1" applyBorder="1" applyAlignment="1">
      <alignment horizontal="center" vertical="center"/>
    </xf>
    <xf numFmtId="9" fontId="3" fillId="0" borderId="0" xfId="0" applyNumberFormat="1" applyFont="1"/>
    <xf numFmtId="0" fontId="5" fillId="0" borderId="8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1" fontId="3" fillId="0" borderId="11" xfId="0" applyNumberFormat="1" applyFont="1" applyBorder="1" applyAlignment="1">
      <alignment horizontal="center"/>
    </xf>
    <xf numFmtId="1" fontId="7" fillId="0" borderId="0" xfId="0" applyNumberFormat="1" applyFont="1"/>
    <xf numFmtId="3" fontId="6" fillId="0" borderId="0" xfId="0" applyNumberFormat="1" applyFont="1"/>
    <xf numFmtId="10" fontId="6" fillId="0" borderId="0" xfId="1" applyNumberFormat="1" applyFont="1"/>
    <xf numFmtId="41" fontId="6" fillId="0" borderId="0" xfId="2" applyFont="1"/>
    <xf numFmtId="9" fontId="6" fillId="0" borderId="0" xfId="1" applyFont="1"/>
    <xf numFmtId="3" fontId="5" fillId="0" borderId="2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3" fontId="5" fillId="0" borderId="2" xfId="2" applyNumberFormat="1" applyFont="1" applyBorder="1" applyAlignment="1">
      <alignment horizontal="center" vertical="center"/>
    </xf>
    <xf numFmtId="3" fontId="5" fillId="0" borderId="3" xfId="2" applyNumberFormat="1" applyFont="1" applyBorder="1" applyAlignment="1">
      <alignment horizontal="center" vertical="center"/>
    </xf>
    <xf numFmtId="3" fontId="5" fillId="0" borderId="4" xfId="2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3">
    <cellStyle name="Comma [0]" xfId="2" builtinId="6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 sz="120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Diagram Pareto Tingkat Kecacatan</a:t>
            </a:r>
            <a:r>
              <a:rPr lang="en-ID" sz="1200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Kemasan Produk </a:t>
            </a:r>
            <a:r>
              <a:rPr lang="id-ID" sz="1200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Kaleng </a:t>
            </a:r>
            <a:endParaRPr lang="en-ID" sz="1200" baseline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defRPr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ID" sz="1200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Periode Juli - Desember 2023</a:t>
            </a:r>
            <a:endParaRPr lang="en-ID" sz="12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Sheet2!$F$14:$F$16</c:f>
              <c:strCache>
                <c:ptCount val="3"/>
                <c:pt idx="0">
                  <c:v>Karat</c:v>
                </c:pt>
                <c:pt idx="1">
                  <c:v>Penyok</c:v>
                </c:pt>
                <c:pt idx="2">
                  <c:v>Dimensi</c:v>
                </c:pt>
              </c:strCache>
            </c:strRef>
          </c:cat>
          <c:val>
            <c:numRef>
              <c:f>Sheet2!$G$14:$G$16</c:f>
              <c:numCache>
                <c:formatCode>0</c:formatCode>
                <c:ptCount val="3"/>
                <c:pt idx="0">
                  <c:v>112939.505</c:v>
                </c:pt>
                <c:pt idx="1">
                  <c:v>109415.391</c:v>
                </c:pt>
                <c:pt idx="2">
                  <c:v>116537.629615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5B-4FD6-B684-D254F13BC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73"/>
        <c:axId val="1087057663"/>
        <c:axId val="962132687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Sheet2!$F$14:$F$16</c:f>
              <c:strCache>
                <c:ptCount val="3"/>
                <c:pt idx="0">
                  <c:v>Karat</c:v>
                </c:pt>
                <c:pt idx="1">
                  <c:v>Penyok</c:v>
                </c:pt>
                <c:pt idx="2">
                  <c:v>Dimensi</c:v>
                </c:pt>
              </c:strCache>
            </c:strRef>
          </c:cat>
          <c:val>
            <c:numRef>
              <c:f>Sheet2!$I$14:$I$16</c:f>
              <c:numCache>
                <c:formatCode>0%</c:formatCode>
                <c:ptCount val="3"/>
                <c:pt idx="0">
                  <c:v>0.33326053678830708</c:v>
                </c:pt>
                <c:pt idx="1">
                  <c:v>0.65612216025267855</c:v>
                </c:pt>
                <c:pt idx="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5B-4FD6-B684-D254F13BC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4999839"/>
        <c:axId val="685639631"/>
      </c:lineChart>
      <c:catAx>
        <c:axId val="1087057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1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62132687"/>
        <c:crosses val="autoZero"/>
        <c:auto val="1"/>
        <c:lblAlgn val="ctr"/>
        <c:lblOffset val="100"/>
        <c:noMultiLvlLbl val="0"/>
      </c:catAx>
      <c:valAx>
        <c:axId val="962132687"/>
        <c:scaling>
          <c:orientation val="minMax"/>
          <c:min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87057663"/>
        <c:crosses val="autoZero"/>
        <c:crossBetween val="between"/>
      </c:valAx>
      <c:valAx>
        <c:axId val="685639631"/>
        <c:scaling>
          <c:orientation val="minMax"/>
          <c:max val="1"/>
          <c:min val="0.1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54999839"/>
        <c:crosses val="max"/>
        <c:crossBetween val="between"/>
      </c:valAx>
      <c:catAx>
        <c:axId val="95499983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8563963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P</a:t>
            </a:r>
            <a:r>
              <a:rPr lang="en-ID" b="1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r>
              <a:rPr lang="en-ID" b="1" i="1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Control Chart</a:t>
            </a:r>
            <a:endParaRPr lang="en-ID" b="1" i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Sheet2!$D$24</c:f>
              <c:strCache>
                <c:ptCount val="1"/>
                <c:pt idx="0">
                  <c:v>Proportion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Sheet2!$D$25:$D$30</c:f>
              <c:numCache>
                <c:formatCode>0.000</c:formatCode>
                <c:ptCount val="6"/>
                <c:pt idx="0">
                  <c:v>3.4200000000000001E-2</c:v>
                </c:pt>
                <c:pt idx="1">
                  <c:v>3.39E-2</c:v>
                </c:pt>
                <c:pt idx="2">
                  <c:v>3.3144099999999996E-2</c:v>
                </c:pt>
                <c:pt idx="3">
                  <c:v>3.3500000000000002E-2</c:v>
                </c:pt>
                <c:pt idx="4">
                  <c:v>3.3599999999999998E-2</c:v>
                </c:pt>
                <c:pt idx="5">
                  <c:v>3.3599999999999998E-2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CC-4C60-8E87-658085E4D2E2}"/>
            </c:ext>
          </c:extLst>
        </c:ser>
        <c:ser>
          <c:idx val="1"/>
          <c:order val="1"/>
          <c:tx>
            <c:strRef>
              <c:f>Sheet2!$F$24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Sheet2!$F$25:$F$30</c:f>
              <c:numCache>
                <c:formatCode>0.0000</c:formatCode>
                <c:ptCount val="6"/>
                <c:pt idx="0">
                  <c:v>3.3657350053893663E-2</c:v>
                </c:pt>
                <c:pt idx="1">
                  <c:v>3.3657350053893663E-2</c:v>
                </c:pt>
                <c:pt idx="2">
                  <c:v>3.3657350053893663E-2</c:v>
                </c:pt>
                <c:pt idx="3">
                  <c:v>3.3657350053893663E-2</c:v>
                </c:pt>
                <c:pt idx="4">
                  <c:v>3.3657350053893663E-2</c:v>
                </c:pt>
                <c:pt idx="5">
                  <c:v>3.3657350053893663E-2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CC-4C60-8E87-658085E4D2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63008"/>
        <c:axId val="65068656"/>
      </c:lineChart>
      <c:lineChart>
        <c:grouping val="standard"/>
        <c:varyColors val="0"/>
        <c:ser>
          <c:idx val="2"/>
          <c:order val="2"/>
          <c:tx>
            <c:strRef>
              <c:f>Sheet2!$G$24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Sheet2!$G$25:$G$30</c:f>
              <c:numCache>
                <c:formatCode>0.0000</c:formatCode>
                <c:ptCount val="6"/>
                <c:pt idx="0">
                  <c:v>3.4074998885115448E-2</c:v>
                </c:pt>
                <c:pt idx="1">
                  <c:v>3.4074999009552707E-2</c:v>
                </c:pt>
                <c:pt idx="2">
                  <c:v>3.4074999009552707E-2</c:v>
                </c:pt>
                <c:pt idx="3">
                  <c:v>3.4074999009552707E-2</c:v>
                </c:pt>
                <c:pt idx="4">
                  <c:v>3.4074999009552707E-2</c:v>
                </c:pt>
                <c:pt idx="5">
                  <c:v>3.4074999009552707E-2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ACC-4C60-8E87-658085E4D2E2}"/>
            </c:ext>
          </c:extLst>
        </c:ser>
        <c:ser>
          <c:idx val="3"/>
          <c:order val="3"/>
          <c:tx>
            <c:strRef>
              <c:f>Sheet2!$H$24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Sheet2!$H$25:$H$30</c:f>
              <c:numCache>
                <c:formatCode>0.0000</c:formatCode>
                <c:ptCount val="6"/>
                <c:pt idx="0">
                  <c:v>3.3239701222671877E-2</c:v>
                </c:pt>
                <c:pt idx="1">
                  <c:v>3.3239701098234618E-2</c:v>
                </c:pt>
                <c:pt idx="2">
                  <c:v>3.3239701098234618E-2</c:v>
                </c:pt>
                <c:pt idx="3">
                  <c:v>3.3239701098234618E-2</c:v>
                </c:pt>
                <c:pt idx="4">
                  <c:v>3.3239701098234618E-2</c:v>
                </c:pt>
                <c:pt idx="5">
                  <c:v>3.3239701098234618E-2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ACC-4C60-8E87-658085E4D2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431520"/>
        <c:axId val="71867808"/>
      </c:lineChart>
      <c:catAx>
        <c:axId val="374630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5068656"/>
        <c:crosses val="autoZero"/>
        <c:auto val="1"/>
        <c:lblAlgn val="ctr"/>
        <c:lblOffset val="100"/>
        <c:noMultiLvlLbl val="0"/>
      </c:catAx>
      <c:valAx>
        <c:axId val="65068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7463008"/>
        <c:crosses val="autoZero"/>
        <c:crossBetween val="between"/>
      </c:valAx>
      <c:valAx>
        <c:axId val="71867808"/>
        <c:scaling>
          <c:orientation val="minMax"/>
        </c:scaling>
        <c:delete val="1"/>
        <c:axPos val="r"/>
        <c:numFmt formatCode="0.0000" sourceLinked="1"/>
        <c:majorTickMark val="out"/>
        <c:minorTickMark val="none"/>
        <c:tickLblPos val="nextTo"/>
        <c:crossAx val="65431520"/>
        <c:crosses val="max"/>
        <c:crossBetween val="between"/>
      </c:valAx>
      <c:catAx>
        <c:axId val="65431520"/>
        <c:scaling>
          <c:orientation val="minMax"/>
        </c:scaling>
        <c:delete val="1"/>
        <c:axPos val="b"/>
        <c:majorTickMark val="out"/>
        <c:minorTickMark val="none"/>
        <c:tickLblPos val="nextTo"/>
        <c:crossAx val="71867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1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307974</xdr:colOff>
      <xdr:row>3</xdr:row>
      <xdr:rowOff>98425</xdr:rowOff>
    </xdr:from>
    <xdr:to>
      <xdr:col>16</xdr:col>
      <xdr:colOff>613253</xdr:colOff>
      <xdr:row>17</xdr:row>
      <xdr:rowOff>143527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DEC70B5-3D4F-11B9-A2FB-AAAA7DCDAA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72073</xdr:colOff>
      <xdr:row>21</xdr:row>
      <xdr:rowOff>161696</xdr:rowOff>
    </xdr:from>
    <xdr:to>
      <xdr:col>15</xdr:col>
      <xdr:colOff>180507</xdr:colOff>
      <xdr:row>37</xdr:row>
      <xdr:rowOff>295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84DC78E-5D27-00E9-6FDC-9332C7DBE3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8A8CF-F252-41DD-8ADD-5BC063A5B603}">
  <dimension ref="A1:M27"/>
  <sheetViews>
    <sheetView zoomScale="80" zoomScaleNormal="80" workbookViewId="0">
      <selection activeCell="D2" sqref="D2"/>
    </sheetView>
  </sheetViews>
  <sheetFormatPr defaultRowHeight="15" x14ac:dyDescent="0.25"/>
  <cols>
    <col min="1" max="1" width="7.42578125" style="36" bestFit="1" customWidth="1"/>
    <col min="2" max="2" width="9.140625" style="36"/>
    <col min="3" max="3" width="15.28515625" style="36" bestFit="1" customWidth="1"/>
    <col min="4" max="4" width="19.7109375" style="36" bestFit="1" customWidth="1"/>
    <col min="5" max="5" width="17.5703125" style="36" bestFit="1" customWidth="1"/>
    <col min="6" max="7" width="8.7109375" style="36"/>
    <col min="8" max="8" width="13" style="36" bestFit="1" customWidth="1"/>
    <col min="9" max="12" width="8.7109375" style="36"/>
    <col min="13" max="13" width="9.85546875" style="36" bestFit="1" customWidth="1"/>
    <col min="14" max="16384" width="9.140625" style="36"/>
  </cols>
  <sheetData>
    <row r="1" spans="1:13" ht="31.5" customHeight="1" x14ac:dyDescent="0.25">
      <c r="A1" s="35" t="s">
        <v>4</v>
      </c>
      <c r="B1" s="35" t="s">
        <v>1</v>
      </c>
      <c r="C1" s="35" t="s">
        <v>0</v>
      </c>
      <c r="D1" s="35" t="s">
        <v>3</v>
      </c>
      <c r="E1" s="35" t="s">
        <v>2</v>
      </c>
    </row>
    <row r="2" spans="1:13" ht="15.75" x14ac:dyDescent="0.25">
      <c r="A2" s="57">
        <v>1</v>
      </c>
      <c r="B2" s="35" t="s">
        <v>27</v>
      </c>
      <c r="C2" s="51">
        <v>1678151</v>
      </c>
      <c r="D2" s="39">
        <f>$C$2*1.32%</f>
        <v>22151.593199999999</v>
      </c>
      <c r="E2" s="54">
        <f>SUM(D2:D4)</f>
        <v>57392.764199999998</v>
      </c>
    </row>
    <row r="3" spans="1:13" ht="15.75" x14ac:dyDescent="0.25">
      <c r="A3" s="58"/>
      <c r="B3" s="35" t="s">
        <v>28</v>
      </c>
      <c r="C3" s="52"/>
      <c r="D3" s="39">
        <f>$C$2*1.1%</f>
        <v>18459.661</v>
      </c>
      <c r="E3" s="55"/>
      <c r="H3" s="37" t="s">
        <v>15</v>
      </c>
    </row>
    <row r="4" spans="1:13" ht="15.75" x14ac:dyDescent="0.25">
      <c r="A4" s="59"/>
      <c r="B4" s="35" t="s">
        <v>29</v>
      </c>
      <c r="C4" s="53"/>
      <c r="D4" s="39">
        <f>$C$2*1%</f>
        <v>16781.510000000002</v>
      </c>
      <c r="E4" s="56"/>
      <c r="F4" s="38">
        <f>(E2/C2)*100</f>
        <v>3.42</v>
      </c>
      <c r="G4" s="37" t="s">
        <v>27</v>
      </c>
      <c r="H4" s="46">
        <f>D2+D5+D8+D11+D14+D17</f>
        <v>116537.629615</v>
      </c>
      <c r="I4" s="50">
        <f>H4/$H$7</f>
        <v>0.34387783974732145</v>
      </c>
    </row>
    <row r="5" spans="1:13" ht="15.75" x14ac:dyDescent="0.25">
      <c r="A5" s="57">
        <v>2</v>
      </c>
      <c r="B5" s="35" t="s">
        <v>27</v>
      </c>
      <c r="C5" s="51">
        <v>1678150</v>
      </c>
      <c r="D5" s="39">
        <f>$C$5*0.87%</f>
        <v>14599.904999999999</v>
      </c>
      <c r="E5" s="51">
        <f t="shared" ref="E5" si="0">SUM(D5:D7)</f>
        <v>56889.285000000003</v>
      </c>
      <c r="G5" s="37" t="s">
        <v>28</v>
      </c>
      <c r="H5" s="46">
        <f>D3+D6+D9+D12+D15+D18</f>
        <v>109415.391</v>
      </c>
      <c r="I5" s="50">
        <f t="shared" ref="I5:I6" si="1">H5/$H$7</f>
        <v>0.32286162346437153</v>
      </c>
    </row>
    <row r="6" spans="1:13" ht="15.75" x14ac:dyDescent="0.25">
      <c r="A6" s="58"/>
      <c r="B6" s="35" t="s">
        <v>28</v>
      </c>
      <c r="C6" s="52"/>
      <c r="D6" s="39">
        <f>$C$5*1.09%</f>
        <v>18291.834999999999</v>
      </c>
      <c r="E6" s="52"/>
      <c r="G6" s="37" t="s">
        <v>29</v>
      </c>
      <c r="H6" s="46">
        <f>D4+D7+D10+D13+D16+D19</f>
        <v>112939.505</v>
      </c>
      <c r="I6" s="50">
        <f t="shared" si="1"/>
        <v>0.33326053678830708</v>
      </c>
    </row>
    <row r="7" spans="1:13" ht="15.75" x14ac:dyDescent="0.25">
      <c r="A7" s="59"/>
      <c r="B7" s="35" t="s">
        <v>29</v>
      </c>
      <c r="C7" s="53"/>
      <c r="D7" s="39">
        <f>$C$5*1.43%</f>
        <v>23997.545000000002</v>
      </c>
      <c r="E7" s="53"/>
      <c r="F7" s="38">
        <f>(E5/C5)*100</f>
        <v>3.39</v>
      </c>
      <c r="H7" s="46">
        <f>SUM(H4:H6)</f>
        <v>338892.52561499999</v>
      </c>
      <c r="L7" s="36">
        <f>531/20</f>
        <v>26.55</v>
      </c>
    </row>
    <row r="8" spans="1:13" ht="15.75" x14ac:dyDescent="0.25">
      <c r="A8" s="57">
        <v>3</v>
      </c>
      <c r="B8" s="35" t="s">
        <v>27</v>
      </c>
      <c r="C8" s="51">
        <v>1678150</v>
      </c>
      <c r="D8" s="39">
        <f>$C$8*2.03441%</f>
        <v>34140.451414999996</v>
      </c>
      <c r="E8" s="51">
        <f t="shared" ref="E8" si="2">SUM(D8:D10)</f>
        <v>55620.771414999996</v>
      </c>
      <c r="H8" s="46">
        <f>H7*25</f>
        <v>8472313.1403749995</v>
      </c>
    </row>
    <row r="9" spans="1:13" ht="15.75" x14ac:dyDescent="0.25">
      <c r="A9" s="58"/>
      <c r="B9" s="35" t="s">
        <v>28</v>
      </c>
      <c r="C9" s="52"/>
      <c r="D9" s="39">
        <f>$C$8*0.6%</f>
        <v>10068.9</v>
      </c>
      <c r="E9" s="52"/>
    </row>
    <row r="10" spans="1:13" ht="15.75" x14ac:dyDescent="0.25">
      <c r="A10" s="59"/>
      <c r="B10" s="35" t="s">
        <v>29</v>
      </c>
      <c r="C10" s="53"/>
      <c r="D10" s="39">
        <f>$C$8*0.68%</f>
        <v>11411.42</v>
      </c>
      <c r="E10" s="53"/>
      <c r="F10" s="38">
        <f>E8/C8*100</f>
        <v>3.3144099999999996</v>
      </c>
      <c r="H10" s="36">
        <f>H8/C23</f>
        <v>3.3657350053893663E-2</v>
      </c>
    </row>
    <row r="11" spans="1:13" ht="15.75" x14ac:dyDescent="0.25">
      <c r="A11" s="57">
        <v>4</v>
      </c>
      <c r="B11" s="35" t="s">
        <v>27</v>
      </c>
      <c r="C11" s="51">
        <v>1678150</v>
      </c>
      <c r="D11" s="39">
        <f>$C$11*0.51%</f>
        <v>8558.5650000000005</v>
      </c>
      <c r="E11" s="51">
        <f t="shared" ref="E11" si="3">SUM(D11:D13)</f>
        <v>56218.025000000009</v>
      </c>
      <c r="H11" s="36">
        <f>H10*100</f>
        <v>3.3657350053893662</v>
      </c>
    </row>
    <row r="12" spans="1:13" ht="15.75" x14ac:dyDescent="0.25">
      <c r="A12" s="58"/>
      <c r="B12" s="35" t="s">
        <v>28</v>
      </c>
      <c r="C12" s="52"/>
      <c r="D12" s="39">
        <f>$C$11*1.35%</f>
        <v>22655.025000000001</v>
      </c>
      <c r="E12" s="52"/>
      <c r="M12" s="47">
        <f>AVERAGE(C2:C19)</f>
        <v>1678150.1666666667</v>
      </c>
    </row>
    <row r="13" spans="1:13" ht="15.75" x14ac:dyDescent="0.25">
      <c r="A13" s="59"/>
      <c r="B13" s="35" t="s">
        <v>29</v>
      </c>
      <c r="C13" s="53"/>
      <c r="D13" s="39">
        <f>$C$11*1.49%</f>
        <v>25004.435000000001</v>
      </c>
      <c r="E13" s="53"/>
      <c r="F13" s="38">
        <f>E11/C11*100</f>
        <v>3.35</v>
      </c>
    </row>
    <row r="14" spans="1:13" ht="15.75" x14ac:dyDescent="0.25">
      <c r="A14" s="57">
        <v>5</v>
      </c>
      <c r="B14" s="35" t="s">
        <v>27</v>
      </c>
      <c r="C14" s="51">
        <v>1678150</v>
      </c>
      <c r="D14" s="39">
        <f>$C$14*0.91%</f>
        <v>15271.165000000001</v>
      </c>
      <c r="E14" s="51">
        <f>SUM(D14:D16)</f>
        <v>56385.84</v>
      </c>
      <c r="M14" s="36">
        <v>1678150.1666666667</v>
      </c>
    </row>
    <row r="15" spans="1:13" ht="15.75" x14ac:dyDescent="0.25">
      <c r="A15" s="58"/>
      <c r="B15" s="35" t="s">
        <v>28</v>
      </c>
      <c r="C15" s="52"/>
      <c r="D15" s="39">
        <f>$C$14*1.26%</f>
        <v>21144.69</v>
      </c>
      <c r="E15" s="52"/>
      <c r="H15" s="47">
        <f>C2</f>
        <v>1678151</v>
      </c>
      <c r="I15" s="47">
        <f>E2</f>
        <v>57392.764199999998</v>
      </c>
    </row>
    <row r="16" spans="1:13" ht="15.75" x14ac:dyDescent="0.25">
      <c r="A16" s="59"/>
      <c r="B16" s="35" t="s">
        <v>29</v>
      </c>
      <c r="C16" s="53"/>
      <c r="D16" s="39">
        <f>$C$14*1.19%</f>
        <v>19969.984999999997</v>
      </c>
      <c r="E16" s="53"/>
      <c r="F16" s="38">
        <f>E14/C14*100</f>
        <v>3.36</v>
      </c>
      <c r="H16" s="47">
        <f>C5</f>
        <v>1678150</v>
      </c>
      <c r="I16" s="47">
        <f>E5</f>
        <v>56889.285000000003</v>
      </c>
    </row>
    <row r="17" spans="1:10" ht="15.75" x14ac:dyDescent="0.25">
      <c r="A17" s="57">
        <v>6</v>
      </c>
      <c r="B17" s="35" t="s">
        <v>27</v>
      </c>
      <c r="C17" s="51">
        <v>1678150</v>
      </c>
      <c r="D17" s="39">
        <f>$C$17*1.3%</f>
        <v>21815.95</v>
      </c>
      <c r="E17" s="51">
        <f t="shared" ref="E17" si="4">SUM(D17:D19)</f>
        <v>56385.84</v>
      </c>
      <c r="H17" s="47">
        <f>C8</f>
        <v>1678150</v>
      </c>
      <c r="I17" s="47">
        <f>E8</f>
        <v>55620.771414999996</v>
      </c>
    </row>
    <row r="18" spans="1:10" ht="15.75" x14ac:dyDescent="0.25">
      <c r="A18" s="58"/>
      <c r="B18" s="35" t="s">
        <v>28</v>
      </c>
      <c r="C18" s="52"/>
      <c r="D18" s="39">
        <f>$C$17*1.12%</f>
        <v>18795.280000000002</v>
      </c>
      <c r="E18" s="52"/>
      <c r="H18" s="47">
        <f>C11</f>
        <v>1678150</v>
      </c>
      <c r="I18" s="47">
        <f>E11</f>
        <v>56218.025000000009</v>
      </c>
    </row>
    <row r="19" spans="1:10" ht="15.75" x14ac:dyDescent="0.25">
      <c r="A19" s="59"/>
      <c r="B19" s="35" t="s">
        <v>29</v>
      </c>
      <c r="C19" s="53"/>
      <c r="D19" s="39">
        <f>$C$17*0.94%</f>
        <v>15774.609999999997</v>
      </c>
      <c r="E19" s="53"/>
      <c r="F19" s="38">
        <f>E17/C17*100</f>
        <v>3.36</v>
      </c>
      <c r="H19" s="47">
        <f>C14</f>
        <v>1678150</v>
      </c>
      <c r="I19" s="47">
        <f>E14</f>
        <v>56385.84</v>
      </c>
    </row>
    <row r="20" spans="1:10" x14ac:dyDescent="0.25">
      <c r="H20" s="47">
        <f>C17</f>
        <v>1678150</v>
      </c>
      <c r="I20" s="47">
        <f>E17</f>
        <v>56385.84</v>
      </c>
    </row>
    <row r="22" spans="1:10" x14ac:dyDescent="0.25">
      <c r="C22" s="47">
        <f>C17+C14+C11+C8+C5+C2</f>
        <v>10068901</v>
      </c>
      <c r="D22" s="47">
        <f>SUM(E2:E19)</f>
        <v>338892.52561499993</v>
      </c>
      <c r="E22" s="48">
        <f>D22/C22</f>
        <v>3.3657350053893663E-2</v>
      </c>
      <c r="I22" s="49"/>
      <c r="J22" s="48"/>
    </row>
    <row r="23" spans="1:10" x14ac:dyDescent="0.25">
      <c r="C23" s="36">
        <f>C22*25</f>
        <v>251722525</v>
      </c>
      <c r="I23" s="49"/>
      <c r="J23" s="48"/>
    </row>
    <row r="24" spans="1:10" x14ac:dyDescent="0.25">
      <c r="I24" s="49"/>
      <c r="J24" s="48"/>
    </row>
    <row r="25" spans="1:10" x14ac:dyDescent="0.25">
      <c r="I25" s="49"/>
      <c r="J25" s="48"/>
    </row>
    <row r="26" spans="1:10" x14ac:dyDescent="0.25">
      <c r="I26" s="49"/>
      <c r="J26" s="48"/>
    </row>
    <row r="27" spans="1:10" x14ac:dyDescent="0.25">
      <c r="I27" s="49"/>
      <c r="J27" s="48"/>
    </row>
  </sheetData>
  <mergeCells count="18">
    <mergeCell ref="A14:A16"/>
    <mergeCell ref="A17:A19"/>
    <mergeCell ref="A2:A4"/>
    <mergeCell ref="A5:A7"/>
    <mergeCell ref="A8:A10"/>
    <mergeCell ref="A11:A13"/>
    <mergeCell ref="E17:E19"/>
    <mergeCell ref="C2:C4"/>
    <mergeCell ref="C5:C7"/>
    <mergeCell ref="C8:C10"/>
    <mergeCell ref="C11:C13"/>
    <mergeCell ref="C14:C16"/>
    <mergeCell ref="C17:C19"/>
    <mergeCell ref="E2:E4"/>
    <mergeCell ref="E5:E7"/>
    <mergeCell ref="E8:E10"/>
    <mergeCell ref="E11:E13"/>
    <mergeCell ref="E14:E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0D34C-DCCB-45A6-BA85-2CBF1AD08DF5}">
  <dimension ref="A1:I43"/>
  <sheetViews>
    <sheetView tabSelected="1" topLeftCell="A17" zoomScaleNormal="100" workbookViewId="0">
      <selection activeCell="P30" sqref="P30"/>
    </sheetView>
  </sheetViews>
  <sheetFormatPr defaultRowHeight="15" x14ac:dyDescent="0.25"/>
  <cols>
    <col min="1" max="1" width="11.5703125" customWidth="1"/>
    <col min="2" max="2" width="14.42578125" bestFit="1" customWidth="1"/>
    <col min="3" max="3" width="13.28515625" bestFit="1" customWidth="1"/>
    <col min="4" max="4" width="13.5703125" bestFit="1" customWidth="1"/>
    <col min="5" max="5" width="8.85546875" bestFit="1" customWidth="1"/>
    <col min="6" max="6" width="11.5703125" customWidth="1"/>
    <col min="7" max="7" width="13.7109375" bestFit="1" customWidth="1"/>
    <col min="8" max="8" width="12.42578125" bestFit="1" customWidth="1"/>
    <col min="9" max="9" width="14.28515625" bestFit="1" customWidth="1"/>
  </cols>
  <sheetData>
    <row r="1" spans="1:9" ht="33" customHeight="1" x14ac:dyDescent="0.25">
      <c r="A1" s="1" t="s">
        <v>4</v>
      </c>
      <c r="B1" s="1" t="s">
        <v>6</v>
      </c>
      <c r="C1" s="1" t="s">
        <v>5</v>
      </c>
      <c r="D1" s="1" t="s">
        <v>7</v>
      </c>
      <c r="E1" s="1" t="s">
        <v>8</v>
      </c>
      <c r="F1" s="1" t="s">
        <v>9</v>
      </c>
      <c r="G1" s="1" t="s">
        <v>10</v>
      </c>
      <c r="H1" s="1" t="s">
        <v>11</v>
      </c>
      <c r="I1" s="1" t="s">
        <v>12</v>
      </c>
    </row>
    <row r="2" spans="1:9" ht="15.75" x14ac:dyDescent="0.25">
      <c r="A2" s="1">
        <v>1</v>
      </c>
      <c r="B2" s="17">
        <f>Sheet1!C2</f>
        <v>1678151</v>
      </c>
      <c r="C2" s="17">
        <f>Sheet1!E2</f>
        <v>57392.764199999998</v>
      </c>
      <c r="D2" s="1">
        <v>3</v>
      </c>
      <c r="E2" s="2">
        <f>C2/B2</f>
        <v>3.4200000000000001E-2</v>
      </c>
      <c r="F2" s="1">
        <f>B2*D2</f>
        <v>5034453</v>
      </c>
      <c r="G2" s="25">
        <f>C2/F2</f>
        <v>1.14E-2</v>
      </c>
      <c r="H2" s="19">
        <f>G2*1000000</f>
        <v>11400</v>
      </c>
      <c r="I2" s="3">
        <f>NORMSINV((1000000-H2)/1000000)+1.5</f>
        <v>3.7767693956048922</v>
      </c>
    </row>
    <row r="3" spans="1:9" ht="15.75" x14ac:dyDescent="0.25">
      <c r="A3" s="1">
        <v>2</v>
      </c>
      <c r="B3" s="17">
        <f>Sheet1!C5</f>
        <v>1678150</v>
      </c>
      <c r="C3" s="17">
        <f>Sheet1!E5</f>
        <v>56889.285000000003</v>
      </c>
      <c r="D3" s="1">
        <v>3</v>
      </c>
      <c r="E3" s="2">
        <f t="shared" ref="E3:E6" si="0">C3/B3</f>
        <v>3.39E-2</v>
      </c>
      <c r="F3" s="1">
        <f t="shared" ref="F3:F7" si="1">B3*D3</f>
        <v>5034450</v>
      </c>
      <c r="G3" s="25">
        <f t="shared" ref="G3:G7" si="2">C3/F3</f>
        <v>1.1300000000000001E-2</v>
      </c>
      <c r="H3" s="19">
        <f t="shared" ref="H3:H7" si="3">G3*1000000</f>
        <v>11300.000000000002</v>
      </c>
      <c r="I3" s="3">
        <f t="shared" ref="I3:I7" si="4">NORMSINV((1000000-H3)/1000000)+1.5</f>
        <v>3.7801296530302801</v>
      </c>
    </row>
    <row r="4" spans="1:9" ht="15.75" x14ac:dyDescent="0.25">
      <c r="A4" s="1">
        <v>3</v>
      </c>
      <c r="B4" s="17">
        <f>Sheet1!C8</f>
        <v>1678150</v>
      </c>
      <c r="C4" s="17">
        <f>Sheet1!E8</f>
        <v>55620.771414999996</v>
      </c>
      <c r="D4" s="1">
        <v>3</v>
      </c>
      <c r="E4" s="2">
        <f t="shared" si="0"/>
        <v>3.3144099999999996E-2</v>
      </c>
      <c r="F4" s="1">
        <f t="shared" si="1"/>
        <v>5034450</v>
      </c>
      <c r="G4" s="25">
        <f t="shared" si="2"/>
        <v>1.1048033333333332E-2</v>
      </c>
      <c r="H4" s="19">
        <f>G4*1000000</f>
        <v>11048.033333333331</v>
      </c>
      <c r="I4" s="3">
        <f t="shared" si="4"/>
        <v>3.7887124242784092</v>
      </c>
    </row>
    <row r="5" spans="1:9" ht="15.75" x14ac:dyDescent="0.25">
      <c r="A5" s="1">
        <v>4</v>
      </c>
      <c r="B5" s="17">
        <f>Sheet1!C11</f>
        <v>1678150</v>
      </c>
      <c r="C5" s="17">
        <f>Sheet1!E11</f>
        <v>56218.025000000009</v>
      </c>
      <c r="D5" s="1">
        <v>3</v>
      </c>
      <c r="E5" s="2">
        <f t="shared" si="0"/>
        <v>3.3500000000000002E-2</v>
      </c>
      <c r="F5" s="1">
        <f t="shared" si="1"/>
        <v>5034450</v>
      </c>
      <c r="G5" s="25">
        <f t="shared" si="2"/>
        <v>1.1166666666666668E-2</v>
      </c>
      <c r="H5" s="19">
        <f t="shared" si="3"/>
        <v>11166.666666666668</v>
      </c>
      <c r="I5" s="3">
        <f t="shared" si="4"/>
        <v>3.7846504309268911</v>
      </c>
    </row>
    <row r="6" spans="1:9" ht="15.75" x14ac:dyDescent="0.25">
      <c r="A6" s="1">
        <v>5</v>
      </c>
      <c r="B6" s="17">
        <f>Sheet1!C14</f>
        <v>1678150</v>
      </c>
      <c r="C6" s="17">
        <f>Sheet1!E14</f>
        <v>56385.84</v>
      </c>
      <c r="D6" s="1">
        <v>3</v>
      </c>
      <c r="E6" s="2">
        <f t="shared" si="0"/>
        <v>3.3599999999999998E-2</v>
      </c>
      <c r="F6" s="1">
        <f t="shared" si="1"/>
        <v>5034450</v>
      </c>
      <c r="G6" s="25">
        <f t="shared" si="2"/>
        <v>1.12E-2</v>
      </c>
      <c r="H6" s="19">
        <f t="shared" si="3"/>
        <v>11200</v>
      </c>
      <c r="I6" s="3">
        <f t="shared" si="4"/>
        <v>3.7835158551371939</v>
      </c>
    </row>
    <row r="7" spans="1:9" ht="15.75" x14ac:dyDescent="0.25">
      <c r="A7" s="1">
        <v>6</v>
      </c>
      <c r="B7" s="17">
        <f>Sheet1!C17</f>
        <v>1678150</v>
      </c>
      <c r="C7" s="17">
        <f>Sheet1!E17</f>
        <v>56385.84</v>
      </c>
      <c r="D7" s="1">
        <v>3</v>
      </c>
      <c r="E7" s="2">
        <f>C7/B7</f>
        <v>3.3599999999999998E-2</v>
      </c>
      <c r="F7" s="1">
        <f t="shared" si="1"/>
        <v>5034450</v>
      </c>
      <c r="G7" s="25">
        <f t="shared" si="2"/>
        <v>1.12E-2</v>
      </c>
      <c r="H7" s="19">
        <f t="shared" si="3"/>
        <v>11200</v>
      </c>
      <c r="I7" s="3">
        <f t="shared" si="4"/>
        <v>3.7835158551371939</v>
      </c>
    </row>
    <row r="8" spans="1:9" ht="15.75" x14ac:dyDescent="0.25">
      <c r="A8" s="4"/>
      <c r="B8" s="24">
        <f t="shared" ref="B8:C8" si="5">SUM(B2:B7)</f>
        <v>10068901</v>
      </c>
      <c r="C8" s="24">
        <f t="shared" si="5"/>
        <v>338892.52561499993</v>
      </c>
      <c r="D8" s="5"/>
      <c r="E8" s="5">
        <f>SUM(E2:E7)</f>
        <v>0.20194409999999996</v>
      </c>
      <c r="F8" s="6">
        <f t="shared" ref="F8:I8" si="6">SUM(F2:F7)</f>
        <v>30206703</v>
      </c>
      <c r="G8" s="5">
        <f t="shared" si="6"/>
        <v>6.7314700000000005E-2</v>
      </c>
      <c r="H8" s="18">
        <f>AVERAGE(H2:H7)</f>
        <v>11219.116666666667</v>
      </c>
      <c r="I8" s="5">
        <f t="shared" si="6"/>
        <v>22.697293614114859</v>
      </c>
    </row>
    <row r="11" spans="1:9" ht="15.75" thickBot="1" x14ac:dyDescent="0.3"/>
    <row r="12" spans="1:9" ht="15.75" thickBot="1" x14ac:dyDescent="0.3">
      <c r="A12" s="63" t="s">
        <v>13</v>
      </c>
      <c r="B12" s="63"/>
      <c r="C12" s="63"/>
      <c r="D12" s="63"/>
      <c r="F12" s="60" t="s">
        <v>13</v>
      </c>
      <c r="G12" s="61"/>
      <c r="H12" s="61"/>
      <c r="I12" s="62"/>
    </row>
    <row r="13" spans="1:9" x14ac:dyDescent="0.25">
      <c r="A13" s="32" t="s">
        <v>14</v>
      </c>
      <c r="B13" s="32" t="s">
        <v>15</v>
      </c>
      <c r="C13" s="32" t="s">
        <v>16</v>
      </c>
      <c r="D13" s="32" t="s">
        <v>17</v>
      </c>
      <c r="E13" s="7"/>
      <c r="F13" s="29" t="s">
        <v>14</v>
      </c>
      <c r="G13" s="30" t="s">
        <v>15</v>
      </c>
      <c r="H13" s="30" t="s">
        <v>16</v>
      </c>
      <c r="I13" s="31" t="s">
        <v>17</v>
      </c>
    </row>
    <row r="14" spans="1:9" ht="15.75" x14ac:dyDescent="0.25">
      <c r="A14" s="37" t="s">
        <v>27</v>
      </c>
      <c r="B14" s="42">
        <f>Sheet1!H4</f>
        <v>116537.629615</v>
      </c>
      <c r="C14" s="33">
        <f>B14/$B$17</f>
        <v>0.34387783974732145</v>
      </c>
      <c r="D14" s="34">
        <f>C14</f>
        <v>0.34387783974732145</v>
      </c>
      <c r="E14" s="7"/>
      <c r="F14" s="41" t="s">
        <v>30</v>
      </c>
      <c r="G14" s="44">
        <f>B16</f>
        <v>112939.505</v>
      </c>
      <c r="H14" s="40">
        <f>G14/$G$17</f>
        <v>0.33326053678830708</v>
      </c>
      <c r="I14" s="9">
        <f>H14</f>
        <v>0.33326053678830708</v>
      </c>
    </row>
    <row r="15" spans="1:9" ht="15.75" x14ac:dyDescent="0.25">
      <c r="A15" s="37" t="s">
        <v>28</v>
      </c>
      <c r="B15" s="42">
        <f>Sheet1!H5</f>
        <v>109415.391</v>
      </c>
      <c r="C15" s="33">
        <f>B15/$B$17</f>
        <v>0.32286162346437153</v>
      </c>
      <c r="D15" s="34">
        <f>C15+D14</f>
        <v>0.66673946321169297</v>
      </c>
      <c r="E15" s="7"/>
      <c r="F15" s="41" t="s">
        <v>31</v>
      </c>
      <c r="G15" s="44">
        <f>B15</f>
        <v>109415.391</v>
      </c>
      <c r="H15" s="40">
        <f>G15/$G$17</f>
        <v>0.32286162346437153</v>
      </c>
      <c r="I15" s="9">
        <f>I14+H15</f>
        <v>0.65612216025267855</v>
      </c>
    </row>
    <row r="16" spans="1:9" ht="15.75" x14ac:dyDescent="0.25">
      <c r="A16" s="37" t="s">
        <v>29</v>
      </c>
      <c r="B16" s="42">
        <f>Sheet1!H6</f>
        <v>112939.505</v>
      </c>
      <c r="C16" s="33">
        <f>B16/$B$17</f>
        <v>0.33326053678830708</v>
      </c>
      <c r="D16" s="34">
        <f>C16+D15</f>
        <v>1</v>
      </c>
      <c r="E16" s="7"/>
      <c r="F16" s="41" t="s">
        <v>27</v>
      </c>
      <c r="G16" s="43">
        <f>B14</f>
        <v>116537.629615</v>
      </c>
      <c r="H16" s="40">
        <f>G16/$G$17</f>
        <v>0.34387783974732145</v>
      </c>
      <c r="I16" s="9">
        <f t="shared" ref="I16" si="7">I15+H16</f>
        <v>1</v>
      </c>
    </row>
    <row r="17" spans="1:9" ht="15.75" thickBot="1" x14ac:dyDescent="0.3">
      <c r="A17" s="32" t="s">
        <v>15</v>
      </c>
      <c r="B17" s="42">
        <f>SUM(B14:B16)</f>
        <v>338892.52561499999</v>
      </c>
      <c r="C17" s="32"/>
      <c r="D17" s="32"/>
      <c r="E17" s="7"/>
      <c r="F17" s="12" t="s">
        <v>15</v>
      </c>
      <c r="G17" s="45">
        <f>SUM(G14:G16)</f>
        <v>338892.52561499999</v>
      </c>
      <c r="H17" s="10">
        <f>SUM(H14:H16)</f>
        <v>1</v>
      </c>
      <c r="I17" s="11"/>
    </row>
    <row r="19" spans="1:9" x14ac:dyDescent="0.25">
      <c r="I19" t="s">
        <v>26</v>
      </c>
    </row>
    <row r="20" spans="1:9" x14ac:dyDescent="0.25">
      <c r="D20">
        <f>1-0.092</f>
        <v>0.90800000000000003</v>
      </c>
    </row>
    <row r="21" spans="1:9" x14ac:dyDescent="0.25">
      <c r="D21">
        <f>0.092-D20</f>
        <v>-0.81600000000000006</v>
      </c>
    </row>
    <row r="24" spans="1:9" x14ac:dyDescent="0.25">
      <c r="A24" s="13" t="s">
        <v>4</v>
      </c>
      <c r="B24" s="13" t="s">
        <v>0</v>
      </c>
      <c r="C24" s="13" t="s">
        <v>18</v>
      </c>
      <c r="D24" s="13" t="s">
        <v>25</v>
      </c>
      <c r="E24" s="13" t="s">
        <v>19</v>
      </c>
      <c r="F24" s="13" t="s">
        <v>20</v>
      </c>
      <c r="G24" s="13" t="s">
        <v>21</v>
      </c>
      <c r="H24" s="13" t="s">
        <v>22</v>
      </c>
    </row>
    <row r="25" spans="1:9" x14ac:dyDescent="0.25">
      <c r="A25" s="13">
        <v>1</v>
      </c>
      <c r="B25" s="20">
        <f>B2</f>
        <v>1678151</v>
      </c>
      <c r="C25" s="20">
        <f>C2</f>
        <v>57392.764199999998</v>
      </c>
      <c r="D25" s="23">
        <f>C25/B25</f>
        <v>3.4200000000000001E-2</v>
      </c>
      <c r="E25" s="27">
        <f>C25/B25</f>
        <v>3.4200000000000001E-2</v>
      </c>
      <c r="F25" s="14">
        <f>$C$31/$B$31</f>
        <v>3.3657350053893663E-2</v>
      </c>
      <c r="G25" s="14">
        <f t="shared" ref="G25:G30" si="8">F25 + 3 * SQRT((F25 * (1 - F25)) / B25)</f>
        <v>3.4074998885115448E-2</v>
      </c>
      <c r="H25" s="14">
        <f>F25 - 3 * SQRT((F25 * (1 - F25)) / B25)</f>
        <v>3.3239701222671877E-2</v>
      </c>
    </row>
    <row r="26" spans="1:9" x14ac:dyDescent="0.25">
      <c r="A26" s="13">
        <v>2</v>
      </c>
      <c r="B26" s="20">
        <f t="shared" ref="B26:C30" si="9">B3</f>
        <v>1678150</v>
      </c>
      <c r="C26" s="20">
        <f t="shared" si="9"/>
        <v>56889.285000000003</v>
      </c>
      <c r="D26" s="23">
        <f t="shared" ref="D26:D30" si="10">C26/B26</f>
        <v>3.39E-2</v>
      </c>
      <c r="E26" s="27">
        <f t="shared" ref="E26:E30" si="11">C26/B26</f>
        <v>3.39E-2</v>
      </c>
      <c r="F26" s="14">
        <f t="shared" ref="F26:F30" si="12">$C$31/$B$31</f>
        <v>3.3657350053893663E-2</v>
      </c>
      <c r="G26" s="14">
        <f t="shared" si="8"/>
        <v>3.4074999009552707E-2</v>
      </c>
      <c r="H26" s="14">
        <f>F26 - 3 * SQRT((F26 * (1 - F26)) / B26)</f>
        <v>3.3239701098234618E-2</v>
      </c>
    </row>
    <row r="27" spans="1:9" x14ac:dyDescent="0.25">
      <c r="A27" s="13">
        <v>3</v>
      </c>
      <c r="B27" s="20">
        <f t="shared" si="9"/>
        <v>1678150</v>
      </c>
      <c r="C27" s="20">
        <f t="shared" si="9"/>
        <v>55620.771414999996</v>
      </c>
      <c r="D27" s="23">
        <f>C27/B27</f>
        <v>3.3144099999999996E-2</v>
      </c>
      <c r="E27" s="27">
        <f t="shared" si="11"/>
        <v>3.3144099999999996E-2</v>
      </c>
      <c r="F27" s="14">
        <f t="shared" si="12"/>
        <v>3.3657350053893663E-2</v>
      </c>
      <c r="G27" s="14">
        <f t="shared" si="8"/>
        <v>3.4074999009552707E-2</v>
      </c>
      <c r="H27" s="14">
        <f t="shared" ref="H27:H30" si="13">F27 - 3 * SQRT((F27 * (1 - F27)) / B27)</f>
        <v>3.3239701098234618E-2</v>
      </c>
    </row>
    <row r="28" spans="1:9" x14ac:dyDescent="0.25">
      <c r="A28" s="13">
        <v>4</v>
      </c>
      <c r="B28" s="20">
        <f t="shared" si="9"/>
        <v>1678150</v>
      </c>
      <c r="C28" s="20">
        <f t="shared" si="9"/>
        <v>56218.025000000009</v>
      </c>
      <c r="D28" s="23">
        <f t="shared" si="10"/>
        <v>3.3500000000000002E-2</v>
      </c>
      <c r="E28" s="27">
        <f t="shared" si="11"/>
        <v>3.3500000000000002E-2</v>
      </c>
      <c r="F28" s="14">
        <f t="shared" si="12"/>
        <v>3.3657350053893663E-2</v>
      </c>
      <c r="G28" s="14">
        <f t="shared" si="8"/>
        <v>3.4074999009552707E-2</v>
      </c>
      <c r="H28" s="14">
        <f t="shared" si="13"/>
        <v>3.3239701098234618E-2</v>
      </c>
    </row>
    <row r="29" spans="1:9" x14ac:dyDescent="0.25">
      <c r="A29" s="13">
        <v>5</v>
      </c>
      <c r="B29" s="20">
        <f t="shared" si="9"/>
        <v>1678150</v>
      </c>
      <c r="C29" s="20">
        <f t="shared" si="9"/>
        <v>56385.84</v>
      </c>
      <c r="D29" s="23">
        <f t="shared" si="10"/>
        <v>3.3599999999999998E-2</v>
      </c>
      <c r="E29" s="27">
        <f t="shared" si="11"/>
        <v>3.3599999999999998E-2</v>
      </c>
      <c r="F29" s="14">
        <f t="shared" si="12"/>
        <v>3.3657350053893663E-2</v>
      </c>
      <c r="G29" s="14">
        <f t="shared" si="8"/>
        <v>3.4074999009552707E-2</v>
      </c>
      <c r="H29" s="14">
        <f t="shared" si="13"/>
        <v>3.3239701098234618E-2</v>
      </c>
    </row>
    <row r="30" spans="1:9" x14ac:dyDescent="0.25">
      <c r="A30" s="13">
        <v>6</v>
      </c>
      <c r="B30" s="20">
        <f t="shared" si="9"/>
        <v>1678150</v>
      </c>
      <c r="C30" s="20">
        <f t="shared" si="9"/>
        <v>56385.84</v>
      </c>
      <c r="D30" s="23">
        <f t="shared" si="10"/>
        <v>3.3599999999999998E-2</v>
      </c>
      <c r="E30" s="27">
        <f t="shared" si="11"/>
        <v>3.3599999999999998E-2</v>
      </c>
      <c r="F30" s="14">
        <f t="shared" si="12"/>
        <v>3.3657350053893663E-2</v>
      </c>
      <c r="G30" s="14">
        <f t="shared" si="8"/>
        <v>3.4074999009552707E-2</v>
      </c>
      <c r="H30" s="14">
        <f t="shared" si="13"/>
        <v>3.3239701098234618E-2</v>
      </c>
    </row>
    <row r="31" spans="1:9" x14ac:dyDescent="0.25">
      <c r="A31" s="8" t="s">
        <v>23</v>
      </c>
      <c r="B31" s="21">
        <f>SUM(B25:B30)</f>
        <v>10068901</v>
      </c>
      <c r="C31" s="21">
        <f>SUM(C25:C30)</f>
        <v>338892.52561499993</v>
      </c>
      <c r="D31" s="15">
        <f>SUM(D25:D30)</f>
        <v>0.20194409999999996</v>
      </c>
      <c r="E31" s="8"/>
      <c r="F31" s="8">
        <v>70400</v>
      </c>
      <c r="G31" s="15">
        <v>3.1648809523809524E-2</v>
      </c>
    </row>
    <row r="32" spans="1:9" x14ac:dyDescent="0.25">
      <c r="A32" s="8" t="s">
        <v>24</v>
      </c>
      <c r="B32" s="16">
        <f>AVERAGE(B25:B30)</f>
        <v>1678150.1666666667</v>
      </c>
      <c r="C32" s="16">
        <f>AVERAGE(C25:C30)</f>
        <v>56482.087602499989</v>
      </c>
      <c r="D32" s="15">
        <f>AVERAGE(D25:D30)</f>
        <v>3.3657349999999996E-2</v>
      </c>
      <c r="E32" s="8"/>
      <c r="F32" s="8"/>
      <c r="G32" s="8"/>
      <c r="H32" s="8"/>
      <c r="I32" s="8"/>
    </row>
    <row r="33" spans="2:5" x14ac:dyDescent="0.25">
      <c r="B33">
        <f>B31/C31</f>
        <v>29.711192307141086</v>
      </c>
      <c r="E33" s="8"/>
    </row>
    <row r="40" spans="2:5" x14ac:dyDescent="0.25">
      <c r="B40" s="26"/>
      <c r="C40" s="26"/>
      <c r="D40" s="28"/>
    </row>
    <row r="41" spans="2:5" x14ac:dyDescent="0.25">
      <c r="B41" s="26"/>
      <c r="C41" s="26"/>
      <c r="D41" s="28"/>
    </row>
    <row r="43" spans="2:5" x14ac:dyDescent="0.25">
      <c r="C43" s="22"/>
    </row>
  </sheetData>
  <mergeCells count="2">
    <mergeCell ref="F12:I12"/>
    <mergeCell ref="A12:D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Umrin</dc:creator>
  <cp:lastModifiedBy>avi</cp:lastModifiedBy>
  <dcterms:created xsi:type="dcterms:W3CDTF">2024-01-07T04:14:04Z</dcterms:created>
  <dcterms:modified xsi:type="dcterms:W3CDTF">2024-08-12T12:36:33Z</dcterms:modified>
</cp:coreProperties>
</file>