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0" yWindow="0" windowWidth="20490" windowHeight="7755" activeTab="5"/>
  </bookViews>
  <sheets>
    <sheet name="OE" sheetId="6" r:id="rId1"/>
    <sheet name="EM" sheetId="2" r:id="rId2"/>
    <sheet name="IOS" sheetId="3" r:id="rId3"/>
    <sheet name="PDN" sheetId="4" r:id="rId4"/>
    <sheet name="KL" sheetId="5" r:id="rId5"/>
    <sheet name=" TABULASI DATA" sheetId="7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4" i="2" l="1"/>
  <c r="G120" i="2"/>
  <c r="G116" i="2"/>
  <c r="G112" i="2"/>
  <c r="G108" i="2"/>
  <c r="G104" i="2"/>
  <c r="G100" i="2"/>
  <c r="G96" i="2"/>
  <c r="O85" i="6" l="1"/>
  <c r="O81" i="6"/>
  <c r="O77" i="6"/>
  <c r="O69" i="6"/>
  <c r="O51" i="6"/>
  <c r="O27" i="6"/>
  <c r="L102" i="6"/>
  <c r="O102" i="6" s="1"/>
  <c r="L101" i="6"/>
  <c r="O101" i="6" s="1"/>
  <c r="L100" i="6"/>
  <c r="O100" i="6" s="1"/>
  <c r="L99" i="6"/>
  <c r="O99" i="6" s="1"/>
  <c r="L98" i="6"/>
  <c r="O98" i="6" s="1"/>
  <c r="L97" i="6"/>
  <c r="O97" i="6" s="1"/>
  <c r="L91" i="6"/>
  <c r="O91" i="6" s="1"/>
  <c r="L90" i="6"/>
  <c r="O90" i="6" s="1"/>
  <c r="L89" i="6"/>
  <c r="O89" i="6" s="1"/>
  <c r="L88" i="6"/>
  <c r="O88" i="6" s="1"/>
  <c r="L87" i="6"/>
  <c r="O87" i="6" s="1"/>
  <c r="L75" i="6"/>
  <c r="O75" i="6" s="1"/>
  <c r="L66" i="6"/>
  <c r="O66" i="6" s="1"/>
  <c r="L65" i="6"/>
  <c r="O65" i="6" s="1"/>
  <c r="L64" i="6"/>
  <c r="O64" i="6" s="1"/>
  <c r="L63" i="6"/>
  <c r="O63" i="6" s="1"/>
  <c r="L62" i="6"/>
  <c r="O62" i="6" s="1"/>
  <c r="L54" i="6"/>
  <c r="O54" i="6" s="1"/>
  <c r="L53" i="6"/>
  <c r="O53" i="6" s="1"/>
  <c r="L52" i="6"/>
  <c r="O52" i="6" s="1"/>
  <c r="L51" i="6"/>
  <c r="L30" i="6"/>
  <c r="O30" i="6" s="1"/>
  <c r="L29" i="6"/>
  <c r="O29" i="6" s="1"/>
  <c r="L28" i="6"/>
  <c r="O28" i="6" s="1"/>
  <c r="L27" i="6"/>
  <c r="K126" i="6"/>
  <c r="L126" i="6" s="1"/>
  <c r="O126" i="6" s="1"/>
  <c r="K125" i="6"/>
  <c r="L125" i="6" s="1"/>
  <c r="O125" i="6" s="1"/>
  <c r="K124" i="6"/>
  <c r="L124" i="6" s="1"/>
  <c r="O124" i="6" s="1"/>
  <c r="K123" i="6"/>
  <c r="L123" i="6" s="1"/>
  <c r="O123" i="6" s="1"/>
  <c r="K122" i="6"/>
  <c r="K121" i="6"/>
  <c r="K120" i="6"/>
  <c r="K119" i="6"/>
  <c r="K118" i="6"/>
  <c r="L118" i="6" s="1"/>
  <c r="O118" i="6" s="1"/>
  <c r="K117" i="6"/>
  <c r="L117" i="6" s="1"/>
  <c r="O117" i="6" s="1"/>
  <c r="K116" i="6"/>
  <c r="L116" i="6" s="1"/>
  <c r="O116" i="6" s="1"/>
  <c r="K115" i="6"/>
  <c r="L115" i="6" s="1"/>
  <c r="O115" i="6" s="1"/>
  <c r="K114" i="6"/>
  <c r="L114" i="6" s="1"/>
  <c r="O114" i="6" s="1"/>
  <c r="K113" i="6"/>
  <c r="L113" i="6" s="1"/>
  <c r="O113" i="6" s="1"/>
  <c r="K112" i="6"/>
  <c r="L112" i="6" s="1"/>
  <c r="O112" i="6" s="1"/>
  <c r="K111" i="6"/>
  <c r="L111" i="6" s="1"/>
  <c r="O111" i="6" s="1"/>
  <c r="K110" i="6"/>
  <c r="L110" i="6" s="1"/>
  <c r="O110" i="6" s="1"/>
  <c r="K109" i="6"/>
  <c r="L109" i="6" s="1"/>
  <c r="O109" i="6" s="1"/>
  <c r="K108" i="6"/>
  <c r="L108" i="6" s="1"/>
  <c r="O108" i="6" s="1"/>
  <c r="K107" i="6"/>
  <c r="L107" i="6" s="1"/>
  <c r="O107" i="6" s="1"/>
  <c r="K106" i="6"/>
  <c r="L106" i="6" s="1"/>
  <c r="O106" i="6" s="1"/>
  <c r="K105" i="6"/>
  <c r="L105" i="6" s="1"/>
  <c r="O105" i="6" s="1"/>
  <c r="K104" i="6"/>
  <c r="L104" i="6" s="1"/>
  <c r="O104" i="6" s="1"/>
  <c r="K103" i="6"/>
  <c r="L103" i="6" s="1"/>
  <c r="O103" i="6" s="1"/>
  <c r="K96" i="6"/>
  <c r="L96" i="6" s="1"/>
  <c r="O96" i="6" s="1"/>
  <c r="K95" i="6"/>
  <c r="L95" i="6" s="1"/>
  <c r="O95" i="6" s="1"/>
  <c r="K94" i="6"/>
  <c r="L94" i="6" s="1"/>
  <c r="O94" i="6" s="1"/>
  <c r="K93" i="6"/>
  <c r="L93" i="6" s="1"/>
  <c r="O93" i="6" s="1"/>
  <c r="K92" i="6"/>
  <c r="L92" i="6" s="1"/>
  <c r="O92" i="6" s="1"/>
  <c r="K86" i="6"/>
  <c r="L86" i="6" s="1"/>
  <c r="O86" i="6" s="1"/>
  <c r="K85" i="6"/>
  <c r="L85" i="6" s="1"/>
  <c r="K84" i="6"/>
  <c r="L84" i="6" s="1"/>
  <c r="O84" i="6" s="1"/>
  <c r="K83" i="6"/>
  <c r="L83" i="6" s="1"/>
  <c r="O83" i="6" s="1"/>
  <c r="K82" i="6"/>
  <c r="L82" i="6" s="1"/>
  <c r="O82" i="6" s="1"/>
  <c r="K81" i="6"/>
  <c r="L81" i="6" s="1"/>
  <c r="K80" i="6"/>
  <c r="L80" i="6" s="1"/>
  <c r="O80" i="6" s="1"/>
  <c r="K79" i="6"/>
  <c r="L79" i="6" s="1"/>
  <c r="O79" i="6" s="1"/>
  <c r="K78" i="6"/>
  <c r="L78" i="6" s="1"/>
  <c r="O78" i="6" s="1"/>
  <c r="K77" i="6"/>
  <c r="L77" i="6" s="1"/>
  <c r="K76" i="6"/>
  <c r="L76" i="6" s="1"/>
  <c r="O76" i="6" s="1"/>
  <c r="K75" i="6"/>
  <c r="K70" i="6"/>
  <c r="L70" i="6" s="1"/>
  <c r="O70" i="6" s="1"/>
  <c r="K69" i="6"/>
  <c r="L69" i="6" s="1"/>
  <c r="K68" i="6"/>
  <c r="L68" i="6" s="1"/>
  <c r="O68" i="6" s="1"/>
  <c r="K67" i="6"/>
  <c r="L67" i="6" s="1"/>
  <c r="O67" i="6" s="1"/>
  <c r="K61" i="6"/>
  <c r="L61" i="6" s="1"/>
  <c r="O61" i="6" s="1"/>
  <c r="K60" i="6"/>
  <c r="L60" i="6" s="1"/>
  <c r="O60" i="6" s="1"/>
  <c r="K59" i="6"/>
  <c r="L59" i="6" s="1"/>
  <c r="O59" i="6" s="1"/>
  <c r="K58" i="6"/>
  <c r="K57" i="6"/>
  <c r="K56" i="6"/>
  <c r="K55" i="6"/>
  <c r="K50" i="6"/>
  <c r="L50" i="6" s="1"/>
  <c r="O50" i="6" s="1"/>
  <c r="K49" i="6"/>
  <c r="L49" i="6" s="1"/>
  <c r="O49" i="6" s="1"/>
  <c r="K48" i="6"/>
  <c r="L48" i="6" s="1"/>
  <c r="O48" i="6" s="1"/>
  <c r="K47" i="6"/>
  <c r="L47" i="6" s="1"/>
  <c r="O47" i="6" s="1"/>
  <c r="K46" i="6"/>
  <c r="L46" i="6" s="1"/>
  <c r="O46" i="6" s="1"/>
  <c r="K45" i="6"/>
  <c r="L45" i="6" s="1"/>
  <c r="O45" i="6" s="1"/>
  <c r="K44" i="6"/>
  <c r="L44" i="6" s="1"/>
  <c r="O44" i="6" s="1"/>
  <c r="K43" i="6"/>
  <c r="L43" i="6" s="1"/>
  <c r="O43" i="6" s="1"/>
  <c r="K42" i="6"/>
  <c r="L42" i="6" s="1"/>
  <c r="O42" i="6" s="1"/>
  <c r="K41" i="6"/>
  <c r="L41" i="6" s="1"/>
  <c r="O41" i="6" s="1"/>
  <c r="K40" i="6"/>
  <c r="L40" i="6" s="1"/>
  <c r="O40" i="6" s="1"/>
  <c r="K39" i="6"/>
  <c r="L39" i="6" s="1"/>
  <c r="O39" i="6" s="1"/>
  <c r="K38" i="6"/>
  <c r="L38" i="6" s="1"/>
  <c r="O38" i="6" s="1"/>
  <c r="K37" i="6"/>
  <c r="L37" i="6" s="1"/>
  <c r="O37" i="6" s="1"/>
  <c r="K36" i="6"/>
  <c r="L36" i="6" s="1"/>
  <c r="O36" i="6" s="1"/>
  <c r="K35" i="6"/>
  <c r="L35" i="6" s="1"/>
  <c r="O35" i="6" s="1"/>
  <c r="K34" i="6"/>
  <c r="L34" i="6" s="1"/>
  <c r="O34" i="6" s="1"/>
  <c r="K33" i="6"/>
  <c r="L33" i="6" s="1"/>
  <c r="O33" i="6" s="1"/>
  <c r="K32" i="6"/>
  <c r="L32" i="6" s="1"/>
  <c r="O32" i="6" s="1"/>
  <c r="K31" i="6"/>
  <c r="L31" i="6" s="1"/>
  <c r="O31" i="6" s="1"/>
  <c r="K26" i="6"/>
  <c r="L26" i="6" s="1"/>
  <c r="O26" i="6" s="1"/>
  <c r="K25" i="6"/>
  <c r="L25" i="6" s="1"/>
  <c r="O25" i="6" s="1"/>
  <c r="K24" i="6"/>
  <c r="L24" i="6" s="1"/>
  <c r="O24" i="6" s="1"/>
  <c r="K23" i="6"/>
  <c r="L23" i="6" s="1"/>
  <c r="O23" i="6" s="1"/>
  <c r="K22" i="6"/>
  <c r="L22" i="6" s="1"/>
  <c r="O22" i="6" s="1"/>
  <c r="K21" i="6"/>
  <c r="L21" i="6" s="1"/>
  <c r="O21" i="6" s="1"/>
  <c r="K20" i="6"/>
  <c r="L20" i="6" s="1"/>
  <c r="O20" i="6" s="1"/>
  <c r="K19" i="6"/>
  <c r="K18" i="6"/>
  <c r="L18" i="6" s="1"/>
  <c r="O18" i="6" s="1"/>
  <c r="K17" i="6"/>
  <c r="L17" i="6" s="1"/>
  <c r="O17" i="6" s="1"/>
  <c r="K16" i="6"/>
  <c r="L16" i="6" s="1"/>
  <c r="O16" i="6" s="1"/>
  <c r="K15" i="6"/>
  <c r="L15" i="6" s="1"/>
  <c r="O15" i="6" s="1"/>
  <c r="K14" i="6"/>
  <c r="L14" i="6" s="1"/>
  <c r="O14" i="6" s="1"/>
  <c r="K13" i="6"/>
  <c r="L13" i="6" s="1"/>
  <c r="O13" i="6" s="1"/>
  <c r="K12" i="6"/>
  <c r="L12" i="6" s="1"/>
  <c r="O12" i="6" s="1"/>
  <c r="K11" i="6"/>
  <c r="L11" i="6" s="1"/>
  <c r="O11" i="6" s="1"/>
  <c r="K10" i="6"/>
  <c r="L10" i="6" s="1"/>
  <c r="O10" i="6" s="1"/>
  <c r="K9" i="6"/>
  <c r="L9" i="6" s="1"/>
  <c r="O9" i="6" s="1"/>
  <c r="K8" i="6"/>
  <c r="L8" i="6" s="1"/>
  <c r="O8" i="6" s="1"/>
  <c r="K7" i="6"/>
  <c r="L7" i="6" s="1"/>
  <c r="O7" i="6" s="1"/>
  <c r="K6" i="6"/>
  <c r="K5" i="6"/>
  <c r="K4" i="6"/>
  <c r="K3" i="6"/>
  <c r="F110" i="6" l="1"/>
  <c r="I110" i="6" s="1"/>
  <c r="F108" i="6"/>
  <c r="I108" i="6" s="1"/>
  <c r="F107" i="6"/>
  <c r="I107" i="6" s="1"/>
  <c r="F106" i="6"/>
  <c r="I106" i="6" s="1"/>
  <c r="F105" i="6"/>
  <c r="I105" i="6" s="1"/>
  <c r="F102" i="6"/>
  <c r="I102" i="6" s="1"/>
  <c r="F101" i="6"/>
  <c r="I101" i="6" s="1"/>
  <c r="F98" i="6"/>
  <c r="I98" i="6" s="1"/>
  <c r="F97" i="6"/>
  <c r="I97" i="6" s="1"/>
  <c r="F91" i="6"/>
  <c r="I91" i="6" s="1"/>
  <c r="F90" i="6"/>
  <c r="I90" i="6" s="1"/>
  <c r="F89" i="6"/>
  <c r="I89" i="6" s="1"/>
  <c r="F88" i="6"/>
  <c r="I88" i="6" s="1"/>
  <c r="F87" i="6"/>
  <c r="I87" i="6" s="1"/>
  <c r="F66" i="6"/>
  <c r="I66" i="6" s="1"/>
  <c r="F65" i="6"/>
  <c r="I65" i="6" s="1"/>
  <c r="F64" i="6"/>
  <c r="I64" i="6" s="1"/>
  <c r="F63" i="6"/>
  <c r="I63" i="6" s="1"/>
  <c r="F62" i="6"/>
  <c r="I62" i="6" s="1"/>
  <c r="F54" i="6"/>
  <c r="I54" i="6" s="1"/>
  <c r="F53" i="6"/>
  <c r="I53" i="6" s="1"/>
  <c r="F52" i="6"/>
  <c r="I52" i="6" s="1"/>
  <c r="F51" i="6"/>
  <c r="I51" i="6" s="1"/>
  <c r="F50" i="6"/>
  <c r="I50" i="6" s="1"/>
  <c r="F49" i="6"/>
  <c r="I49" i="6" s="1"/>
  <c r="F48" i="6"/>
  <c r="I48" i="6" s="1"/>
  <c r="F47" i="6"/>
  <c r="I47" i="6" s="1"/>
  <c r="F30" i="6"/>
  <c r="I30" i="6" s="1"/>
  <c r="F29" i="6"/>
  <c r="I29" i="6" s="1"/>
  <c r="F28" i="6"/>
  <c r="I28" i="6" s="1"/>
  <c r="F27" i="6"/>
  <c r="I27" i="6" s="1"/>
  <c r="F25" i="6"/>
  <c r="I25" i="6" s="1"/>
  <c r="F24" i="6"/>
  <c r="I24" i="6" s="1"/>
  <c r="F23" i="6"/>
  <c r="I23" i="6" s="1"/>
  <c r="F17" i="6"/>
  <c r="I17" i="6" s="1"/>
  <c r="F16" i="6"/>
  <c r="I16" i="6" s="1"/>
  <c r="F9" i="6"/>
  <c r="I9" i="6" s="1"/>
  <c r="F8" i="6"/>
  <c r="I8" i="6" s="1"/>
  <c r="F7" i="6"/>
  <c r="I7" i="6" s="1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 l="1"/>
  <c r="I39" i="4"/>
  <c r="I38" i="4"/>
  <c r="I37" i="4"/>
  <c r="I36" i="4"/>
  <c r="I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I34" i="4"/>
  <c r="F33" i="4"/>
  <c r="I33" i="4" s="1"/>
  <c r="F32" i="4"/>
  <c r="I32" i="4" s="1"/>
  <c r="F31" i="4"/>
  <c r="I31" i="4"/>
  <c r="F30" i="4"/>
  <c r="I30" i="4" s="1"/>
  <c r="F29" i="4"/>
  <c r="I29" i="4"/>
  <c r="F28" i="4"/>
  <c r="I28" i="4" s="1"/>
  <c r="F27" i="4"/>
  <c r="I27" i="4" s="1"/>
  <c r="F26" i="4"/>
  <c r="I26" i="4" s="1"/>
  <c r="F25" i="4"/>
  <c r="I25" i="4" s="1"/>
  <c r="F24" i="4"/>
  <c r="I24" i="4"/>
  <c r="F23" i="4"/>
  <c r="I23" i="4"/>
  <c r="F22" i="4"/>
  <c r="I22" i="4" s="1"/>
  <c r="F21" i="4"/>
  <c r="I21" i="4" s="1"/>
  <c r="F20" i="4"/>
  <c r="I20" i="4" s="1"/>
  <c r="F19" i="4"/>
  <c r="I19" i="4"/>
  <c r="F18" i="4"/>
  <c r="I18" i="4"/>
  <c r="F17" i="4"/>
  <c r="I17" i="4"/>
  <c r="F16" i="4"/>
  <c r="I16" i="4" s="1"/>
  <c r="F15" i="4"/>
  <c r="I15" i="4"/>
  <c r="F14" i="4"/>
  <c r="I14" i="4" s="1"/>
  <c r="F13" i="4"/>
  <c r="I13" i="4" s="1"/>
  <c r="F12" i="4"/>
  <c r="I12" i="4" s="1"/>
  <c r="F11" i="4"/>
  <c r="I11" i="4" s="1"/>
  <c r="F10" i="4"/>
  <c r="I10" i="4" s="1"/>
  <c r="F9" i="4"/>
  <c r="I9" i="4" s="1"/>
  <c r="F111" i="2"/>
  <c r="F109" i="2"/>
  <c r="F108" i="2"/>
  <c r="H108" i="2" s="1"/>
  <c r="F107" i="2"/>
  <c r="F106" i="2"/>
  <c r="F103" i="2"/>
  <c r="H103" i="2" s="1"/>
  <c r="F102" i="2"/>
  <c r="F99" i="2"/>
  <c r="H99" i="2" s="1"/>
  <c r="F98" i="2"/>
  <c r="F92" i="2"/>
  <c r="F91" i="2"/>
  <c r="H91" i="2" s="1"/>
  <c r="F90" i="2"/>
  <c r="H90" i="2" s="1"/>
  <c r="F89" i="2"/>
  <c r="H89" i="2" s="1"/>
  <c r="F88" i="2"/>
  <c r="H88" i="2" s="1"/>
  <c r="F75" i="2"/>
  <c r="H75" i="2" s="1"/>
  <c r="F74" i="2"/>
  <c r="H74" i="2" s="1"/>
  <c r="F73" i="2"/>
  <c r="H73" i="2" s="1"/>
  <c r="F72" i="2"/>
  <c r="H72" i="2" s="1"/>
  <c r="F67" i="2"/>
  <c r="H67" i="2" s="1"/>
  <c r="F66" i="2"/>
  <c r="H66" i="2" s="1"/>
  <c r="F65" i="2"/>
  <c r="H65" i="2" s="1"/>
  <c r="F64" i="2"/>
  <c r="H64" i="2" s="1"/>
  <c r="F63" i="2"/>
  <c r="H63" i="2" s="1"/>
  <c r="F55" i="2"/>
  <c r="H55" i="2" s="1"/>
  <c r="F54" i="2"/>
  <c r="H54" i="2" s="1"/>
  <c r="F53" i="2"/>
  <c r="H53" i="2" s="1"/>
  <c r="F52" i="2"/>
  <c r="H52" i="2" s="1"/>
  <c r="F31" i="2"/>
  <c r="H31" i="2" s="1"/>
  <c r="F30" i="2"/>
  <c r="H30" i="2" s="1"/>
  <c r="F29" i="2"/>
  <c r="H29" i="2" s="1"/>
  <c r="F28" i="2"/>
  <c r="H28" i="2" s="1"/>
  <c r="F24" i="2"/>
  <c r="H24" i="2" s="1"/>
  <c r="F18" i="2"/>
  <c r="F17" i="2"/>
  <c r="H102" i="2" l="1"/>
  <c r="H17" i="2"/>
  <c r="G92" i="2"/>
  <c r="H92" i="2" s="1"/>
  <c r="G84" i="2"/>
  <c r="G80" i="2"/>
  <c r="G76" i="2"/>
  <c r="G68" i="2"/>
  <c r="G60" i="2"/>
  <c r="G56" i="2"/>
  <c r="G48" i="2"/>
  <c r="G44" i="2"/>
  <c r="G40" i="2"/>
  <c r="G36" i="2"/>
  <c r="G32" i="2"/>
  <c r="G20" i="2"/>
  <c r="G16" i="2"/>
  <c r="G12" i="2"/>
  <c r="G8" i="2"/>
  <c r="G4" i="2"/>
  <c r="G127" i="2"/>
  <c r="G126" i="2"/>
  <c r="G125" i="2"/>
  <c r="G123" i="2"/>
  <c r="G122" i="2"/>
  <c r="G121" i="2"/>
  <c r="G119" i="2"/>
  <c r="G118" i="2"/>
  <c r="G117" i="2"/>
  <c r="G115" i="2"/>
  <c r="G114" i="2"/>
  <c r="G113" i="2"/>
  <c r="G111" i="2"/>
  <c r="H111" i="2" s="1"/>
  <c r="G110" i="2"/>
  <c r="G109" i="2"/>
  <c r="H109" i="2" s="1"/>
  <c r="G107" i="2"/>
  <c r="H107" i="2" s="1"/>
  <c r="G106" i="2"/>
  <c r="H106" i="2" s="1"/>
  <c r="G105" i="2"/>
  <c r="G102" i="2"/>
  <c r="G101" i="2"/>
  <c r="G98" i="2"/>
  <c r="H98" i="2" s="1"/>
  <c r="G97" i="2"/>
  <c r="G87" i="2"/>
  <c r="G86" i="2"/>
  <c r="G83" i="2"/>
  <c r="G82" i="2"/>
  <c r="G81" i="2"/>
  <c r="G79" i="2"/>
  <c r="G78" i="2"/>
  <c r="G77" i="2"/>
  <c r="G71" i="2"/>
  <c r="G70" i="2"/>
  <c r="G69" i="2"/>
  <c r="G59" i="2"/>
  <c r="G58" i="2"/>
  <c r="G57" i="2"/>
  <c r="G51" i="2"/>
  <c r="G50" i="2"/>
  <c r="G49" i="2"/>
  <c r="G47" i="2"/>
  <c r="G46" i="2"/>
  <c r="G45" i="2"/>
  <c r="G43" i="2"/>
  <c r="G42" i="2"/>
  <c r="G41" i="2"/>
  <c r="G39" i="2"/>
  <c r="G38" i="2"/>
  <c r="G37" i="2"/>
  <c r="G35" i="2"/>
  <c r="G34" i="2"/>
  <c r="G33" i="2"/>
  <c r="G27" i="2"/>
  <c r="G26" i="2"/>
  <c r="G25" i="2"/>
  <c r="G23" i="2"/>
  <c r="G22" i="2"/>
  <c r="G21" i="2"/>
  <c r="G19" i="2"/>
  <c r="G18" i="2"/>
  <c r="H18" i="2" s="1"/>
  <c r="G17" i="2"/>
  <c r="G15" i="2"/>
  <c r="G14" i="2"/>
  <c r="G13" i="2"/>
  <c r="G11" i="2"/>
  <c r="G10" i="2"/>
  <c r="G9" i="2"/>
  <c r="G7" i="2"/>
  <c r="G6" i="2"/>
  <c r="G5" i="2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7" i="5"/>
  <c r="E112" i="5"/>
  <c r="E111" i="5"/>
  <c r="E108" i="5"/>
  <c r="E107" i="5"/>
  <c r="E104" i="5"/>
  <c r="E103" i="5"/>
  <c r="E102" i="5"/>
  <c r="E101" i="5"/>
  <c r="E100" i="5"/>
  <c r="E94" i="5"/>
  <c r="E93" i="5"/>
  <c r="E92" i="5"/>
  <c r="E91" i="5"/>
  <c r="E90" i="5"/>
  <c r="E89" i="5"/>
  <c r="E88" i="5"/>
  <c r="E87" i="5"/>
  <c r="E86" i="5"/>
  <c r="E85" i="5"/>
  <c r="E84" i="5"/>
  <c r="E83" i="5"/>
  <c r="E78" i="5"/>
  <c r="E77" i="5"/>
  <c r="E76" i="5"/>
  <c r="E75" i="5"/>
  <c r="E69" i="5"/>
  <c r="E68" i="5"/>
  <c r="E67" i="5"/>
  <c r="E66" i="5"/>
  <c r="E65" i="5"/>
  <c r="E64" i="5"/>
  <c r="E63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4" i="5"/>
  <c r="E30" i="5"/>
  <c r="E29" i="5"/>
  <c r="E28" i="5"/>
  <c r="E27" i="5"/>
  <c r="E26" i="5"/>
  <c r="E23" i="5"/>
  <c r="E22" i="5"/>
  <c r="E21" i="5"/>
  <c r="E20" i="5"/>
  <c r="E19" i="5"/>
  <c r="E18" i="5"/>
  <c r="E14" i="5"/>
  <c r="E13" i="5"/>
  <c r="E12" i="5"/>
  <c r="E11" i="5"/>
  <c r="E6" i="5"/>
  <c r="D134" i="5"/>
  <c r="D133" i="5"/>
  <c r="D132" i="5"/>
  <c r="D131" i="5"/>
  <c r="D90" i="5"/>
  <c r="D89" i="5"/>
  <c r="D88" i="5"/>
  <c r="D87" i="5"/>
  <c r="D86" i="5"/>
  <c r="D85" i="5"/>
  <c r="D84" i="5"/>
  <c r="D83" i="5"/>
  <c r="D78" i="5"/>
  <c r="D77" i="5"/>
  <c r="D76" i="5"/>
  <c r="D75" i="5"/>
  <c r="D66" i="5"/>
  <c r="D65" i="5"/>
  <c r="D64" i="5"/>
  <c r="D63" i="5"/>
  <c r="D58" i="5"/>
  <c r="D57" i="5"/>
  <c r="D56" i="5"/>
  <c r="D55" i="5"/>
  <c r="D50" i="5"/>
  <c r="D49" i="5"/>
  <c r="D48" i="5"/>
  <c r="D47" i="5"/>
  <c r="D46" i="5"/>
  <c r="D45" i="5"/>
  <c r="D44" i="5"/>
  <c r="D43" i="5"/>
  <c r="D42" i="5"/>
  <c r="D41" i="5"/>
  <c r="D40" i="5"/>
  <c r="D39" i="5"/>
  <c r="D34" i="5"/>
  <c r="D33" i="5"/>
  <c r="D32" i="5"/>
  <c r="D18" i="5"/>
  <c r="D17" i="5"/>
  <c r="D16" i="5"/>
  <c r="D15" i="5"/>
  <c r="D10" i="5"/>
  <c r="D9" i="5"/>
  <c r="D8" i="5"/>
  <c r="D7" i="5"/>
  <c r="D6" i="5"/>
  <c r="D5" i="5"/>
  <c r="D4" i="5"/>
  <c r="D3" i="5"/>
  <c r="G51" i="3"/>
  <c r="G91" i="3"/>
  <c r="G27" i="3"/>
  <c r="F8" i="4"/>
  <c r="I8" i="4" s="1"/>
  <c r="E127" i="2" l="1"/>
  <c r="E126" i="2"/>
  <c r="E125" i="2"/>
  <c r="E124" i="2"/>
  <c r="E83" i="2"/>
  <c r="E82" i="2"/>
  <c r="E81" i="2"/>
  <c r="E80" i="2"/>
  <c r="E79" i="2"/>
  <c r="E78" i="2"/>
  <c r="E77" i="2"/>
  <c r="E76" i="2"/>
  <c r="E71" i="2"/>
  <c r="E70" i="2"/>
  <c r="E69" i="2"/>
  <c r="E68" i="2"/>
  <c r="E59" i="2"/>
  <c r="E58" i="2"/>
  <c r="E57" i="2"/>
  <c r="E56" i="2"/>
  <c r="E51" i="2"/>
  <c r="F51" i="2" s="1"/>
  <c r="H51" i="2" s="1"/>
  <c r="E50" i="2"/>
  <c r="F50" i="2" s="1"/>
  <c r="H50" i="2" s="1"/>
  <c r="E49" i="2"/>
  <c r="F49" i="2" s="1"/>
  <c r="H49" i="2" s="1"/>
  <c r="E48" i="2"/>
  <c r="F48" i="2" s="1"/>
  <c r="H48" i="2" s="1"/>
  <c r="E43" i="2"/>
  <c r="E42" i="2"/>
  <c r="E41" i="2"/>
  <c r="E40" i="2"/>
  <c r="E39" i="2"/>
  <c r="E38" i="2"/>
  <c r="E37" i="2"/>
  <c r="E36" i="2"/>
  <c r="E35" i="2"/>
  <c r="E34" i="2"/>
  <c r="E33" i="2"/>
  <c r="E32" i="2"/>
  <c r="E27" i="2"/>
  <c r="E26" i="2"/>
  <c r="F26" i="2" s="1"/>
  <c r="H26" i="2" s="1"/>
  <c r="E25" i="2"/>
  <c r="F25" i="2" s="1"/>
  <c r="H25" i="2" s="1"/>
  <c r="E11" i="2"/>
  <c r="E10" i="2"/>
  <c r="F10" i="2" s="1"/>
  <c r="H10" i="2" s="1"/>
  <c r="E9" i="2"/>
  <c r="F9" i="2" s="1"/>
  <c r="H9" i="2" s="1"/>
  <c r="E8" i="2"/>
  <c r="F8" i="2" s="1"/>
  <c r="H8" i="2" s="1"/>
  <c r="I7" i="4"/>
  <c r="F7" i="4"/>
  <c r="I6" i="4"/>
  <c r="F6" i="4"/>
  <c r="E32" i="4"/>
  <c r="G31" i="4"/>
  <c r="E18" i="4"/>
  <c r="E17" i="4"/>
  <c r="E16" i="4"/>
  <c r="E15" i="4"/>
  <c r="G15" i="4"/>
  <c r="E131" i="4"/>
  <c r="E132" i="4"/>
  <c r="G131" i="4"/>
  <c r="E133" i="4"/>
  <c r="E134" i="4"/>
  <c r="G132" i="4"/>
  <c r="G133" i="4"/>
  <c r="G134" i="4"/>
  <c r="G127" i="4"/>
  <c r="D122" i="3"/>
  <c r="D121" i="3"/>
  <c r="D120" i="3"/>
  <c r="D119" i="3"/>
  <c r="D74" i="3"/>
  <c r="D73" i="3"/>
  <c r="D72" i="3"/>
  <c r="D71" i="3"/>
  <c r="D58" i="3"/>
  <c r="D57" i="3"/>
  <c r="D56" i="3"/>
  <c r="D55" i="3"/>
  <c r="D19" i="3"/>
  <c r="D6" i="3"/>
  <c r="D5" i="3"/>
  <c r="D4" i="3"/>
  <c r="D3" i="3"/>
  <c r="D127" i="2"/>
  <c r="F127" i="2" s="1"/>
  <c r="H127" i="2" s="1"/>
  <c r="D126" i="2"/>
  <c r="F126" i="2" s="1"/>
  <c r="H126" i="2" s="1"/>
  <c r="D125" i="2"/>
  <c r="F125" i="2" s="1"/>
  <c r="H125" i="2" s="1"/>
  <c r="D124" i="2"/>
  <c r="F124" i="2" s="1"/>
  <c r="H124" i="2" s="1"/>
  <c r="D123" i="2"/>
  <c r="F123" i="2" s="1"/>
  <c r="H123" i="2" s="1"/>
  <c r="D122" i="2"/>
  <c r="F122" i="2" s="1"/>
  <c r="H122" i="2" s="1"/>
  <c r="D121" i="2"/>
  <c r="F121" i="2" s="1"/>
  <c r="H121" i="2" s="1"/>
  <c r="D120" i="2"/>
  <c r="F120" i="2" s="1"/>
  <c r="H120" i="2" s="1"/>
  <c r="D119" i="2"/>
  <c r="F119" i="2" s="1"/>
  <c r="H119" i="2" s="1"/>
  <c r="D118" i="2"/>
  <c r="F118" i="2" s="1"/>
  <c r="H118" i="2" s="1"/>
  <c r="D117" i="2"/>
  <c r="F117" i="2" s="1"/>
  <c r="H117" i="2" s="1"/>
  <c r="D116" i="2"/>
  <c r="F116" i="2" s="1"/>
  <c r="H116" i="2" s="1"/>
  <c r="D115" i="2"/>
  <c r="F115" i="2" s="1"/>
  <c r="H115" i="2" s="1"/>
  <c r="D114" i="2"/>
  <c r="F114" i="2" s="1"/>
  <c r="H114" i="2" s="1"/>
  <c r="D113" i="2"/>
  <c r="F113" i="2" s="1"/>
  <c r="H113" i="2" s="1"/>
  <c r="D112" i="2"/>
  <c r="F112" i="2" s="1"/>
  <c r="H112" i="2" s="1"/>
  <c r="D110" i="2"/>
  <c r="F110" i="2" s="1"/>
  <c r="H110" i="2" s="1"/>
  <c r="D105" i="2"/>
  <c r="F105" i="2" s="1"/>
  <c r="H105" i="2" s="1"/>
  <c r="D104" i="2"/>
  <c r="F104" i="2" s="1"/>
  <c r="H104" i="2" s="1"/>
  <c r="D101" i="2"/>
  <c r="F101" i="2" s="1"/>
  <c r="H101" i="2" s="1"/>
  <c r="D100" i="2"/>
  <c r="F100" i="2" s="1"/>
  <c r="H100" i="2" s="1"/>
  <c r="D97" i="2"/>
  <c r="F97" i="2" s="1"/>
  <c r="H97" i="2" s="1"/>
  <c r="D96" i="2"/>
  <c r="F96" i="2" s="1"/>
  <c r="H96" i="2" s="1"/>
  <c r="D95" i="2"/>
  <c r="F95" i="2" s="1"/>
  <c r="H95" i="2" s="1"/>
  <c r="D94" i="2"/>
  <c r="F94" i="2" s="1"/>
  <c r="H94" i="2" s="1"/>
  <c r="D93" i="2"/>
  <c r="F93" i="2" s="1"/>
  <c r="H93" i="2" s="1"/>
  <c r="D87" i="2"/>
  <c r="F87" i="2" s="1"/>
  <c r="H87" i="2" s="1"/>
  <c r="D86" i="2"/>
  <c r="F86" i="2" s="1"/>
  <c r="H86" i="2" s="1"/>
  <c r="D85" i="2"/>
  <c r="F85" i="2" s="1"/>
  <c r="H85" i="2" s="1"/>
  <c r="D84" i="2"/>
  <c r="F84" i="2" s="1"/>
  <c r="H84" i="2" s="1"/>
  <c r="D83" i="2"/>
  <c r="F83" i="2" s="1"/>
  <c r="H83" i="2" s="1"/>
  <c r="D82" i="2"/>
  <c r="F82" i="2" s="1"/>
  <c r="H82" i="2" s="1"/>
  <c r="D81" i="2"/>
  <c r="F81" i="2" s="1"/>
  <c r="H81" i="2" s="1"/>
  <c r="D80" i="2"/>
  <c r="D79" i="2"/>
  <c r="F79" i="2" s="1"/>
  <c r="H79" i="2" s="1"/>
  <c r="D78" i="2"/>
  <c r="F78" i="2" s="1"/>
  <c r="H78" i="2" s="1"/>
  <c r="D77" i="2"/>
  <c r="F77" i="2" s="1"/>
  <c r="H77" i="2" s="1"/>
  <c r="D76" i="2"/>
  <c r="D71" i="2"/>
  <c r="F71" i="2" s="1"/>
  <c r="H71" i="2" s="1"/>
  <c r="D70" i="2"/>
  <c r="F70" i="2" s="1"/>
  <c r="H70" i="2" s="1"/>
  <c r="D69" i="2"/>
  <c r="F69" i="2" s="1"/>
  <c r="H69" i="2" s="1"/>
  <c r="D68" i="2"/>
  <c r="D62" i="2"/>
  <c r="F62" i="2" s="1"/>
  <c r="H62" i="2" s="1"/>
  <c r="D61" i="2"/>
  <c r="F61" i="2" s="1"/>
  <c r="H61" i="2" s="1"/>
  <c r="D60" i="2"/>
  <c r="F60" i="2" s="1"/>
  <c r="H60" i="2" s="1"/>
  <c r="D59" i="2"/>
  <c r="F59" i="2" s="1"/>
  <c r="H59" i="2" s="1"/>
  <c r="D58" i="2"/>
  <c r="F58" i="2" s="1"/>
  <c r="H58" i="2" s="1"/>
  <c r="D57" i="2"/>
  <c r="F57" i="2" s="1"/>
  <c r="H57" i="2" s="1"/>
  <c r="D56" i="2"/>
  <c r="D47" i="2"/>
  <c r="F47" i="2" s="1"/>
  <c r="H47" i="2" s="1"/>
  <c r="D46" i="2"/>
  <c r="F46" i="2" s="1"/>
  <c r="H46" i="2" s="1"/>
  <c r="D45" i="2"/>
  <c r="F45" i="2" s="1"/>
  <c r="H45" i="2" s="1"/>
  <c r="D44" i="2"/>
  <c r="F44" i="2" s="1"/>
  <c r="H44" i="2" s="1"/>
  <c r="D43" i="2"/>
  <c r="F43" i="2" s="1"/>
  <c r="H43" i="2" s="1"/>
  <c r="D42" i="2"/>
  <c r="F42" i="2" s="1"/>
  <c r="H42" i="2" s="1"/>
  <c r="D41" i="2"/>
  <c r="F41" i="2" s="1"/>
  <c r="H41" i="2" s="1"/>
  <c r="D40" i="2"/>
  <c r="D39" i="2"/>
  <c r="F39" i="2" s="1"/>
  <c r="H39" i="2" s="1"/>
  <c r="D38" i="2"/>
  <c r="F38" i="2" s="1"/>
  <c r="H38" i="2" s="1"/>
  <c r="D37" i="2"/>
  <c r="F37" i="2" s="1"/>
  <c r="H37" i="2" s="1"/>
  <c r="D36" i="2"/>
  <c r="D35" i="2"/>
  <c r="F35" i="2" s="1"/>
  <c r="H35" i="2" s="1"/>
  <c r="D34" i="2"/>
  <c r="F34" i="2" s="1"/>
  <c r="H34" i="2" s="1"/>
  <c r="D33" i="2"/>
  <c r="F33" i="2" s="1"/>
  <c r="H33" i="2" s="1"/>
  <c r="D32" i="2"/>
  <c r="D27" i="2"/>
  <c r="F27" i="2" s="1"/>
  <c r="H27" i="2" s="1"/>
  <c r="D23" i="2"/>
  <c r="F23" i="2" s="1"/>
  <c r="H23" i="2" s="1"/>
  <c r="D22" i="2"/>
  <c r="F22" i="2" s="1"/>
  <c r="H22" i="2" s="1"/>
  <c r="D21" i="2"/>
  <c r="F21" i="2" s="1"/>
  <c r="H21" i="2" s="1"/>
  <c r="D20" i="2"/>
  <c r="F20" i="2" s="1"/>
  <c r="H20" i="2" s="1"/>
  <c r="D19" i="2"/>
  <c r="F19" i="2" s="1"/>
  <c r="H19" i="2" s="1"/>
  <c r="D16" i="2"/>
  <c r="F16" i="2" s="1"/>
  <c r="H16" i="2" s="1"/>
  <c r="D15" i="2"/>
  <c r="F15" i="2" s="1"/>
  <c r="H15" i="2" s="1"/>
  <c r="D14" i="2"/>
  <c r="F14" i="2" s="1"/>
  <c r="H14" i="2" s="1"/>
  <c r="D13" i="2"/>
  <c r="F13" i="2" s="1"/>
  <c r="H13" i="2" s="1"/>
  <c r="D12" i="2"/>
  <c r="F12" i="2" s="1"/>
  <c r="H12" i="2" s="1"/>
  <c r="D11" i="2"/>
  <c r="D7" i="2"/>
  <c r="F7" i="2" s="1"/>
  <c r="H7" i="2" s="1"/>
  <c r="D6" i="2"/>
  <c r="F6" i="2" s="1"/>
  <c r="H6" i="2" s="1"/>
  <c r="D5" i="2"/>
  <c r="F5" i="2" s="1"/>
  <c r="H5" i="2" s="1"/>
  <c r="D4" i="2"/>
  <c r="F4" i="2" s="1"/>
  <c r="H4" i="2" s="1"/>
  <c r="D126" i="6"/>
  <c r="F126" i="6" s="1"/>
  <c r="I126" i="6" s="1"/>
  <c r="D125" i="6"/>
  <c r="F125" i="6" s="1"/>
  <c r="I125" i="6" s="1"/>
  <c r="D124" i="6"/>
  <c r="F124" i="6" s="1"/>
  <c r="I124" i="6" s="1"/>
  <c r="D123" i="6"/>
  <c r="F123" i="6" s="1"/>
  <c r="I123" i="6" s="1"/>
  <c r="E122" i="6"/>
  <c r="L122" i="6" s="1"/>
  <c r="O122" i="6" s="1"/>
  <c r="D122" i="6"/>
  <c r="E121" i="6"/>
  <c r="L121" i="6" s="1"/>
  <c r="O121" i="6" s="1"/>
  <c r="D121" i="6"/>
  <c r="E120" i="6"/>
  <c r="L120" i="6" s="1"/>
  <c r="O120" i="6" s="1"/>
  <c r="D120" i="6"/>
  <c r="E119" i="6"/>
  <c r="L119" i="6" s="1"/>
  <c r="O119" i="6" s="1"/>
  <c r="D119" i="6"/>
  <c r="D118" i="6"/>
  <c r="F118" i="6" s="1"/>
  <c r="I118" i="6" s="1"/>
  <c r="D117" i="6"/>
  <c r="F117" i="6" s="1"/>
  <c r="I117" i="6" s="1"/>
  <c r="D116" i="6"/>
  <c r="F116" i="6" s="1"/>
  <c r="I116" i="6" s="1"/>
  <c r="D115" i="6"/>
  <c r="F115" i="6" s="1"/>
  <c r="I115" i="6" s="1"/>
  <c r="D114" i="6"/>
  <c r="F114" i="6" s="1"/>
  <c r="I114" i="6" s="1"/>
  <c r="D113" i="6"/>
  <c r="F113" i="6" s="1"/>
  <c r="I113" i="6" s="1"/>
  <c r="D112" i="6"/>
  <c r="F112" i="6" s="1"/>
  <c r="I112" i="6" s="1"/>
  <c r="D111" i="6"/>
  <c r="F111" i="6" s="1"/>
  <c r="I111" i="6" s="1"/>
  <c r="D109" i="6"/>
  <c r="F109" i="6" s="1"/>
  <c r="I109" i="6" s="1"/>
  <c r="D104" i="6"/>
  <c r="F104" i="6" s="1"/>
  <c r="I104" i="6" s="1"/>
  <c r="D103" i="6"/>
  <c r="F103" i="6" s="1"/>
  <c r="I103" i="6" s="1"/>
  <c r="D100" i="6"/>
  <c r="F100" i="6" s="1"/>
  <c r="I100" i="6" s="1"/>
  <c r="D99" i="6"/>
  <c r="F99" i="6" s="1"/>
  <c r="I99" i="6" s="1"/>
  <c r="D96" i="6"/>
  <c r="F96" i="6" s="1"/>
  <c r="I96" i="6" s="1"/>
  <c r="D95" i="6"/>
  <c r="F95" i="6" s="1"/>
  <c r="I95" i="6" s="1"/>
  <c r="D94" i="6"/>
  <c r="F94" i="6" s="1"/>
  <c r="I94" i="6" s="1"/>
  <c r="D93" i="6"/>
  <c r="F93" i="6" s="1"/>
  <c r="I93" i="6" s="1"/>
  <c r="D92" i="6"/>
  <c r="F92" i="6" s="1"/>
  <c r="I92" i="6" s="1"/>
  <c r="D86" i="6"/>
  <c r="F86" i="6" s="1"/>
  <c r="I86" i="6" s="1"/>
  <c r="D85" i="6"/>
  <c r="F85" i="6" s="1"/>
  <c r="I85" i="6" s="1"/>
  <c r="D84" i="6"/>
  <c r="F84" i="6" s="1"/>
  <c r="I84" i="6" s="1"/>
  <c r="D83" i="6"/>
  <c r="F83" i="6" s="1"/>
  <c r="I83" i="6" s="1"/>
  <c r="D82" i="6"/>
  <c r="F82" i="6" s="1"/>
  <c r="I82" i="6" s="1"/>
  <c r="D81" i="6"/>
  <c r="F81" i="6" s="1"/>
  <c r="I81" i="6" s="1"/>
  <c r="D80" i="6"/>
  <c r="F80" i="6" s="1"/>
  <c r="I80" i="6" s="1"/>
  <c r="D79" i="6"/>
  <c r="F79" i="6" s="1"/>
  <c r="I79" i="6" s="1"/>
  <c r="D78" i="6"/>
  <c r="F78" i="6" s="1"/>
  <c r="I78" i="6" s="1"/>
  <c r="D77" i="6"/>
  <c r="F77" i="6" s="1"/>
  <c r="I77" i="6" s="1"/>
  <c r="D76" i="6"/>
  <c r="F76" i="6" s="1"/>
  <c r="I76" i="6" s="1"/>
  <c r="D75" i="6"/>
  <c r="F75" i="6" s="1"/>
  <c r="I75" i="6" s="1"/>
  <c r="E74" i="6"/>
  <c r="E73" i="6"/>
  <c r="E72" i="6"/>
  <c r="E71" i="6"/>
  <c r="D70" i="6"/>
  <c r="F70" i="6" s="1"/>
  <c r="I70" i="6" s="1"/>
  <c r="D69" i="6"/>
  <c r="F69" i="6" s="1"/>
  <c r="I69" i="6" s="1"/>
  <c r="D68" i="6"/>
  <c r="F68" i="6" s="1"/>
  <c r="I68" i="6" s="1"/>
  <c r="D67" i="6"/>
  <c r="F67" i="6" s="1"/>
  <c r="I67" i="6" s="1"/>
  <c r="D61" i="6"/>
  <c r="F61" i="6" s="1"/>
  <c r="I61" i="6" s="1"/>
  <c r="D60" i="6"/>
  <c r="F60" i="6" s="1"/>
  <c r="I60" i="6" s="1"/>
  <c r="D59" i="6"/>
  <c r="F59" i="6" s="1"/>
  <c r="I59" i="6" s="1"/>
  <c r="E58" i="6"/>
  <c r="L58" i="6" s="1"/>
  <c r="O58" i="6" s="1"/>
  <c r="D58" i="6"/>
  <c r="F58" i="6" s="1"/>
  <c r="I58" i="6" s="1"/>
  <c r="E57" i="6"/>
  <c r="L57" i="6" s="1"/>
  <c r="O57" i="6" s="1"/>
  <c r="D57" i="6"/>
  <c r="F57" i="6" s="1"/>
  <c r="I57" i="6" s="1"/>
  <c r="E56" i="6"/>
  <c r="L56" i="6" s="1"/>
  <c r="O56" i="6" s="1"/>
  <c r="D56" i="6"/>
  <c r="F56" i="6" s="1"/>
  <c r="I56" i="6" s="1"/>
  <c r="E55" i="6"/>
  <c r="L55" i="6" s="1"/>
  <c r="O55" i="6" s="1"/>
  <c r="D55" i="6"/>
  <c r="F55" i="6" s="1"/>
  <c r="I55" i="6" s="1"/>
  <c r="D46" i="6"/>
  <c r="F46" i="6" s="1"/>
  <c r="I46" i="6" s="1"/>
  <c r="D45" i="6"/>
  <c r="F45" i="6" s="1"/>
  <c r="I45" i="6" s="1"/>
  <c r="D44" i="6"/>
  <c r="F44" i="6" s="1"/>
  <c r="I44" i="6" s="1"/>
  <c r="D43" i="6"/>
  <c r="F43" i="6" s="1"/>
  <c r="I43" i="6" s="1"/>
  <c r="D42" i="6"/>
  <c r="F42" i="6" s="1"/>
  <c r="I42" i="6" s="1"/>
  <c r="D41" i="6"/>
  <c r="F41" i="6" s="1"/>
  <c r="I41" i="6" s="1"/>
  <c r="D40" i="6"/>
  <c r="F40" i="6" s="1"/>
  <c r="I40" i="6" s="1"/>
  <c r="D39" i="6"/>
  <c r="F39" i="6" s="1"/>
  <c r="I39" i="6" s="1"/>
  <c r="D38" i="6"/>
  <c r="F38" i="6" s="1"/>
  <c r="I38" i="6" s="1"/>
  <c r="D37" i="6"/>
  <c r="F37" i="6" s="1"/>
  <c r="I37" i="6" s="1"/>
  <c r="D36" i="6"/>
  <c r="F36" i="6" s="1"/>
  <c r="I36" i="6" s="1"/>
  <c r="D35" i="6"/>
  <c r="F35" i="6" s="1"/>
  <c r="I35" i="6" s="1"/>
  <c r="D34" i="6"/>
  <c r="F34" i="6" s="1"/>
  <c r="I34" i="6" s="1"/>
  <c r="D33" i="6"/>
  <c r="F33" i="6" s="1"/>
  <c r="I33" i="6" s="1"/>
  <c r="D32" i="6"/>
  <c r="F32" i="6" s="1"/>
  <c r="I32" i="6" s="1"/>
  <c r="D31" i="6"/>
  <c r="F31" i="6" s="1"/>
  <c r="I31" i="6" s="1"/>
  <c r="D26" i="6"/>
  <c r="F26" i="6" s="1"/>
  <c r="I26" i="6" s="1"/>
  <c r="D22" i="6"/>
  <c r="F22" i="6" s="1"/>
  <c r="I22" i="6" s="1"/>
  <c r="D21" i="6"/>
  <c r="F21" i="6" s="1"/>
  <c r="I21" i="6" s="1"/>
  <c r="D20" i="6"/>
  <c r="F20" i="6" s="1"/>
  <c r="I20" i="6" s="1"/>
  <c r="E19" i="6"/>
  <c r="L19" i="6" s="1"/>
  <c r="O19" i="6" s="1"/>
  <c r="D19" i="6"/>
  <c r="F19" i="6" s="1"/>
  <c r="I19" i="6" s="1"/>
  <c r="D18" i="6"/>
  <c r="F18" i="6" s="1"/>
  <c r="I18" i="6" s="1"/>
  <c r="D15" i="6"/>
  <c r="F15" i="6" s="1"/>
  <c r="I15" i="6" s="1"/>
  <c r="D14" i="6"/>
  <c r="F14" i="6" s="1"/>
  <c r="I14" i="6" s="1"/>
  <c r="D13" i="6"/>
  <c r="F13" i="6" s="1"/>
  <c r="I13" i="6" s="1"/>
  <c r="D12" i="6"/>
  <c r="F12" i="6" s="1"/>
  <c r="I12" i="6" s="1"/>
  <c r="D11" i="6"/>
  <c r="F11" i="6" s="1"/>
  <c r="I11" i="6" s="1"/>
  <c r="D10" i="6"/>
  <c r="F10" i="6" s="1"/>
  <c r="I10" i="6" s="1"/>
  <c r="E6" i="6"/>
  <c r="L6" i="6" s="1"/>
  <c r="O6" i="6" s="1"/>
  <c r="D6" i="6"/>
  <c r="E5" i="6"/>
  <c r="L5" i="6" s="1"/>
  <c r="O5" i="6" s="1"/>
  <c r="D5" i="6"/>
  <c r="E4" i="6"/>
  <c r="L4" i="6" s="1"/>
  <c r="O4" i="6" s="1"/>
  <c r="D4" i="6"/>
  <c r="E3" i="6"/>
  <c r="L3" i="6" s="1"/>
  <c r="O3" i="6" s="1"/>
  <c r="D3" i="6"/>
  <c r="G128" i="4"/>
  <c r="G129" i="4"/>
  <c r="G130" i="4"/>
  <c r="G126" i="4"/>
  <c r="G125" i="4"/>
  <c r="G124" i="4"/>
  <c r="G123" i="4"/>
  <c r="G119" i="4"/>
  <c r="G120" i="4"/>
  <c r="G121" i="4"/>
  <c r="G122" i="4"/>
  <c r="G115" i="4"/>
  <c r="G116" i="4"/>
  <c r="G117" i="4"/>
  <c r="G118" i="4"/>
  <c r="G111" i="4"/>
  <c r="G112" i="4"/>
  <c r="G113" i="4"/>
  <c r="G114" i="4"/>
  <c r="G107" i="4"/>
  <c r="G108" i="4"/>
  <c r="G103" i="4"/>
  <c r="G104" i="4"/>
  <c r="F68" i="2" l="1"/>
  <c r="H68" i="2" s="1"/>
  <c r="F76" i="2"/>
  <c r="H76" i="2" s="1"/>
  <c r="F80" i="2"/>
  <c r="H80" i="2" s="1"/>
  <c r="F11" i="2"/>
  <c r="H11" i="2" s="1"/>
  <c r="F32" i="2"/>
  <c r="H32" i="2" s="1"/>
  <c r="F36" i="2"/>
  <c r="H36" i="2" s="1"/>
  <c r="F40" i="2"/>
  <c r="H40" i="2" s="1"/>
  <c r="F56" i="2"/>
  <c r="H56" i="2" s="1"/>
  <c r="F3" i="6"/>
  <c r="I3" i="6" s="1"/>
  <c r="F5" i="6"/>
  <c r="I5" i="6" s="1"/>
  <c r="L71" i="6"/>
  <c r="O71" i="6" s="1"/>
  <c r="F71" i="6"/>
  <c r="I71" i="6" s="1"/>
  <c r="F120" i="6"/>
  <c r="I120" i="6" s="1"/>
  <c r="F122" i="6"/>
  <c r="I122" i="6" s="1"/>
  <c r="L72" i="6"/>
  <c r="O72" i="6" s="1"/>
  <c r="F72" i="6"/>
  <c r="I72" i="6" s="1"/>
  <c r="L74" i="6"/>
  <c r="O74" i="6" s="1"/>
  <c r="F74" i="6"/>
  <c r="I74" i="6" s="1"/>
  <c r="F4" i="6"/>
  <c r="I4" i="6" s="1"/>
  <c r="F6" i="6"/>
  <c r="I6" i="6" s="1"/>
  <c r="L73" i="6"/>
  <c r="O73" i="6" s="1"/>
  <c r="F73" i="6"/>
  <c r="I73" i="6" s="1"/>
  <c r="F119" i="6"/>
  <c r="I119" i="6" s="1"/>
  <c r="F121" i="6"/>
  <c r="I121" i="6" s="1"/>
  <c r="G102" i="4"/>
  <c r="G92" i="4"/>
  <c r="G93" i="4"/>
  <c r="G94" i="4"/>
  <c r="E87" i="4"/>
  <c r="E88" i="4"/>
  <c r="G87" i="4"/>
  <c r="E89" i="4"/>
  <c r="E90" i="4"/>
  <c r="G88" i="4"/>
  <c r="G89" i="4"/>
  <c r="G90" i="4"/>
  <c r="E83" i="4"/>
  <c r="G83" i="4"/>
  <c r="E84" i="4"/>
  <c r="E85" i="4"/>
  <c r="E86" i="4"/>
  <c r="G84" i="4"/>
  <c r="G85" i="4"/>
  <c r="G86" i="4"/>
  <c r="E75" i="4" l="1"/>
  <c r="E76" i="4"/>
  <c r="E77" i="4"/>
  <c r="E78" i="4"/>
  <c r="G75" i="4"/>
  <c r="G76" i="4"/>
  <c r="G77" i="4"/>
  <c r="G78" i="4"/>
  <c r="E63" i="4" l="1"/>
  <c r="E64" i="4"/>
  <c r="E65" i="4"/>
  <c r="E66" i="4"/>
  <c r="G63" i="4"/>
  <c r="G64" i="4"/>
  <c r="G65" i="4"/>
  <c r="G66" i="4"/>
  <c r="E55" i="4"/>
  <c r="G55" i="4"/>
  <c r="G56" i="4"/>
  <c r="E56" i="4"/>
  <c r="E57" i="4"/>
  <c r="E58" i="4"/>
  <c r="G57" i="4"/>
  <c r="G58" i="4"/>
  <c r="G51" i="4"/>
  <c r="G52" i="4"/>
  <c r="G53" i="4"/>
  <c r="G54" i="4"/>
  <c r="E47" i="4"/>
  <c r="E48" i="4"/>
  <c r="E49" i="4"/>
  <c r="E50" i="4"/>
  <c r="G47" i="4"/>
  <c r="G48" i="4"/>
  <c r="G49" i="4"/>
  <c r="G50" i="4"/>
  <c r="E43" i="4"/>
  <c r="G43" i="4"/>
  <c r="E44" i="4"/>
  <c r="E45" i="4"/>
  <c r="E46" i="4"/>
  <c r="G44" i="4"/>
  <c r="G45" i="4"/>
  <c r="G46" i="4"/>
  <c r="E39" i="4"/>
  <c r="E40" i="4"/>
  <c r="E41" i="4"/>
  <c r="E42" i="4"/>
  <c r="G39" i="4"/>
  <c r="G40" i="4"/>
  <c r="G41" i="4"/>
  <c r="G42" i="4"/>
  <c r="E33" i="4"/>
  <c r="E34" i="4"/>
  <c r="G32" i="4"/>
  <c r="G33" i="4"/>
  <c r="G34" i="4"/>
  <c r="G27" i="4"/>
  <c r="G28" i="4"/>
  <c r="G29" i="4"/>
  <c r="G30" i="4"/>
  <c r="I5" i="4" l="1"/>
  <c r="F5" i="4"/>
  <c r="I4" i="4"/>
  <c r="F4" i="4"/>
  <c r="I3" i="4"/>
  <c r="F3" i="4"/>
  <c r="G24" i="4"/>
  <c r="G23" i="4"/>
  <c r="G25" i="4"/>
  <c r="G26" i="4"/>
  <c r="G19" i="4"/>
  <c r="G20" i="4"/>
  <c r="G21" i="4"/>
  <c r="G22" i="4"/>
  <c r="G16" i="4"/>
  <c r="G17" i="4"/>
  <c r="G18" i="4"/>
  <c r="G11" i="4"/>
  <c r="G12" i="4"/>
  <c r="G13" i="4"/>
  <c r="G14" i="4"/>
  <c r="G7" i="4"/>
  <c r="E7" i="4"/>
  <c r="E8" i="4"/>
  <c r="E9" i="4"/>
  <c r="E10" i="4"/>
  <c r="G8" i="4"/>
  <c r="G9" i="4"/>
  <c r="G10" i="4"/>
  <c r="E3" i="4"/>
  <c r="E4" i="4"/>
  <c r="E5" i="4"/>
  <c r="E6" i="4"/>
  <c r="G6" i="4"/>
  <c r="G5" i="4"/>
  <c r="G4" i="4"/>
  <c r="G3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7" i="4"/>
  <c r="D112" i="4"/>
  <c r="D111" i="4"/>
  <c r="D108" i="4"/>
  <c r="D107" i="4"/>
  <c r="D104" i="4"/>
  <c r="D103" i="4"/>
  <c r="D102" i="4"/>
  <c r="D101" i="4"/>
  <c r="D100" i="4"/>
  <c r="D94" i="4"/>
  <c r="D93" i="4"/>
  <c r="D92" i="4"/>
  <c r="D91" i="4"/>
  <c r="D90" i="4"/>
  <c r="D89" i="4"/>
  <c r="D88" i="4"/>
  <c r="D87" i="4"/>
  <c r="D86" i="4"/>
  <c r="D85" i="4"/>
  <c r="D84" i="4"/>
  <c r="D83" i="4"/>
  <c r="D78" i="4"/>
  <c r="D77" i="4"/>
  <c r="D76" i="4"/>
  <c r="D75" i="4"/>
  <c r="D69" i="4"/>
  <c r="D68" i="4"/>
  <c r="D67" i="4"/>
  <c r="D66" i="4"/>
  <c r="D65" i="4"/>
  <c r="D64" i="4"/>
  <c r="D63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4" i="4"/>
  <c r="D30" i="4"/>
  <c r="D29" i="4"/>
  <c r="D28" i="4"/>
  <c r="D27" i="4"/>
  <c r="D26" i="4"/>
  <c r="D23" i="4"/>
  <c r="D22" i="4"/>
  <c r="D21" i="4"/>
  <c r="D20" i="4"/>
  <c r="D19" i="4"/>
  <c r="D18" i="4"/>
  <c r="D14" i="4"/>
  <c r="D13" i="4"/>
  <c r="D12" i="4"/>
  <c r="D11" i="4"/>
  <c r="D6" i="4"/>
  <c r="G63" i="3"/>
  <c r="F42" i="3" l="1"/>
  <c r="F39" i="3"/>
  <c r="F40" i="3"/>
  <c r="F41" i="3"/>
  <c r="F23" i="3"/>
  <c r="F123" i="3"/>
  <c r="F124" i="3"/>
  <c r="F125" i="3"/>
  <c r="F126" i="3"/>
  <c r="F119" i="3"/>
  <c r="F120" i="3"/>
  <c r="F121" i="3"/>
  <c r="F122" i="3"/>
  <c r="G122" i="3" s="1"/>
  <c r="F118" i="3"/>
  <c r="F117" i="3"/>
  <c r="F116" i="3"/>
  <c r="F115" i="3"/>
  <c r="F111" i="3" l="1"/>
  <c r="F112" i="3"/>
  <c r="F113" i="3"/>
  <c r="F114" i="3"/>
  <c r="F107" i="3"/>
  <c r="F108" i="3"/>
  <c r="F109" i="3"/>
  <c r="F110" i="3"/>
  <c r="F104" i="3"/>
  <c r="F103" i="3"/>
  <c r="F105" i="3"/>
  <c r="F106" i="3"/>
  <c r="G111" i="3" l="1"/>
  <c r="G103" i="3"/>
  <c r="F95" i="3"/>
  <c r="F96" i="3"/>
  <c r="F92" i="3"/>
  <c r="F93" i="3"/>
  <c r="F94" i="3"/>
  <c r="F86" i="3"/>
  <c r="F83" i="3"/>
  <c r="F84" i="3"/>
  <c r="F85" i="3"/>
  <c r="F79" i="3" l="1"/>
  <c r="F80" i="3"/>
  <c r="F81" i="3"/>
  <c r="F82" i="3"/>
  <c r="F75" i="3"/>
  <c r="F76" i="3"/>
  <c r="F77" i="3"/>
  <c r="F78" i="3"/>
  <c r="F70" i="3"/>
  <c r="F69" i="3"/>
  <c r="F68" i="3"/>
  <c r="F67" i="3"/>
  <c r="F59" i="3"/>
  <c r="F60" i="3"/>
  <c r="F61" i="3"/>
  <c r="F58" i="3"/>
  <c r="F57" i="3"/>
  <c r="F56" i="3"/>
  <c r="F55" i="3"/>
  <c r="F47" i="3"/>
  <c r="F48" i="3"/>
  <c r="F49" i="3"/>
  <c r="F50" i="3"/>
  <c r="F46" i="3"/>
  <c r="F45" i="3"/>
  <c r="F44" i="3"/>
  <c r="F43" i="3"/>
  <c r="F24" i="3"/>
  <c r="F25" i="3"/>
  <c r="F26" i="3"/>
  <c r="F35" i="3"/>
  <c r="F36" i="3"/>
  <c r="F37" i="3"/>
  <c r="F38" i="3"/>
  <c r="F31" i="3"/>
  <c r="F32" i="3"/>
  <c r="F33" i="3"/>
  <c r="F34" i="3"/>
  <c r="F19" i="3" l="1"/>
  <c r="F20" i="3"/>
  <c r="F21" i="3"/>
  <c r="F22" i="3"/>
  <c r="F15" i="3"/>
  <c r="F16" i="3"/>
  <c r="F17" i="3"/>
  <c r="F18" i="3"/>
  <c r="F11" i="3"/>
  <c r="F12" i="3"/>
  <c r="F13" i="3"/>
  <c r="F14" i="3"/>
  <c r="F7" i="3"/>
  <c r="G7" i="3" s="1"/>
  <c r="F8" i="3"/>
  <c r="F9" i="3"/>
  <c r="F10" i="3"/>
  <c r="F3" i="3"/>
  <c r="F4" i="3"/>
  <c r="F5" i="3"/>
  <c r="F6" i="3"/>
  <c r="G126" i="3" l="1"/>
  <c r="G125" i="3"/>
  <c r="G124" i="3"/>
  <c r="G123" i="3"/>
  <c r="G120" i="3"/>
  <c r="G119" i="3"/>
  <c r="G118" i="3"/>
  <c r="G117" i="3"/>
  <c r="G116" i="3"/>
  <c r="G115" i="3"/>
  <c r="G114" i="3"/>
  <c r="G113" i="3"/>
  <c r="G112" i="3"/>
  <c r="G110" i="3"/>
  <c r="G109" i="3"/>
  <c r="G108" i="3"/>
  <c r="G107" i="3"/>
  <c r="G106" i="3"/>
  <c r="G105" i="3"/>
  <c r="G104" i="3"/>
  <c r="G102" i="3"/>
  <c r="G101" i="3"/>
  <c r="G100" i="3"/>
  <c r="G99" i="3"/>
  <c r="G98" i="3"/>
  <c r="G97" i="3"/>
  <c r="G96" i="3"/>
  <c r="G95" i="3"/>
  <c r="G94" i="3"/>
  <c r="G93" i="3"/>
  <c r="G92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2" i="3"/>
  <c r="G61" i="3"/>
  <c r="G60" i="3"/>
  <c r="G59" i="3"/>
  <c r="G58" i="3"/>
  <c r="G57" i="3"/>
  <c r="G56" i="3"/>
  <c r="G55" i="3"/>
  <c r="G54" i="3"/>
  <c r="G53" i="3"/>
  <c r="G121" i="3" l="1"/>
  <c r="G52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29" i="3" l="1"/>
  <c r="G30" i="3"/>
  <c r="G28" i="3"/>
  <c r="G18" i="3"/>
  <c r="G17" i="3"/>
  <c r="G16" i="3"/>
  <c r="G15" i="3"/>
  <c r="G34" i="3" l="1"/>
  <c r="G33" i="3"/>
  <c r="G32" i="3"/>
  <c r="G31" i="3"/>
  <c r="G26" i="3"/>
  <c r="G25" i="3"/>
  <c r="G24" i="3"/>
  <c r="G23" i="3"/>
  <c r="G22" i="3"/>
  <c r="G21" i="3"/>
  <c r="G20" i="3"/>
  <c r="G19" i="3"/>
  <c r="G14" i="3"/>
  <c r="G13" i="3"/>
  <c r="G12" i="3"/>
  <c r="G11" i="3"/>
  <c r="G10" i="3"/>
  <c r="G9" i="3"/>
  <c r="G8" i="3"/>
  <c r="G6" i="3"/>
  <c r="G5" i="3"/>
  <c r="G4" i="3"/>
  <c r="G3" i="3"/>
</calcChain>
</file>

<file path=xl/sharedStrings.xml><?xml version="1.0" encoding="utf-8"?>
<sst xmlns="http://schemas.openxmlformats.org/spreadsheetml/2006/main" count="872" uniqueCount="333">
  <si>
    <t>Tahun</t>
  </si>
  <si>
    <t>Kode</t>
  </si>
  <si>
    <t>No</t>
  </si>
  <si>
    <t>AISA</t>
  </si>
  <si>
    <t>LB</t>
  </si>
  <si>
    <t>EPS</t>
  </si>
  <si>
    <t>ALTO</t>
  </si>
  <si>
    <t>ADES</t>
  </si>
  <si>
    <t>BUDI</t>
  </si>
  <si>
    <t>CAMP</t>
  </si>
  <si>
    <t>CEKA</t>
  </si>
  <si>
    <t>CLEO</t>
  </si>
  <si>
    <t>CMRY</t>
  </si>
  <si>
    <t>COCO</t>
  </si>
  <si>
    <t>DLTA</t>
  </si>
  <si>
    <t>DMND</t>
  </si>
  <si>
    <t>EMTK</t>
  </si>
  <si>
    <t>FOOD</t>
  </si>
  <si>
    <t>GOOD</t>
  </si>
  <si>
    <t>HOKI</t>
  </si>
  <si>
    <t>ICBP</t>
  </si>
  <si>
    <t>IIKP</t>
  </si>
  <si>
    <t>IKAN</t>
  </si>
  <si>
    <t>INDF</t>
  </si>
  <si>
    <t>KEJU</t>
  </si>
  <si>
    <t>KINO</t>
  </si>
  <si>
    <t>MLBI</t>
  </si>
  <si>
    <t>MYOR</t>
  </si>
  <si>
    <t>NASI</t>
  </si>
  <si>
    <t>PANI</t>
  </si>
  <si>
    <t>PCAR</t>
  </si>
  <si>
    <t>PSDN</t>
  </si>
  <si>
    <t>PSGO</t>
  </si>
  <si>
    <t>ROTI</t>
  </si>
  <si>
    <t>SKLT</t>
  </si>
  <si>
    <t>STTP</t>
  </si>
  <si>
    <t>ULTJ</t>
  </si>
  <si>
    <t>MBVE</t>
  </si>
  <si>
    <t>SB</t>
  </si>
  <si>
    <t>EKUITAS</t>
  </si>
  <si>
    <t>SKBM</t>
  </si>
  <si>
    <t>MBVE = SB X HPS / TE</t>
  </si>
  <si>
    <t>PDN</t>
  </si>
  <si>
    <t>Arus Kas OP</t>
  </si>
  <si>
    <t>Tot Aset</t>
  </si>
  <si>
    <t>PDN (LB - Arus Kas / TA) * -1</t>
  </si>
  <si>
    <t>* -1</t>
  </si>
  <si>
    <t>LB - Ars Kas</t>
  </si>
  <si>
    <t>TAit</t>
  </si>
  <si>
    <t>TAit = LB t - AK OP</t>
  </si>
  <si>
    <t>Ait -1</t>
  </si>
  <si>
    <t>EDAit</t>
  </si>
  <si>
    <t>EDAit = Tait / Ait - 1</t>
  </si>
  <si>
    <t xml:space="preserve">LB t </t>
  </si>
  <si>
    <t xml:space="preserve">AK OP t </t>
  </si>
  <si>
    <t>Keterangan :</t>
  </si>
  <si>
    <t>t : periode tahun yg bersangkutan</t>
  </si>
  <si>
    <t>t -1 : periode thn sebelum thn yg bersangkutan</t>
  </si>
  <si>
    <t>QER</t>
  </si>
  <si>
    <t>QER = OCF / LB</t>
  </si>
  <si>
    <t>OCF (arus kas op)</t>
  </si>
  <si>
    <t>Asset per sebelumnya</t>
  </si>
  <si>
    <t>EPS = LB / SHM brdr</t>
  </si>
  <si>
    <t>PER = hrg per shm / EPS</t>
  </si>
  <si>
    <t>Hrg per Saham</t>
  </si>
  <si>
    <t>PER</t>
  </si>
  <si>
    <t>H. PNTP SAHAM</t>
  </si>
  <si>
    <t>Saham Beredar</t>
  </si>
  <si>
    <t>PVB</t>
  </si>
  <si>
    <t>Tot. Ekuitas</t>
  </si>
  <si>
    <t>BV</t>
  </si>
  <si>
    <t>PBV = HPLS / BV</t>
  </si>
  <si>
    <t>BOOK VALUE(NBVS) = Ekuitas / SB</t>
  </si>
  <si>
    <t>HPLS</t>
  </si>
  <si>
    <t>X1</t>
  </si>
  <si>
    <t>X2</t>
  </si>
  <si>
    <t>X3</t>
  </si>
  <si>
    <t>X4</t>
  </si>
  <si>
    <t>Y</t>
  </si>
  <si>
    <t>1.28</t>
  </si>
  <si>
    <t>-0.11</t>
  </si>
  <si>
    <t>0.12</t>
  </si>
  <si>
    <t>0.09</t>
  </si>
  <si>
    <t>-0.04</t>
  </si>
  <si>
    <t>0.03</t>
  </si>
  <si>
    <t>1.16</t>
  </si>
  <si>
    <t>0.04</t>
  </si>
  <si>
    <t>-0.03</t>
  </si>
  <si>
    <t>0.08</t>
  </si>
  <si>
    <t>0.01</t>
  </si>
  <si>
    <t>0.67</t>
  </si>
  <si>
    <t>-0.62</t>
  </si>
  <si>
    <t>1.10</t>
  </si>
  <si>
    <t>-0.05</t>
  </si>
  <si>
    <t>-0.01</t>
  </si>
  <si>
    <t>2.29</t>
  </si>
  <si>
    <t>-4.54</t>
  </si>
  <si>
    <t>2.81</t>
  </si>
  <si>
    <t>1.81</t>
  </si>
  <si>
    <t>-2.93</t>
  </si>
  <si>
    <t>1.68</t>
  </si>
  <si>
    <t>-4.99</t>
  </si>
  <si>
    <t>0.31</t>
  </si>
  <si>
    <t>-0.08</t>
  </si>
  <si>
    <t>0.36</t>
  </si>
  <si>
    <t>-0.06</t>
  </si>
  <si>
    <t>0.06</t>
  </si>
  <si>
    <t>4.23</t>
  </si>
  <si>
    <t>0.33</t>
  </si>
  <si>
    <t>2.88</t>
  </si>
  <si>
    <t>0.58</t>
  </si>
  <si>
    <t>2.08</t>
  </si>
  <si>
    <t>0.70</t>
  </si>
  <si>
    <t>-0.00</t>
  </si>
  <si>
    <t>0.00</t>
  </si>
  <si>
    <t>1.00</t>
  </si>
  <si>
    <t>2.35</t>
  </si>
  <si>
    <t>0.07</t>
  </si>
  <si>
    <t>2.06</t>
  </si>
  <si>
    <t>1.84</t>
  </si>
  <si>
    <t>-0.15</t>
  </si>
  <si>
    <t>0.14</t>
  </si>
  <si>
    <t>4.60</t>
  </si>
  <si>
    <t>1.66</t>
  </si>
  <si>
    <t>-0.10</t>
  </si>
  <si>
    <t>0.10</t>
  </si>
  <si>
    <t>2.20</t>
  </si>
  <si>
    <t>1.91</t>
  </si>
  <si>
    <t>1.63</t>
  </si>
  <si>
    <t>0.87</t>
  </si>
  <si>
    <t>-0.20</t>
  </si>
  <si>
    <t>0.17</t>
  </si>
  <si>
    <t>2.10</t>
  </si>
  <si>
    <t>0.84</t>
  </si>
  <si>
    <t>0.94</t>
  </si>
  <si>
    <t>0.80</t>
  </si>
  <si>
    <t>-0.16</t>
  </si>
  <si>
    <t>-0.48</t>
  </si>
  <si>
    <t>0.76</t>
  </si>
  <si>
    <t>-0.12</t>
  </si>
  <si>
    <t>0.05</t>
  </si>
  <si>
    <t>8.53</t>
  </si>
  <si>
    <t>-0.09</t>
  </si>
  <si>
    <t>8.54</t>
  </si>
  <si>
    <t>0.63</t>
  </si>
  <si>
    <t>1.60</t>
  </si>
  <si>
    <t>6.70</t>
  </si>
  <si>
    <t>-0.75</t>
  </si>
  <si>
    <t>1.70</t>
  </si>
  <si>
    <t>5.63</t>
  </si>
  <si>
    <t>5.61</t>
  </si>
  <si>
    <t>0.97</t>
  </si>
  <si>
    <t>8.84</t>
  </si>
  <si>
    <t>0.02</t>
  </si>
  <si>
    <t>0.77</t>
  </si>
  <si>
    <t>9.02</t>
  </si>
  <si>
    <t>-0.02</t>
  </si>
  <si>
    <t>1.12</t>
  </si>
  <si>
    <t>5.74</t>
  </si>
  <si>
    <t>0.91</t>
  </si>
  <si>
    <t>6.41</t>
  </si>
  <si>
    <t>0.45</t>
  </si>
  <si>
    <t>7.40</t>
  </si>
  <si>
    <t>-0.07</t>
  </si>
  <si>
    <t>-1.20</t>
  </si>
  <si>
    <t>5.55</t>
  </si>
  <si>
    <t>-0.13</t>
  </si>
  <si>
    <t>-11.94</t>
  </si>
  <si>
    <t>1.17</t>
  </si>
  <si>
    <t>0.13</t>
  </si>
  <si>
    <t>-3.05</t>
  </si>
  <si>
    <t>0.22</t>
  </si>
  <si>
    <t>-0.17</t>
  </si>
  <si>
    <t>-11.74</t>
  </si>
  <si>
    <t>2.52</t>
  </si>
  <si>
    <t>0.86</t>
  </si>
  <si>
    <t>2.93</t>
  </si>
  <si>
    <t>1.99</t>
  </si>
  <si>
    <t>3.48</t>
  </si>
  <si>
    <t>0.11</t>
  </si>
  <si>
    <t>1.78</t>
  </si>
  <si>
    <t>5.44</t>
  </si>
  <si>
    <t>0.85</t>
  </si>
  <si>
    <t>2.33</t>
  </si>
  <si>
    <t>1.18</t>
  </si>
  <si>
    <t>1.87</t>
  </si>
  <si>
    <t>2.54</t>
  </si>
  <si>
    <t>1.62</t>
  </si>
  <si>
    <t>1.42</t>
  </si>
  <si>
    <t>-0.26</t>
  </si>
  <si>
    <t>2.56</t>
  </si>
  <si>
    <t>0.68</t>
  </si>
  <si>
    <t>6.37</t>
  </si>
  <si>
    <t>1.05</t>
  </si>
  <si>
    <t>4.14</t>
  </si>
  <si>
    <t>0.24</t>
  </si>
  <si>
    <t>0.26</t>
  </si>
  <si>
    <t>19.95</t>
  </si>
  <si>
    <t>0.16</t>
  </si>
  <si>
    <t>-0.14</t>
  </si>
  <si>
    <t>1.04</t>
  </si>
  <si>
    <t>-0.58</t>
  </si>
  <si>
    <t>1.20</t>
  </si>
  <si>
    <t>0.15</t>
  </si>
  <si>
    <t>1.97</t>
  </si>
  <si>
    <t>0.47</t>
  </si>
  <si>
    <t>1.73</t>
  </si>
  <si>
    <t>0.44</t>
  </si>
  <si>
    <t>4.02</t>
  </si>
  <si>
    <t>1.08</t>
  </si>
  <si>
    <t>3.15</t>
  </si>
  <si>
    <t>3.56</t>
  </si>
  <si>
    <t>6.36</t>
  </si>
  <si>
    <t>1.44</t>
  </si>
  <si>
    <t>5.78</t>
  </si>
  <si>
    <t>1.19</t>
  </si>
  <si>
    <t>2.16</t>
  </si>
  <si>
    <t>1.01</t>
  </si>
  <si>
    <t>2.76</t>
  </si>
  <si>
    <t>2.05</t>
  </si>
  <si>
    <t>3.33</t>
  </si>
  <si>
    <t>1.49</t>
  </si>
  <si>
    <t>-0.21</t>
  </si>
  <si>
    <t>0.25</t>
  </si>
  <si>
    <t>2302.03</t>
  </si>
  <si>
    <t>4.87</t>
  </si>
  <si>
    <t>1.38</t>
  </si>
  <si>
    <t>1.25</t>
  </si>
  <si>
    <t>2.02</t>
  </si>
  <si>
    <t>1.53</t>
  </si>
  <si>
    <t>4.67</t>
  </si>
  <si>
    <t>0.28</t>
  </si>
  <si>
    <t>-0.22</t>
  </si>
  <si>
    <t>5.28</t>
  </si>
  <si>
    <t>6.12</t>
  </si>
  <si>
    <t>7.42</t>
  </si>
  <si>
    <t>0.18</t>
  </si>
  <si>
    <t>2.27</t>
  </si>
  <si>
    <t>0.27</t>
  </si>
  <si>
    <t>1.77</t>
  </si>
  <si>
    <t>0.40</t>
  </si>
  <si>
    <t>36.37</t>
  </si>
  <si>
    <t>1.11</t>
  </si>
  <si>
    <t>5.01</t>
  </si>
  <si>
    <t>3.74</t>
  </si>
  <si>
    <t>2.26</t>
  </si>
  <si>
    <t>0.75</t>
  </si>
  <si>
    <t>1.58</t>
  </si>
  <si>
    <t>1.30</t>
  </si>
  <si>
    <t>1.47</t>
  </si>
  <si>
    <t>3.23</t>
  </si>
  <si>
    <t>-0.19</t>
  </si>
  <si>
    <t>1.75</t>
  </si>
  <si>
    <t>3.03</t>
  </si>
  <si>
    <t>3.04</t>
  </si>
  <si>
    <t>0.55</t>
  </si>
  <si>
    <t>1.48</t>
  </si>
  <si>
    <t>1.07</t>
  </si>
  <si>
    <t>5.87</t>
  </si>
  <si>
    <t>-0.25</t>
  </si>
  <si>
    <t>17.55</t>
  </si>
  <si>
    <t>0.83</t>
  </si>
  <si>
    <t>14.25</t>
  </si>
  <si>
    <t>14.95</t>
  </si>
  <si>
    <t>17.57</t>
  </si>
  <si>
    <t>1.61</t>
  </si>
  <si>
    <t>4.39</t>
  </si>
  <si>
    <t>5.37</t>
  </si>
  <si>
    <t>4.01</t>
  </si>
  <si>
    <t>4.35</t>
  </si>
  <si>
    <t>0.82</t>
  </si>
  <si>
    <t>15.05</t>
  </si>
  <si>
    <t>5.32</t>
  </si>
  <si>
    <t>-1.41</t>
  </si>
  <si>
    <t>8.28</t>
  </si>
  <si>
    <t>-11.33</t>
  </si>
  <si>
    <t>3.32</t>
  </si>
  <si>
    <t>0.39</t>
  </si>
  <si>
    <t>-0.30</t>
  </si>
  <si>
    <t>-10.33</t>
  </si>
  <si>
    <t>-13.19</t>
  </si>
  <si>
    <t>-23.35</t>
  </si>
  <si>
    <t>-3.61</t>
  </si>
  <si>
    <t>214.09</t>
  </si>
  <si>
    <t>1.74</t>
  </si>
  <si>
    <t>2.09</t>
  </si>
  <si>
    <t>15.24</t>
  </si>
  <si>
    <t>-0.76</t>
  </si>
  <si>
    <t>0.72</t>
  </si>
  <si>
    <t>10.16</t>
  </si>
  <si>
    <t>5.05</t>
  </si>
  <si>
    <t>-1.14</t>
  </si>
  <si>
    <t>1.55</t>
  </si>
  <si>
    <t>1.35</t>
  </si>
  <si>
    <t>-2.22</t>
  </si>
  <si>
    <t>0.52</t>
  </si>
  <si>
    <t>3.95</t>
  </si>
  <si>
    <t>-2.21</t>
  </si>
  <si>
    <t>3.05</t>
  </si>
  <si>
    <t>3.20</t>
  </si>
  <si>
    <t>-0.42</t>
  </si>
  <si>
    <t>1.85</t>
  </si>
  <si>
    <t>10.54</t>
  </si>
  <si>
    <t>2.85</t>
  </si>
  <si>
    <t>1.72</t>
  </si>
  <si>
    <t>2.07</t>
  </si>
  <si>
    <t>2.60</t>
  </si>
  <si>
    <t>2.59</t>
  </si>
  <si>
    <t>2.87</t>
  </si>
  <si>
    <t>-41.31</t>
  </si>
  <si>
    <t>3.63</t>
  </si>
  <si>
    <t>0.62</t>
  </si>
  <si>
    <t>-1.51</t>
  </si>
  <si>
    <t>0.60</t>
  </si>
  <si>
    <t>2.92</t>
  </si>
  <si>
    <t>1.23</t>
  </si>
  <si>
    <t>2.65</t>
  </si>
  <si>
    <t>2.32</t>
  </si>
  <si>
    <t>3.08</t>
  </si>
  <si>
    <t>1.50</t>
  </si>
  <si>
    <t>0.21</t>
  </si>
  <si>
    <t>2.74</t>
  </si>
  <si>
    <t>1.03</t>
  </si>
  <si>
    <t>4.65</t>
  </si>
  <si>
    <t>2.99</t>
  </si>
  <si>
    <t>2.55</t>
  </si>
  <si>
    <t>3.43</t>
  </si>
  <si>
    <t>3.86</t>
  </si>
  <si>
    <t>1.09</t>
  </si>
  <si>
    <t>3.42</t>
  </si>
  <si>
    <t>2.63</t>
  </si>
  <si>
    <t>MIN</t>
  </si>
  <si>
    <t>-0.29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</si>
</sst>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(&quot;Rp&quot;* #,##0_);_(&quot;Rp&quot;* \(#,##0\);_(&quot;Rp&quot;* &quot;-&quot;_);_(@_)"/>
  </numFmts>
  <fonts count="9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sz val="1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53E7E7"/>
        <bgColor indexed="64"/>
      </patternFill>
    </fill>
    <fill>
      <patternFill patternType="solid">
        <fgColor rgb="FFCE929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center"/>
    </xf>
    <xf numFmtId="42" fontId="1" fillId="0" borderId="1" xfId="0" applyNumberFormat="1" applyFont="1" applyBorder="1"/>
    <xf numFmtId="42" fontId="0" fillId="0" borderId="0" xfId="0" applyNumberFormat="1"/>
    <xf numFmtId="42" fontId="3" fillId="0" borderId="1" xfId="0" applyNumberFormat="1" applyFont="1" applyBorder="1"/>
    <xf numFmtId="42" fontId="1" fillId="0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42" fontId="1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2" fillId="0" borderId="0" xfId="0" applyFont="1"/>
    <xf numFmtId="0" fontId="2" fillId="8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/>
    </xf>
    <xf numFmtId="42" fontId="4" fillId="10" borderId="1" xfId="0" applyNumberFormat="1" applyFont="1" applyFill="1" applyBorder="1"/>
    <xf numFmtId="0" fontId="2" fillId="11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NumberFormat="1" applyFont="1"/>
    <xf numFmtId="0" fontId="1" fillId="0" borderId="1" xfId="0" applyNumberFormat="1" applyFont="1" applyBorder="1"/>
    <xf numFmtId="0" fontId="3" fillId="0" borderId="1" xfId="0" applyNumberFormat="1" applyFont="1" applyBorder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/>
    </xf>
    <xf numFmtId="42" fontId="1" fillId="2" borderId="1" xfId="0" applyNumberFormat="1" applyFont="1" applyFill="1" applyBorder="1"/>
    <xf numFmtId="0" fontId="0" fillId="2" borderId="0" xfId="0" applyFill="1"/>
    <xf numFmtId="0" fontId="1" fillId="2" borderId="1" xfId="0" applyNumberFormat="1" applyFont="1" applyFill="1" applyBorder="1"/>
    <xf numFmtId="0" fontId="6" fillId="0" borderId="0" xfId="0" applyFont="1"/>
    <xf numFmtId="0" fontId="1" fillId="13" borderId="1" xfId="0" applyFont="1" applyFill="1" applyBorder="1" applyAlignment="1">
      <alignment horizontal="center"/>
    </xf>
    <xf numFmtId="42" fontId="1" fillId="13" borderId="1" xfId="0" applyNumberFormat="1" applyFont="1" applyFill="1" applyBorder="1"/>
    <xf numFmtId="0" fontId="1" fillId="13" borderId="1" xfId="0" applyNumberFormat="1" applyFont="1" applyFill="1" applyBorder="1"/>
    <xf numFmtId="0" fontId="0" fillId="0" borderId="0" xfId="0" applyNumberFormat="1"/>
    <xf numFmtId="0" fontId="7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2" fillId="11" borderId="7" xfId="0" applyFont="1" applyFill="1" applyBorder="1" applyAlignment="1">
      <alignment horizontal="center" vertical="center"/>
    </xf>
    <xf numFmtId="0" fontId="2" fillId="11" borderId="8" xfId="0" applyFont="1" applyFill="1" applyBorder="1" applyAlignment="1">
      <alignment horizontal="center" vertical="center"/>
    </xf>
    <xf numFmtId="0" fontId="2" fillId="12" borderId="5" xfId="0" applyFont="1" applyFill="1" applyBorder="1" applyAlignment="1">
      <alignment horizontal="center" vertical="center"/>
    </xf>
    <xf numFmtId="0" fontId="2" fillId="1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  <xf numFmtId="0" fontId="2" fillId="8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33"/>
      <color rgb="FFCE9292"/>
      <color rgb="FFBF7171"/>
      <color rgb="FF53E7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6"/>
  <sheetViews>
    <sheetView zoomScale="106" zoomScaleNormal="106" workbookViewId="0">
      <selection activeCell="K129" sqref="K129"/>
    </sheetView>
  </sheetViews>
  <sheetFormatPr defaultRowHeight="15" x14ac:dyDescent="0.25"/>
  <cols>
    <col min="4" max="4" width="25" bestFit="1" customWidth="1"/>
    <col min="5" max="5" width="20.42578125" customWidth="1"/>
    <col min="6" max="6" width="10.140625" bestFit="1" customWidth="1"/>
    <col min="8" max="8" width="15.5703125" bestFit="1" customWidth="1"/>
    <col min="9" max="9" width="11.28515625" bestFit="1" customWidth="1"/>
    <col min="10" max="10" width="9.140625" customWidth="1"/>
    <col min="11" max="11" width="25" bestFit="1" customWidth="1"/>
    <col min="12" max="12" width="14.7109375" customWidth="1"/>
    <col min="14" max="14" width="11.28515625" bestFit="1" customWidth="1"/>
    <col min="15" max="15" width="9.140625" customWidth="1"/>
  </cols>
  <sheetData>
    <row r="1" spans="1:15" ht="15.75" x14ac:dyDescent="0.25">
      <c r="A1" s="56" t="s">
        <v>2</v>
      </c>
      <c r="B1" s="56" t="s">
        <v>1</v>
      </c>
      <c r="C1" s="56" t="s">
        <v>0</v>
      </c>
      <c r="D1" s="57" t="s">
        <v>62</v>
      </c>
      <c r="E1" s="57"/>
      <c r="F1" s="57"/>
      <c r="H1" s="54" t="s">
        <v>63</v>
      </c>
      <c r="I1" s="55"/>
      <c r="K1" s="44" t="s">
        <v>72</v>
      </c>
      <c r="L1" s="45"/>
      <c r="N1" s="46" t="s">
        <v>71</v>
      </c>
      <c r="O1" s="47"/>
    </row>
    <row r="2" spans="1:15" ht="15.75" x14ac:dyDescent="0.25">
      <c r="A2" s="56"/>
      <c r="B2" s="56"/>
      <c r="C2" s="56"/>
      <c r="D2" s="15" t="s">
        <v>4</v>
      </c>
      <c r="E2" s="15" t="s">
        <v>67</v>
      </c>
      <c r="F2" s="15" t="s">
        <v>5</v>
      </c>
      <c r="H2" s="13" t="s">
        <v>64</v>
      </c>
      <c r="I2" s="13" t="s">
        <v>65</v>
      </c>
      <c r="K2" s="20" t="s">
        <v>69</v>
      </c>
      <c r="L2" s="20" t="s">
        <v>70</v>
      </c>
      <c r="N2" s="21" t="s">
        <v>73</v>
      </c>
      <c r="O2" s="21" t="s">
        <v>68</v>
      </c>
    </row>
    <row r="3" spans="1:15" ht="15.75" x14ac:dyDescent="0.25">
      <c r="A3" s="48">
        <v>1</v>
      </c>
      <c r="B3" s="51" t="s">
        <v>6</v>
      </c>
      <c r="C3" s="1">
        <v>2019</v>
      </c>
      <c r="D3" s="2">
        <f>-7.38*1000000000</f>
        <v>-7380000000</v>
      </c>
      <c r="E3" s="2">
        <f>2191.87*1000000</f>
        <v>2191870000</v>
      </c>
      <c r="F3" s="2">
        <f t="shared" ref="F3:F26" si="0">D3/E3</f>
        <v>-3.3669880056755193</v>
      </c>
      <c r="H3" s="2">
        <v>398</v>
      </c>
      <c r="I3" s="2">
        <f t="shared" ref="I3:I26" si="1">H3/F3</f>
        <v>-118.20653929539294</v>
      </c>
      <c r="K3" s="2">
        <f>380.73*1000000000</f>
        <v>380730000000</v>
      </c>
      <c r="L3" s="2">
        <f t="shared" ref="L3:L26" si="2">K3/E3</f>
        <v>173.70099504076427</v>
      </c>
      <c r="N3" s="2">
        <v>398</v>
      </c>
      <c r="O3" s="24">
        <f t="shared" ref="O3:O26" si="3">N3/L3</f>
        <v>2.2912937252120926</v>
      </c>
    </row>
    <row r="4" spans="1:15" ht="15.75" x14ac:dyDescent="0.25">
      <c r="A4" s="49"/>
      <c r="B4" s="52"/>
      <c r="C4" s="1">
        <v>2020</v>
      </c>
      <c r="D4" s="2">
        <f>-10.5*1000000000</f>
        <v>-10500000000</v>
      </c>
      <c r="E4" s="2">
        <f>2191.87*1000000</f>
        <v>2191870000</v>
      </c>
      <c r="F4" s="2">
        <f t="shared" si="0"/>
        <v>-4.7904300893757386</v>
      </c>
      <c r="H4" s="2">
        <v>308</v>
      </c>
      <c r="I4" s="2">
        <f t="shared" si="1"/>
        <v>-64.294853333333336</v>
      </c>
      <c r="K4" s="2">
        <f>372.88*1000000000</f>
        <v>372880000000</v>
      </c>
      <c r="L4" s="2">
        <f t="shared" si="2"/>
        <v>170.11957825965956</v>
      </c>
      <c r="N4" s="2">
        <v>308</v>
      </c>
      <c r="O4" s="24">
        <f t="shared" si="3"/>
        <v>1.8104912036043768</v>
      </c>
    </row>
    <row r="5" spans="1:15" ht="15.75" x14ac:dyDescent="0.25">
      <c r="A5" s="49"/>
      <c r="B5" s="52"/>
      <c r="C5" s="1">
        <v>2021</v>
      </c>
      <c r="D5" s="2">
        <f>-8.39*1000000000</f>
        <v>-8390000000.000001</v>
      </c>
      <c r="E5" s="2">
        <f>2191.87*1000000</f>
        <v>2191870000</v>
      </c>
      <c r="F5" s="2">
        <f t="shared" si="0"/>
        <v>-3.8277817571297574</v>
      </c>
      <c r="H5" s="2">
        <v>280</v>
      </c>
      <c r="I5" s="2">
        <f t="shared" si="1"/>
        <v>-73.149415971394504</v>
      </c>
      <c r="K5" s="2">
        <f>363.83*1000000000</f>
        <v>363830000000</v>
      </c>
      <c r="L5" s="2">
        <f t="shared" si="2"/>
        <v>165.99068375405474</v>
      </c>
      <c r="N5" s="2">
        <v>280</v>
      </c>
      <c r="O5" s="24">
        <f t="shared" si="3"/>
        <v>1.6868416568177447</v>
      </c>
    </row>
    <row r="6" spans="1:15" ht="15.75" x14ac:dyDescent="0.25">
      <c r="A6" s="50"/>
      <c r="B6" s="53"/>
      <c r="C6" s="1">
        <v>2022</v>
      </c>
      <c r="D6" s="2">
        <f>-16.12*1000000000</f>
        <v>-16120000000.000002</v>
      </c>
      <c r="E6" s="2">
        <f>2191.87*1000000</f>
        <v>2191870000</v>
      </c>
      <c r="F6" s="2">
        <f t="shared" si="0"/>
        <v>-7.3544507657844678</v>
      </c>
      <c r="H6" s="2">
        <v>50</v>
      </c>
      <c r="I6" s="2">
        <f t="shared" si="1"/>
        <v>-6.7986042183622821</v>
      </c>
      <c r="K6" s="2">
        <f>348.91*1000000000</f>
        <v>348910000000</v>
      </c>
      <c r="L6" s="2">
        <f t="shared" si="2"/>
        <v>159.18371071277036</v>
      </c>
      <c r="N6" s="2">
        <v>50</v>
      </c>
      <c r="O6" s="24">
        <f t="shared" si="3"/>
        <v>0.31410249061362533</v>
      </c>
    </row>
    <row r="7" spans="1:15" ht="15.75" x14ac:dyDescent="0.25">
      <c r="A7" s="48">
        <v>2</v>
      </c>
      <c r="B7" s="51" t="s">
        <v>8</v>
      </c>
      <c r="C7" s="1">
        <v>2019</v>
      </c>
      <c r="D7" s="2">
        <v>64000000000</v>
      </c>
      <c r="E7" s="2">
        <v>4498997000</v>
      </c>
      <c r="F7" s="2">
        <f t="shared" si="0"/>
        <v>14.225392904240657</v>
      </c>
      <c r="H7" s="2">
        <v>103</v>
      </c>
      <c r="I7" s="2">
        <f t="shared" si="1"/>
        <v>7.2405732968749996</v>
      </c>
      <c r="K7" s="2">
        <f>1285.3*1000000000</f>
        <v>1285300000000</v>
      </c>
      <c r="L7" s="2">
        <f t="shared" si="2"/>
        <v>285.68589843469556</v>
      </c>
      <c r="N7" s="2">
        <v>103</v>
      </c>
      <c r="O7" s="24">
        <f t="shared" si="3"/>
        <v>0.36053582120905625</v>
      </c>
    </row>
    <row r="8" spans="1:15" ht="15.75" x14ac:dyDescent="0.25">
      <c r="A8" s="49"/>
      <c r="B8" s="52"/>
      <c r="C8" s="1">
        <v>2020</v>
      </c>
      <c r="D8" s="2">
        <v>67100000000</v>
      </c>
      <c r="E8" s="2">
        <v>4498997000</v>
      </c>
      <c r="F8" s="2">
        <f t="shared" si="0"/>
        <v>14.914435373039813</v>
      </c>
      <c r="H8" s="2">
        <v>99</v>
      </c>
      <c r="I8" s="2">
        <f t="shared" si="1"/>
        <v>6.6378644262295081</v>
      </c>
      <c r="K8" s="2">
        <f>1322.2*1000000000</f>
        <v>1322200000000</v>
      </c>
      <c r="L8" s="2">
        <f t="shared" si="2"/>
        <v>293.88772653104678</v>
      </c>
      <c r="N8" s="2">
        <v>99</v>
      </c>
      <c r="O8" s="24">
        <f t="shared" si="3"/>
        <v>0.33686333610648922</v>
      </c>
    </row>
    <row r="9" spans="1:15" ht="15.75" x14ac:dyDescent="0.25">
      <c r="A9" s="49"/>
      <c r="B9" s="52"/>
      <c r="C9" s="1">
        <v>2021</v>
      </c>
      <c r="D9" s="2">
        <v>91700000000</v>
      </c>
      <c r="E9" s="2">
        <v>4498997000</v>
      </c>
      <c r="F9" s="2">
        <f t="shared" si="0"/>
        <v>20.382320770607315</v>
      </c>
      <c r="H9" s="2">
        <v>179</v>
      </c>
      <c r="I9" s="2">
        <f t="shared" si="1"/>
        <v>8.7821206434023988</v>
      </c>
      <c r="K9" s="2">
        <f>1387.7*1000000000</f>
        <v>1387700000000</v>
      </c>
      <c r="L9" s="2">
        <f t="shared" si="2"/>
        <v>308.44652708148061</v>
      </c>
      <c r="N9" s="2">
        <v>179</v>
      </c>
      <c r="O9" s="24">
        <f t="shared" si="3"/>
        <v>0.58032749369460257</v>
      </c>
    </row>
    <row r="10" spans="1:15" ht="15.75" x14ac:dyDescent="0.25">
      <c r="A10" s="50"/>
      <c r="B10" s="53"/>
      <c r="C10" s="1">
        <v>2022</v>
      </c>
      <c r="D10" s="2">
        <f>93.1*1000000000</f>
        <v>93100000000</v>
      </c>
      <c r="E10" s="2">
        <v>4498997000</v>
      </c>
      <c r="F10" s="2">
        <f t="shared" si="0"/>
        <v>20.69350124038758</v>
      </c>
      <c r="H10" s="2">
        <v>226</v>
      </c>
      <c r="I10" s="2">
        <f t="shared" si="1"/>
        <v>10.92130313641246</v>
      </c>
      <c r="K10" s="2">
        <f>1445*1000000000</f>
        <v>1445000000000</v>
      </c>
      <c r="L10" s="2">
        <f t="shared" si="2"/>
        <v>321.18269916605857</v>
      </c>
      <c r="N10" s="2">
        <v>226</v>
      </c>
      <c r="O10" s="24">
        <f t="shared" si="3"/>
        <v>0.70364935778546711</v>
      </c>
    </row>
    <row r="11" spans="1:15" ht="15.75" x14ac:dyDescent="0.25">
      <c r="A11" s="48">
        <v>3</v>
      </c>
      <c r="B11" s="51" t="s">
        <v>9</v>
      </c>
      <c r="C11" s="1">
        <v>2019</v>
      </c>
      <c r="D11" s="2">
        <f>76.76*1000000000</f>
        <v>76760000000</v>
      </c>
      <c r="E11" s="2">
        <v>5885000000</v>
      </c>
      <c r="F11" s="2">
        <f t="shared" si="0"/>
        <v>13.043330501274427</v>
      </c>
      <c r="H11" s="2">
        <v>374</v>
      </c>
      <c r="I11" s="2">
        <f t="shared" si="1"/>
        <v>28.67365815528921</v>
      </c>
      <c r="K11" s="2">
        <f>935.39*1000000000</f>
        <v>935390000000</v>
      </c>
      <c r="L11" s="2">
        <f t="shared" si="2"/>
        <v>158.94477485131691</v>
      </c>
      <c r="N11" s="2">
        <v>374</v>
      </c>
      <c r="O11" s="24">
        <f t="shared" si="3"/>
        <v>2.3530185270315056</v>
      </c>
    </row>
    <row r="12" spans="1:15" ht="15.75" x14ac:dyDescent="0.25">
      <c r="A12" s="49"/>
      <c r="B12" s="52"/>
      <c r="C12" s="1">
        <v>2020</v>
      </c>
      <c r="D12" s="2">
        <f>44.05*1000000000</f>
        <v>44050000000</v>
      </c>
      <c r="E12" s="2">
        <v>5885000000</v>
      </c>
      <c r="F12" s="2">
        <f t="shared" si="0"/>
        <v>7.4851316907391672</v>
      </c>
      <c r="H12" s="2">
        <v>302</v>
      </c>
      <c r="I12" s="2">
        <f t="shared" si="1"/>
        <v>40.346651532349604</v>
      </c>
      <c r="K12" s="2">
        <f>961.71*1000000000</f>
        <v>961710000000</v>
      </c>
      <c r="L12" s="2">
        <f t="shared" si="2"/>
        <v>163.41716227697535</v>
      </c>
      <c r="N12" s="2">
        <v>302</v>
      </c>
      <c r="O12" s="24">
        <f t="shared" si="3"/>
        <v>1.8480311112497532</v>
      </c>
    </row>
    <row r="13" spans="1:15" ht="15.75" x14ac:dyDescent="0.25">
      <c r="A13" s="49"/>
      <c r="B13" s="52"/>
      <c r="C13" s="1">
        <v>2021</v>
      </c>
      <c r="D13" s="2">
        <f>99.28*1000000000</f>
        <v>99280000000</v>
      </c>
      <c r="E13" s="2">
        <v>5885000000</v>
      </c>
      <c r="F13" s="2">
        <f t="shared" si="0"/>
        <v>16.87000849617672</v>
      </c>
      <c r="H13" s="2">
        <v>290</v>
      </c>
      <c r="I13" s="2">
        <f t="shared" si="1"/>
        <v>17.190269943593876</v>
      </c>
      <c r="K13" s="2">
        <f>1026.45*1000000000</f>
        <v>1026450000000</v>
      </c>
      <c r="L13" s="2">
        <f t="shared" si="2"/>
        <v>174.41801189464741</v>
      </c>
      <c r="N13" s="2">
        <v>290</v>
      </c>
      <c r="O13" s="24">
        <f t="shared" si="3"/>
        <v>1.6626723172098008</v>
      </c>
    </row>
    <row r="14" spans="1:15" ht="15.75" x14ac:dyDescent="0.25">
      <c r="A14" s="50"/>
      <c r="B14" s="53"/>
      <c r="C14" s="1">
        <v>2022</v>
      </c>
      <c r="D14" s="2">
        <f>121.26*1000000000</f>
        <v>121260000000</v>
      </c>
      <c r="E14" s="2">
        <v>5885000000</v>
      </c>
      <c r="F14" s="2">
        <f t="shared" si="0"/>
        <v>20.604927782497874</v>
      </c>
      <c r="H14" s="2">
        <v>306</v>
      </c>
      <c r="I14" s="2">
        <f t="shared" si="1"/>
        <v>14.850816427511134</v>
      </c>
      <c r="K14" s="2">
        <f>941.45*1000000000</f>
        <v>941450000000</v>
      </c>
      <c r="L14" s="2">
        <f t="shared" si="2"/>
        <v>159.97451146983857</v>
      </c>
      <c r="N14" s="2">
        <v>306</v>
      </c>
      <c r="O14" s="24">
        <f t="shared" si="3"/>
        <v>1.9128047161293749</v>
      </c>
    </row>
    <row r="15" spans="1:15" ht="15.75" x14ac:dyDescent="0.25">
      <c r="A15" s="48">
        <v>4</v>
      </c>
      <c r="B15" s="51" t="s">
        <v>10</v>
      </c>
      <c r="C15" s="1">
        <v>2019</v>
      </c>
      <c r="D15" s="2">
        <f>215459*1000000</f>
        <v>215459000000</v>
      </c>
      <c r="E15" s="2">
        <v>595000000</v>
      </c>
      <c r="F15" s="2">
        <f t="shared" si="0"/>
        <v>362.11596638655465</v>
      </c>
      <c r="H15" s="2">
        <v>1670</v>
      </c>
      <c r="I15" s="2">
        <f t="shared" si="1"/>
        <v>4.6117822880455215</v>
      </c>
      <c r="K15" s="2">
        <f>1131295*1000000</f>
        <v>1131295000000</v>
      </c>
      <c r="L15" s="2">
        <f t="shared" si="2"/>
        <v>1901.3361344537816</v>
      </c>
      <c r="N15" s="2">
        <v>1670</v>
      </c>
      <c r="O15" s="24">
        <f t="shared" si="3"/>
        <v>0.87832970180191727</v>
      </c>
    </row>
    <row r="16" spans="1:15" ht="15.75" x14ac:dyDescent="0.25">
      <c r="A16" s="49"/>
      <c r="B16" s="52"/>
      <c r="C16" s="1">
        <v>2020</v>
      </c>
      <c r="D16" s="2">
        <v>181813000000</v>
      </c>
      <c r="E16" s="2">
        <v>595000000</v>
      </c>
      <c r="F16" s="2">
        <f t="shared" si="0"/>
        <v>305.56806722689078</v>
      </c>
      <c r="H16" s="2">
        <v>1785</v>
      </c>
      <c r="I16" s="2">
        <f t="shared" si="1"/>
        <v>5.841578985001072</v>
      </c>
      <c r="K16" s="2">
        <f>1260715*1000000</f>
        <v>1260715000000</v>
      </c>
      <c r="L16" s="2">
        <f t="shared" si="2"/>
        <v>2118.8487394957983</v>
      </c>
      <c r="N16" s="2">
        <v>1785</v>
      </c>
      <c r="O16" s="24">
        <f t="shared" si="3"/>
        <v>0.84243861618208715</v>
      </c>
    </row>
    <row r="17" spans="1:15" ht="15.75" x14ac:dyDescent="0.25">
      <c r="A17" s="49"/>
      <c r="B17" s="52"/>
      <c r="C17" s="1">
        <v>2021</v>
      </c>
      <c r="D17" s="2">
        <v>187067000000</v>
      </c>
      <c r="E17" s="2">
        <v>595000000</v>
      </c>
      <c r="F17" s="2">
        <f t="shared" si="0"/>
        <v>314.39831932773109</v>
      </c>
      <c r="H17" s="2">
        <v>1880</v>
      </c>
      <c r="I17" s="2">
        <f t="shared" si="1"/>
        <v>5.9796757311551474</v>
      </c>
      <c r="K17" s="2">
        <f>1387367*1000000</f>
        <v>1387367000000</v>
      </c>
      <c r="L17" s="2">
        <f t="shared" si="2"/>
        <v>2331.709243697479</v>
      </c>
      <c r="N17" s="2">
        <v>1880</v>
      </c>
      <c r="O17" s="24">
        <f t="shared" si="3"/>
        <v>0.80627548442481334</v>
      </c>
    </row>
    <row r="18" spans="1:15" ht="15.75" x14ac:dyDescent="0.25">
      <c r="A18" s="50"/>
      <c r="B18" s="53"/>
      <c r="C18" s="1">
        <v>2022</v>
      </c>
      <c r="D18" s="2">
        <f>220705*1000000</f>
        <v>220705000000</v>
      </c>
      <c r="E18" s="2">
        <v>595000000</v>
      </c>
      <c r="F18" s="2">
        <f t="shared" si="0"/>
        <v>370.93277310924367</v>
      </c>
      <c r="H18" s="2">
        <v>1980</v>
      </c>
      <c r="I18" s="2">
        <f t="shared" si="1"/>
        <v>5.3378944745248189</v>
      </c>
      <c r="K18" s="2">
        <f>1550043*1000000</f>
        <v>1550043000000</v>
      </c>
      <c r="L18" s="2">
        <f t="shared" si="2"/>
        <v>2605.1142857142859</v>
      </c>
      <c r="N18" s="2">
        <v>1980</v>
      </c>
      <c r="O18" s="24">
        <f t="shared" si="3"/>
        <v>0.76004343105320304</v>
      </c>
    </row>
    <row r="19" spans="1:15" ht="15.75" x14ac:dyDescent="0.25">
      <c r="A19" s="48">
        <v>5</v>
      </c>
      <c r="B19" s="51" t="s">
        <v>11</v>
      </c>
      <c r="C19" s="1">
        <v>2019</v>
      </c>
      <c r="D19" s="2">
        <f>130756*1000000</f>
        <v>130756000000</v>
      </c>
      <c r="E19" s="2">
        <f>12000*1000000</f>
        <v>12000000000</v>
      </c>
      <c r="F19" s="2">
        <f t="shared" si="0"/>
        <v>10.896333333333333</v>
      </c>
      <c r="H19" s="2">
        <v>545</v>
      </c>
      <c r="I19" s="2">
        <f t="shared" si="1"/>
        <v>50.016825231729328</v>
      </c>
      <c r="K19" s="2">
        <f>766299*1000000</f>
        <v>766299000000</v>
      </c>
      <c r="L19" s="2">
        <f t="shared" si="2"/>
        <v>63.858249999999998</v>
      </c>
      <c r="N19" s="2">
        <v>545</v>
      </c>
      <c r="O19" s="24">
        <f t="shared" si="3"/>
        <v>8.5345276452142045</v>
      </c>
    </row>
    <row r="20" spans="1:15" ht="15.75" x14ac:dyDescent="0.25">
      <c r="A20" s="49"/>
      <c r="B20" s="52"/>
      <c r="C20" s="1">
        <v>2020</v>
      </c>
      <c r="D20" s="2">
        <f>132772*1000000</f>
        <v>132772000000</v>
      </c>
      <c r="E20" s="2">
        <v>12000000000</v>
      </c>
      <c r="F20" s="2">
        <f t="shared" si="0"/>
        <v>11.064333333333334</v>
      </c>
      <c r="H20" s="2">
        <v>500</v>
      </c>
      <c r="I20" s="2">
        <f t="shared" si="1"/>
        <v>45.190250956526974</v>
      </c>
      <c r="K20" s="2">
        <f>894746*1000000</f>
        <v>894746000000</v>
      </c>
      <c r="L20" s="2">
        <f t="shared" si="2"/>
        <v>74.56216666666667</v>
      </c>
      <c r="N20" s="2">
        <v>500</v>
      </c>
      <c r="O20" s="24">
        <f t="shared" si="3"/>
        <v>6.7058137169654852</v>
      </c>
    </row>
    <row r="21" spans="1:15" ht="15.75" x14ac:dyDescent="0.25">
      <c r="A21" s="49"/>
      <c r="B21" s="52"/>
      <c r="C21" s="1">
        <v>2021</v>
      </c>
      <c r="D21" s="2">
        <f>180712*1000000</f>
        <v>180712000000</v>
      </c>
      <c r="E21" s="2">
        <v>12000000000</v>
      </c>
      <c r="F21" s="2">
        <f t="shared" si="0"/>
        <v>15.059333333333333</v>
      </c>
      <c r="H21" s="2">
        <v>470</v>
      </c>
      <c r="I21" s="2">
        <f t="shared" si="1"/>
        <v>31.20988091548984</v>
      </c>
      <c r="K21" s="2">
        <f>1001580*1000000</f>
        <v>1001580000000</v>
      </c>
      <c r="L21" s="2">
        <f t="shared" si="2"/>
        <v>83.465000000000003</v>
      </c>
      <c r="N21" s="2">
        <v>470</v>
      </c>
      <c r="O21" s="24">
        <f t="shared" si="3"/>
        <v>5.6311028574851729</v>
      </c>
    </row>
    <row r="22" spans="1:15" ht="15.75" x14ac:dyDescent="0.25">
      <c r="A22" s="50"/>
      <c r="B22" s="53"/>
      <c r="C22" s="1">
        <v>2022</v>
      </c>
      <c r="D22" s="2">
        <f>195559*1000000</f>
        <v>195559000000</v>
      </c>
      <c r="E22" s="2">
        <v>12000000000</v>
      </c>
      <c r="F22" s="2">
        <f t="shared" si="0"/>
        <v>16.296583333333334</v>
      </c>
      <c r="H22" s="2">
        <v>555</v>
      </c>
      <c r="I22" s="2">
        <f t="shared" si="1"/>
        <v>34.05621832797263</v>
      </c>
      <c r="K22" s="2">
        <f>1185151*1000000</f>
        <v>1185151000000</v>
      </c>
      <c r="L22" s="2">
        <f t="shared" si="2"/>
        <v>98.762583333333339</v>
      </c>
      <c r="N22" s="2">
        <v>555</v>
      </c>
      <c r="O22" s="24">
        <f t="shared" si="3"/>
        <v>5.6195370885228968</v>
      </c>
    </row>
    <row r="23" spans="1:15" ht="15.75" x14ac:dyDescent="0.25">
      <c r="A23" s="48">
        <v>6</v>
      </c>
      <c r="B23" s="51" t="s">
        <v>12</v>
      </c>
      <c r="C23" s="1">
        <v>2019</v>
      </c>
      <c r="D23" s="2">
        <v>108005000000</v>
      </c>
      <c r="E23" s="2">
        <v>7934683000</v>
      </c>
      <c r="F23" s="2">
        <f t="shared" si="0"/>
        <v>13.611759915298444</v>
      </c>
      <c r="H23" s="2">
        <v>623</v>
      </c>
      <c r="I23" s="2">
        <f t="shared" si="1"/>
        <v>45.769246877459373</v>
      </c>
      <c r="K23" s="2">
        <f>558748*1000000</f>
        <v>558748000000</v>
      </c>
      <c r="L23" s="2">
        <f t="shared" si="2"/>
        <v>70.418440156966568</v>
      </c>
      <c r="N23" s="2">
        <v>623</v>
      </c>
      <c r="O23" s="24">
        <f t="shared" si="3"/>
        <v>8.8471144576803855</v>
      </c>
    </row>
    <row r="24" spans="1:15" ht="15.75" x14ac:dyDescent="0.25">
      <c r="A24" s="49"/>
      <c r="B24" s="52"/>
      <c r="C24" s="1">
        <v>2020</v>
      </c>
      <c r="D24" s="2">
        <v>177007000000</v>
      </c>
      <c r="E24" s="2">
        <v>7934683000</v>
      </c>
      <c r="F24" s="2">
        <f t="shared" si="0"/>
        <v>22.308011548791551</v>
      </c>
      <c r="H24" s="2">
        <v>835</v>
      </c>
      <c r="I24" s="2">
        <f t="shared" si="1"/>
        <v>37.430498822080487</v>
      </c>
      <c r="K24" s="2">
        <f>734379*1000000</f>
        <v>734379000000</v>
      </c>
      <c r="L24" s="2">
        <f t="shared" si="2"/>
        <v>92.553035830164859</v>
      </c>
      <c r="N24" s="2">
        <v>835</v>
      </c>
      <c r="O24" s="24">
        <f t="shared" si="3"/>
        <v>9.021854253730023</v>
      </c>
    </row>
    <row r="25" spans="1:15" ht="15.75" x14ac:dyDescent="0.25">
      <c r="A25" s="49"/>
      <c r="B25" s="52"/>
      <c r="C25" s="1">
        <v>2021</v>
      </c>
      <c r="D25" s="2">
        <v>790229000000</v>
      </c>
      <c r="E25" s="2">
        <v>7934683000</v>
      </c>
      <c r="F25" s="2">
        <f t="shared" si="0"/>
        <v>99.591754327173504</v>
      </c>
      <c r="H25" s="2">
        <v>3400</v>
      </c>
      <c r="I25" s="2">
        <f t="shared" si="1"/>
        <v>34.1393725110063</v>
      </c>
      <c r="K25" s="2">
        <f>4696939*1000000</f>
        <v>4696939000000</v>
      </c>
      <c r="L25" s="2">
        <f t="shared" si="2"/>
        <v>591.95042826537622</v>
      </c>
      <c r="N25" s="2">
        <v>3400</v>
      </c>
      <c r="O25" s="24">
        <f t="shared" si="3"/>
        <v>5.7437241999523518</v>
      </c>
    </row>
    <row r="26" spans="1:15" ht="15.75" x14ac:dyDescent="0.25">
      <c r="A26" s="50"/>
      <c r="B26" s="53"/>
      <c r="C26" s="1">
        <v>2022</v>
      </c>
      <c r="D26" s="2">
        <f>1060582*1000000</f>
        <v>1060582000000</v>
      </c>
      <c r="E26" s="2">
        <v>7934683000</v>
      </c>
      <c r="F26" s="2">
        <f t="shared" si="0"/>
        <v>133.66406698289018</v>
      </c>
      <c r="H26" s="2">
        <v>4250</v>
      </c>
      <c r="I26" s="2">
        <f t="shared" si="1"/>
        <v>31.796129625054924</v>
      </c>
      <c r="K26" s="2">
        <f>5258332*1000000</f>
        <v>5258332000000</v>
      </c>
      <c r="L26" s="2">
        <f t="shared" si="2"/>
        <v>662.70221507273823</v>
      </c>
      <c r="N26" s="2">
        <v>4250</v>
      </c>
      <c r="O26" s="24">
        <f t="shared" si="3"/>
        <v>6.4131368559459538</v>
      </c>
    </row>
    <row r="27" spans="1:15" ht="15.75" x14ac:dyDescent="0.25">
      <c r="A27" s="48">
        <v>7</v>
      </c>
      <c r="B27" s="51" t="s">
        <v>13</v>
      </c>
      <c r="C27" s="1">
        <v>2019</v>
      </c>
      <c r="D27" s="2">
        <v>7957208221</v>
      </c>
      <c r="E27" s="2">
        <v>889863981</v>
      </c>
      <c r="F27" s="2">
        <f t="shared" ref="F27:F58" si="4">D27/E27</f>
        <v>8.9420500108993632</v>
      </c>
      <c r="H27" s="2">
        <v>910</v>
      </c>
      <c r="I27" s="2">
        <f t="shared" ref="I27:I58" si="5">H27/F27</f>
        <v>101.7663733585488</v>
      </c>
      <c r="K27" s="2">
        <v>109361193193</v>
      </c>
      <c r="L27" s="2">
        <f t="shared" ref="L27:L58" si="6">K27/E27</f>
        <v>122.89652747839447</v>
      </c>
      <c r="N27" s="2">
        <v>910</v>
      </c>
      <c r="O27" s="24">
        <f t="shared" ref="O27:O58" si="7">N27/L27</f>
        <v>7.4046030320912068</v>
      </c>
    </row>
    <row r="28" spans="1:15" ht="15.75" x14ac:dyDescent="0.25">
      <c r="A28" s="49"/>
      <c r="B28" s="52"/>
      <c r="C28" s="1">
        <v>2020</v>
      </c>
      <c r="D28" s="2">
        <v>2738128648</v>
      </c>
      <c r="E28" s="2">
        <v>889863981</v>
      </c>
      <c r="F28" s="2">
        <f t="shared" si="4"/>
        <v>3.0770193045941481</v>
      </c>
      <c r="H28" s="2">
        <v>700</v>
      </c>
      <c r="I28" s="2">
        <f t="shared" si="5"/>
        <v>227.49288538907248</v>
      </c>
      <c r="K28" s="2">
        <v>112068982561</v>
      </c>
      <c r="L28" s="2">
        <f t="shared" si="6"/>
        <v>125.93945249369521</v>
      </c>
      <c r="N28" s="2">
        <v>700</v>
      </c>
      <c r="O28" s="24">
        <f t="shared" si="7"/>
        <v>5.5582264821664475</v>
      </c>
    </row>
    <row r="29" spans="1:15" ht="15.75" x14ac:dyDescent="0.25">
      <c r="A29" s="49"/>
      <c r="B29" s="52"/>
      <c r="C29" s="1">
        <v>2021</v>
      </c>
      <c r="D29" s="2">
        <v>8532631708</v>
      </c>
      <c r="E29" s="2">
        <v>889863981</v>
      </c>
      <c r="F29" s="2">
        <f t="shared" si="4"/>
        <v>9.588692081245167</v>
      </c>
      <c r="H29" s="2">
        <v>288</v>
      </c>
      <c r="I29" s="2">
        <f t="shared" si="5"/>
        <v>30.035378919228048</v>
      </c>
      <c r="K29" s="2">
        <v>218832136935</v>
      </c>
      <c r="L29" s="2">
        <f t="shared" si="6"/>
        <v>245.91638902957237</v>
      </c>
      <c r="N29" s="2">
        <v>288</v>
      </c>
      <c r="O29" s="24">
        <f t="shared" si="7"/>
        <v>1.1711297532323757</v>
      </c>
    </row>
    <row r="30" spans="1:15" ht="15.75" x14ac:dyDescent="0.25">
      <c r="A30" s="50"/>
      <c r="B30" s="53"/>
      <c r="C30" s="1">
        <v>2022</v>
      </c>
      <c r="D30" s="2">
        <v>6620432696</v>
      </c>
      <c r="E30" s="2">
        <v>889863981</v>
      </c>
      <c r="F30" s="2">
        <f t="shared" si="4"/>
        <v>7.4398254535037758</v>
      </c>
      <c r="H30" s="2">
        <v>268</v>
      </c>
      <c r="I30" s="2">
        <f t="shared" si="5"/>
        <v>36.022350480519101</v>
      </c>
      <c r="K30" s="2">
        <v>204293087838</v>
      </c>
      <c r="L30" s="2">
        <f t="shared" si="6"/>
        <v>229.57788178865508</v>
      </c>
      <c r="N30" s="2">
        <v>268</v>
      </c>
      <c r="O30" s="24">
        <f t="shared" si="7"/>
        <v>1.1673598428210763</v>
      </c>
    </row>
    <row r="31" spans="1:15" ht="15.75" x14ac:dyDescent="0.25">
      <c r="A31" s="48">
        <v>8</v>
      </c>
      <c r="B31" s="51" t="s">
        <v>14</v>
      </c>
      <c r="C31" s="1">
        <v>2019</v>
      </c>
      <c r="D31" s="2">
        <f>317900*1000000</f>
        <v>317900000000</v>
      </c>
      <c r="E31" s="2">
        <v>800659050</v>
      </c>
      <c r="F31" s="2">
        <f t="shared" si="4"/>
        <v>397.04790697113833</v>
      </c>
      <c r="H31" s="2">
        <v>3830</v>
      </c>
      <c r="I31" s="2">
        <f t="shared" si="5"/>
        <v>9.646191134004404</v>
      </c>
      <c r="K31" s="2">
        <f>1213653*1000000</f>
        <v>1213653000000</v>
      </c>
      <c r="L31" s="2">
        <f t="shared" si="6"/>
        <v>1515.8175005952908</v>
      </c>
      <c r="N31" s="2">
        <v>3830</v>
      </c>
      <c r="O31" s="24">
        <f t="shared" si="7"/>
        <v>2.5266893926847298</v>
      </c>
    </row>
    <row r="32" spans="1:15" ht="15.75" x14ac:dyDescent="0.25">
      <c r="A32" s="49"/>
      <c r="B32" s="52"/>
      <c r="C32" s="1">
        <v>2020</v>
      </c>
      <c r="D32" s="2">
        <f>124038*1000000</f>
        <v>124038000000</v>
      </c>
      <c r="E32" s="2">
        <v>800659050</v>
      </c>
      <c r="F32" s="2">
        <f t="shared" si="4"/>
        <v>154.91987507041856</v>
      </c>
      <c r="H32" s="2">
        <v>3740</v>
      </c>
      <c r="I32" s="2">
        <f t="shared" si="5"/>
        <v>24.141511851206886</v>
      </c>
      <c r="K32" s="2">
        <f>1019899*1000000</f>
        <v>1019899000000</v>
      </c>
      <c r="L32" s="2">
        <f t="shared" si="6"/>
        <v>1273.8243575714282</v>
      </c>
      <c r="N32" s="2">
        <v>3740</v>
      </c>
      <c r="O32" s="24">
        <f t="shared" si="7"/>
        <v>2.9360405755864059</v>
      </c>
    </row>
    <row r="33" spans="1:15" ht="15.75" x14ac:dyDescent="0.25">
      <c r="A33" s="49"/>
      <c r="B33" s="52"/>
      <c r="C33" s="1">
        <v>2021</v>
      </c>
      <c r="D33" s="2">
        <f>187993*1000000</f>
        <v>187993000000</v>
      </c>
      <c r="E33" s="2">
        <v>800659050</v>
      </c>
      <c r="F33" s="2">
        <f t="shared" si="4"/>
        <v>234.79782062040016</v>
      </c>
      <c r="H33" s="2">
        <v>4400</v>
      </c>
      <c r="I33" s="2">
        <f t="shared" si="5"/>
        <v>18.739526578117271</v>
      </c>
      <c r="K33" s="2">
        <f>1010174*1000000</f>
        <v>1010174000000</v>
      </c>
      <c r="L33" s="2">
        <f t="shared" si="6"/>
        <v>1261.678113798876</v>
      </c>
      <c r="N33" s="2">
        <v>4400</v>
      </c>
      <c r="O33" s="24">
        <f t="shared" si="7"/>
        <v>3.4874188209160009</v>
      </c>
    </row>
    <row r="34" spans="1:15" ht="15.75" x14ac:dyDescent="0.25">
      <c r="A34" s="50"/>
      <c r="B34" s="53"/>
      <c r="C34" s="1">
        <v>2022</v>
      </c>
      <c r="D34" s="2">
        <f>230066*1000000</f>
        <v>230066000000</v>
      </c>
      <c r="E34" s="2">
        <v>800659050</v>
      </c>
      <c r="F34" s="2">
        <f t="shared" si="4"/>
        <v>287.34578095382795</v>
      </c>
      <c r="H34" s="2">
        <v>6800</v>
      </c>
      <c r="I34" s="2">
        <f t="shared" si="5"/>
        <v>23.664868081333186</v>
      </c>
      <c r="K34" s="2">
        <f>1000776*1000000</f>
        <v>1000776000000</v>
      </c>
      <c r="L34" s="2">
        <f t="shared" si="6"/>
        <v>1249.9402835701414</v>
      </c>
      <c r="N34" s="2">
        <v>6800</v>
      </c>
      <c r="O34" s="24">
        <f t="shared" si="7"/>
        <v>5.4402598983189039</v>
      </c>
    </row>
    <row r="35" spans="1:15" ht="15.75" x14ac:dyDescent="0.25">
      <c r="A35" s="48">
        <v>9</v>
      </c>
      <c r="B35" s="51" t="s">
        <v>15</v>
      </c>
      <c r="C35" s="1">
        <v>2019</v>
      </c>
      <c r="D35" s="2">
        <f>366863*1000000</f>
        <v>366863000000</v>
      </c>
      <c r="E35" s="2">
        <v>9468359000</v>
      </c>
      <c r="F35" s="2">
        <f t="shared" si="4"/>
        <v>38.746207236121911</v>
      </c>
      <c r="H35" s="2">
        <v>810</v>
      </c>
      <c r="I35" s="2">
        <f t="shared" si="5"/>
        <v>20.905271968009856</v>
      </c>
      <c r="K35" s="2">
        <f>3283591*1000000</f>
        <v>3283591000000</v>
      </c>
      <c r="L35" s="2">
        <f t="shared" si="6"/>
        <v>346.79620829755186</v>
      </c>
      <c r="N35" s="2">
        <v>810</v>
      </c>
      <c r="O35" s="24">
        <f t="shared" si="7"/>
        <v>2.3356656751708726</v>
      </c>
    </row>
    <row r="36" spans="1:15" ht="15.75" x14ac:dyDescent="0.25">
      <c r="A36" s="49"/>
      <c r="B36" s="52"/>
      <c r="C36" s="1">
        <v>2020</v>
      </c>
      <c r="D36" s="2">
        <f>205589*1000000</f>
        <v>205589000000</v>
      </c>
      <c r="E36" s="2">
        <v>9468359000</v>
      </c>
      <c r="F36" s="2">
        <f t="shared" si="4"/>
        <v>21.713266258704387</v>
      </c>
      <c r="H36" s="2">
        <v>920</v>
      </c>
      <c r="I36" s="2">
        <f t="shared" si="5"/>
        <v>42.370410284596936</v>
      </c>
      <c r="K36" s="2">
        <f>4655596*1000000</f>
        <v>4655596000000</v>
      </c>
      <c r="L36" s="2">
        <f t="shared" si="6"/>
        <v>491.70040975421404</v>
      </c>
      <c r="N36" s="2">
        <v>920</v>
      </c>
      <c r="O36" s="24">
        <f t="shared" si="7"/>
        <v>1.871058029949334</v>
      </c>
    </row>
    <row r="37" spans="1:15" ht="15.75" x14ac:dyDescent="0.25">
      <c r="A37" s="49"/>
      <c r="B37" s="52"/>
      <c r="C37" s="1">
        <v>2021</v>
      </c>
      <c r="D37" s="2">
        <f>351470*1000000</f>
        <v>351470000000</v>
      </c>
      <c r="E37" s="2">
        <v>9468359000</v>
      </c>
      <c r="F37" s="2">
        <f t="shared" si="4"/>
        <v>37.120476737310021</v>
      </c>
      <c r="H37" s="2">
        <v>905</v>
      </c>
      <c r="I37" s="2">
        <f t="shared" si="5"/>
        <v>24.380074814351154</v>
      </c>
      <c r="K37" s="2">
        <f>5019381*1000000</f>
        <v>5019381000000</v>
      </c>
      <c r="L37" s="2">
        <f t="shared" si="6"/>
        <v>530.12153425952692</v>
      </c>
      <c r="N37" s="2">
        <v>905</v>
      </c>
      <c r="O37" s="24">
        <f t="shared" si="7"/>
        <v>1.7071557020676453</v>
      </c>
    </row>
    <row r="38" spans="1:15" ht="15.75" x14ac:dyDescent="0.25">
      <c r="A38" s="50"/>
      <c r="B38" s="53"/>
      <c r="C38" s="1">
        <v>2022</v>
      </c>
      <c r="D38" s="2">
        <f>382105*1000000</f>
        <v>382105000000</v>
      </c>
      <c r="E38" s="2">
        <v>9468359000</v>
      </c>
      <c r="F38" s="2">
        <f t="shared" si="4"/>
        <v>40.355989881667988</v>
      </c>
      <c r="H38" s="2">
        <v>815</v>
      </c>
      <c r="I38" s="2">
        <f t="shared" si="5"/>
        <v>20.195267230211591</v>
      </c>
      <c r="K38" s="2">
        <f>5411262*1000000</f>
        <v>5411262000000</v>
      </c>
      <c r="L38" s="2">
        <f t="shared" si="6"/>
        <v>571.51001562150316</v>
      </c>
      <c r="N38" s="2">
        <v>815</v>
      </c>
      <c r="O38" s="24">
        <f t="shared" si="7"/>
        <v>1.4260467493534781</v>
      </c>
    </row>
    <row r="39" spans="1:15" ht="15.75" x14ac:dyDescent="0.25">
      <c r="A39" s="48">
        <v>10</v>
      </c>
      <c r="B39" s="51" t="s">
        <v>16</v>
      </c>
      <c r="C39" s="1">
        <v>2019</v>
      </c>
      <c r="D39" s="2">
        <f>-2343.1*1000000000</f>
        <v>-2343100000000</v>
      </c>
      <c r="E39" s="2">
        <v>5642275242</v>
      </c>
      <c r="F39" s="2">
        <f t="shared" si="4"/>
        <v>-415.27573532010973</v>
      </c>
      <c r="H39" s="2">
        <v>5575</v>
      </c>
      <c r="I39" s="2">
        <f t="shared" si="5"/>
        <v>-13.424815191050318</v>
      </c>
      <c r="K39" s="2">
        <f>12265.3*1000000000</f>
        <v>12265300000000</v>
      </c>
      <c r="L39" s="2">
        <f t="shared" si="6"/>
        <v>2173.8216364737918</v>
      </c>
      <c r="N39" s="2">
        <v>5575</v>
      </c>
      <c r="O39" s="24">
        <f t="shared" si="7"/>
        <v>2.5646078346351087</v>
      </c>
    </row>
    <row r="40" spans="1:15" ht="15.75" x14ac:dyDescent="0.25">
      <c r="A40" s="49"/>
      <c r="B40" s="52"/>
      <c r="C40" s="1">
        <v>2020</v>
      </c>
      <c r="D40" s="2">
        <f>1717.4*1000000000</f>
        <v>1717400000000</v>
      </c>
      <c r="E40" s="2">
        <v>5643957342</v>
      </c>
      <c r="F40" s="2">
        <f t="shared" si="4"/>
        <v>304.29003905111369</v>
      </c>
      <c r="H40" s="2">
        <v>14000</v>
      </c>
      <c r="I40" s="2">
        <f t="shared" si="5"/>
        <v>46.00873575637592</v>
      </c>
      <c r="K40" s="2">
        <f>12399*1000000000</f>
        <v>12399000000000</v>
      </c>
      <c r="L40" s="2">
        <f t="shared" si="6"/>
        <v>2196.8628125042269</v>
      </c>
      <c r="N40" s="2">
        <v>14000</v>
      </c>
      <c r="O40" s="24">
        <f t="shared" si="7"/>
        <v>6.3727238315993224</v>
      </c>
    </row>
    <row r="41" spans="1:15" ht="15.75" x14ac:dyDescent="0.25">
      <c r="A41" s="49"/>
      <c r="B41" s="52"/>
      <c r="C41" s="1">
        <v>2021</v>
      </c>
      <c r="D41" s="2">
        <f>6019.9*1000000000</f>
        <v>6019900000000</v>
      </c>
      <c r="E41" s="2">
        <v>61241751483</v>
      </c>
      <c r="F41" s="2">
        <f t="shared" si="4"/>
        <v>98.297319299743648</v>
      </c>
      <c r="H41" s="2">
        <v>2280</v>
      </c>
      <c r="I41" s="2">
        <f t="shared" si="5"/>
        <v>23.194935693489924</v>
      </c>
      <c r="K41" s="2">
        <f>33668.9*1000000000</f>
        <v>33668900000000</v>
      </c>
      <c r="L41" s="2">
        <f t="shared" si="6"/>
        <v>549.77036392151683</v>
      </c>
      <c r="N41" s="2">
        <v>2280</v>
      </c>
      <c r="O41" s="24">
        <f t="shared" si="7"/>
        <v>4.1471860791781134</v>
      </c>
    </row>
    <row r="42" spans="1:15" ht="15.75" x14ac:dyDescent="0.25">
      <c r="A42" s="50"/>
      <c r="B42" s="53"/>
      <c r="C42" s="28">
        <v>2022</v>
      </c>
      <c r="D42" s="29">
        <f>5462.1*1000000000</f>
        <v>5462100000000</v>
      </c>
      <c r="E42" s="29">
        <v>61241751483</v>
      </c>
      <c r="F42" s="29">
        <f t="shared" si="4"/>
        <v>89.189153930651628</v>
      </c>
      <c r="G42" s="30"/>
      <c r="H42" s="29">
        <v>13000</v>
      </c>
      <c r="I42" s="29">
        <f t="shared" si="5"/>
        <v>145.75763337892022</v>
      </c>
      <c r="J42" s="30"/>
      <c r="K42" s="29">
        <f>39896.6*1000000000</f>
        <v>39896600000000</v>
      </c>
      <c r="L42" s="29">
        <f t="shared" si="6"/>
        <v>651.46079323147433</v>
      </c>
      <c r="M42" s="30"/>
      <c r="N42" s="29">
        <v>13000</v>
      </c>
      <c r="O42" s="31">
        <f t="shared" si="7"/>
        <v>19.955153303263938</v>
      </c>
    </row>
    <row r="43" spans="1:15" ht="15.75" x14ac:dyDescent="0.25">
      <c r="A43" s="48">
        <v>11</v>
      </c>
      <c r="B43" s="51" t="s">
        <v>17</v>
      </c>
      <c r="C43" s="1">
        <v>2019</v>
      </c>
      <c r="D43" s="2">
        <f>1828*1000000</f>
        <v>1828000000</v>
      </c>
      <c r="E43" s="2">
        <v>650000000</v>
      </c>
      <c r="F43" s="2">
        <f t="shared" si="4"/>
        <v>2.8123076923076922</v>
      </c>
      <c r="H43" s="2">
        <v>119</v>
      </c>
      <c r="I43" s="2">
        <f t="shared" si="5"/>
        <v>42.31400437636762</v>
      </c>
      <c r="K43" s="2">
        <f>74052*1000000</f>
        <v>74052000000</v>
      </c>
      <c r="L43" s="2">
        <f t="shared" si="6"/>
        <v>113.92615384615385</v>
      </c>
      <c r="N43" s="2">
        <v>119</v>
      </c>
      <c r="O43" s="24">
        <f t="shared" si="7"/>
        <v>1.044536271808999</v>
      </c>
    </row>
    <row r="44" spans="1:15" ht="15.75" x14ac:dyDescent="0.25">
      <c r="A44" s="49"/>
      <c r="B44" s="52"/>
      <c r="C44" s="1">
        <v>2020</v>
      </c>
      <c r="D44" s="2">
        <f>-17389*1000000</f>
        <v>-17389000000</v>
      </c>
      <c r="E44" s="2">
        <v>650000000</v>
      </c>
      <c r="F44" s="2">
        <f t="shared" si="4"/>
        <v>-26.752307692307692</v>
      </c>
      <c r="H44" s="2">
        <v>104</v>
      </c>
      <c r="I44" s="2">
        <f t="shared" si="5"/>
        <v>-3.8875150957501869</v>
      </c>
      <c r="K44" s="2">
        <f>56241*1000000</f>
        <v>56241000000</v>
      </c>
      <c r="L44" s="2">
        <f t="shared" si="6"/>
        <v>86.524615384615387</v>
      </c>
      <c r="N44" s="2">
        <v>104</v>
      </c>
      <c r="O44" s="24">
        <f t="shared" si="7"/>
        <v>1.2019700929926567</v>
      </c>
    </row>
    <row r="45" spans="1:15" ht="15.75" x14ac:dyDescent="0.25">
      <c r="A45" s="49"/>
      <c r="B45" s="52"/>
      <c r="C45" s="1">
        <v>2021</v>
      </c>
      <c r="D45" s="2">
        <f>-14659*1000000</f>
        <v>-14659000000</v>
      </c>
      <c r="E45" s="2">
        <v>650000000</v>
      </c>
      <c r="F45" s="2">
        <f t="shared" si="4"/>
        <v>-22.552307692307693</v>
      </c>
      <c r="H45" s="2">
        <v>133</v>
      </c>
      <c r="I45" s="2">
        <f t="shared" si="5"/>
        <v>-5.8974009141141961</v>
      </c>
      <c r="K45" s="2">
        <f>43741*1000000</f>
        <v>43741000000</v>
      </c>
      <c r="L45" s="2">
        <f t="shared" si="6"/>
        <v>67.293846153846147</v>
      </c>
      <c r="N45" s="2">
        <v>133</v>
      </c>
      <c r="O45" s="24">
        <f t="shared" si="7"/>
        <v>1.9764065750668711</v>
      </c>
    </row>
    <row r="46" spans="1:15" ht="15.75" x14ac:dyDescent="0.25">
      <c r="A46" s="50"/>
      <c r="B46" s="53"/>
      <c r="C46" s="1">
        <v>2022</v>
      </c>
      <c r="D46" s="2">
        <f>-22068*1000000</f>
        <v>-22068000000</v>
      </c>
      <c r="E46" s="2">
        <v>650000000</v>
      </c>
      <c r="F46" s="2">
        <f t="shared" si="4"/>
        <v>-33.950769230769232</v>
      </c>
      <c r="H46" s="2">
        <v>111</v>
      </c>
      <c r="I46" s="2">
        <f t="shared" si="5"/>
        <v>-3.2694399129961935</v>
      </c>
      <c r="K46" s="2">
        <f>41665*1000000</f>
        <v>41665000000</v>
      </c>
      <c r="L46" s="2">
        <f t="shared" si="6"/>
        <v>64.099999999999994</v>
      </c>
      <c r="N46" s="2">
        <v>111</v>
      </c>
      <c r="O46" s="24">
        <f t="shared" si="7"/>
        <v>1.731669266770671</v>
      </c>
    </row>
    <row r="47" spans="1:15" ht="15.75" x14ac:dyDescent="0.25">
      <c r="A47" s="48">
        <v>12</v>
      </c>
      <c r="B47" s="51" t="s">
        <v>18</v>
      </c>
      <c r="C47" s="1">
        <v>2019</v>
      </c>
      <c r="D47" s="2">
        <v>436000000000</v>
      </c>
      <c r="E47" s="2">
        <v>7379580291</v>
      </c>
      <c r="F47" s="2">
        <f t="shared" si="4"/>
        <v>59.081950843700092</v>
      </c>
      <c r="H47" s="2">
        <v>1510</v>
      </c>
      <c r="I47" s="2">
        <f t="shared" si="5"/>
        <v>25.557720732591743</v>
      </c>
      <c r="K47" s="2">
        <f>2766*1000000000</f>
        <v>2766000000000</v>
      </c>
      <c r="L47" s="2">
        <f t="shared" si="6"/>
        <v>374.81806429741846</v>
      </c>
      <c r="N47" s="2">
        <v>1510</v>
      </c>
      <c r="O47" s="24">
        <f t="shared" si="7"/>
        <v>4.0286212000759223</v>
      </c>
    </row>
    <row r="48" spans="1:15" ht="15.75" x14ac:dyDescent="0.25">
      <c r="A48" s="49"/>
      <c r="B48" s="52"/>
      <c r="C48" s="1">
        <v>2020</v>
      </c>
      <c r="D48" s="2">
        <v>245000000000</v>
      </c>
      <c r="E48" s="2">
        <v>7379580291</v>
      </c>
      <c r="F48" s="2">
        <f t="shared" si="4"/>
        <v>33.199720084189273</v>
      </c>
      <c r="H48" s="2">
        <v>1270</v>
      </c>
      <c r="I48" s="2">
        <f t="shared" si="5"/>
        <v>38.253334569673463</v>
      </c>
      <c r="K48" s="2">
        <f>2969*1000000000</f>
        <v>2969000000000</v>
      </c>
      <c r="L48" s="2">
        <f t="shared" si="6"/>
        <v>402.32640379574673</v>
      </c>
      <c r="N48" s="2">
        <v>1270</v>
      </c>
      <c r="O48" s="24">
        <f t="shared" si="7"/>
        <v>3.1566409463017848</v>
      </c>
    </row>
    <row r="49" spans="1:15" ht="15.75" x14ac:dyDescent="0.25">
      <c r="A49" s="49"/>
      <c r="B49" s="52"/>
      <c r="C49" s="1">
        <v>2021</v>
      </c>
      <c r="D49" s="2">
        <v>493000000000</v>
      </c>
      <c r="E49" s="2">
        <v>36897901455</v>
      </c>
      <c r="F49" s="2">
        <f t="shared" si="4"/>
        <v>13.36119347061658</v>
      </c>
      <c r="H49" s="2">
        <v>525</v>
      </c>
      <c r="I49" s="2">
        <f t="shared" si="5"/>
        <v>39.292897086967542</v>
      </c>
      <c r="K49" s="2">
        <f>3042*1000000000</f>
        <v>3042000000000</v>
      </c>
      <c r="L49" s="2">
        <f t="shared" si="6"/>
        <v>82.443713058043883</v>
      </c>
      <c r="N49" s="2">
        <v>525</v>
      </c>
      <c r="O49" s="24">
        <f t="shared" si="7"/>
        <v>6.3679810203402365</v>
      </c>
    </row>
    <row r="50" spans="1:15" ht="15.75" x14ac:dyDescent="0.25">
      <c r="A50" s="50"/>
      <c r="B50" s="53"/>
      <c r="C50" s="1">
        <v>2022</v>
      </c>
      <c r="D50" s="2">
        <v>522000000000</v>
      </c>
      <c r="E50" s="2">
        <v>36897901455</v>
      </c>
      <c r="F50" s="2">
        <f t="shared" si="4"/>
        <v>14.147146027711672</v>
      </c>
      <c r="H50" s="2">
        <v>525</v>
      </c>
      <c r="I50" s="2">
        <f t="shared" si="5"/>
        <v>37.109958359913797</v>
      </c>
      <c r="K50" s="2">
        <f>3351*1000000000</f>
        <v>3351000000000</v>
      </c>
      <c r="L50" s="2">
        <f t="shared" si="6"/>
        <v>90.818173062953676</v>
      </c>
      <c r="N50" s="2">
        <v>525</v>
      </c>
      <c r="O50" s="24">
        <f t="shared" si="7"/>
        <v>5.7807813380707245</v>
      </c>
    </row>
    <row r="51" spans="1:15" ht="15.75" x14ac:dyDescent="0.25">
      <c r="A51" s="48">
        <v>13</v>
      </c>
      <c r="B51" s="51" t="s">
        <v>19</v>
      </c>
      <c r="C51" s="1">
        <v>2019</v>
      </c>
      <c r="D51" s="2">
        <v>103723133280</v>
      </c>
      <c r="E51" s="2">
        <v>2419438170</v>
      </c>
      <c r="F51" s="2">
        <f t="shared" si="4"/>
        <v>42.870751799373323</v>
      </c>
      <c r="H51" s="2">
        <v>573</v>
      </c>
      <c r="I51" s="2">
        <f t="shared" si="5"/>
        <v>13.365755811363588</v>
      </c>
      <c r="K51" s="2">
        <v>641567444819</v>
      </c>
      <c r="L51" s="2">
        <f t="shared" si="6"/>
        <v>265.17207704423379</v>
      </c>
      <c r="N51" s="2">
        <v>573</v>
      </c>
      <c r="O51" s="24">
        <f t="shared" si="7"/>
        <v>2.1608610016069565</v>
      </c>
    </row>
    <row r="52" spans="1:15" ht="15.75" x14ac:dyDescent="0.25">
      <c r="A52" s="49"/>
      <c r="B52" s="52"/>
      <c r="C52" s="1">
        <v>2020</v>
      </c>
      <c r="D52" s="2">
        <v>38038419405</v>
      </c>
      <c r="E52" s="2">
        <v>2419438170</v>
      </c>
      <c r="F52" s="2">
        <f t="shared" si="4"/>
        <v>15.722005164942901</v>
      </c>
      <c r="H52" s="2">
        <v>756</v>
      </c>
      <c r="I52" s="2">
        <f t="shared" si="5"/>
        <v>48.085469510322831</v>
      </c>
      <c r="K52" s="2">
        <v>662560916609</v>
      </c>
      <c r="L52" s="2">
        <f t="shared" si="6"/>
        <v>273.84907985021994</v>
      </c>
      <c r="N52" s="2">
        <v>756</v>
      </c>
      <c r="O52" s="24">
        <f t="shared" si="7"/>
        <v>2.7606446602394632</v>
      </c>
    </row>
    <row r="53" spans="1:15" ht="15.75" x14ac:dyDescent="0.25">
      <c r="A53" s="49"/>
      <c r="B53" s="52"/>
      <c r="C53" s="1">
        <v>2021</v>
      </c>
      <c r="D53" s="2">
        <v>12533087704</v>
      </c>
      <c r="E53" s="2">
        <v>9677752680</v>
      </c>
      <c r="F53" s="2">
        <f t="shared" si="4"/>
        <v>1.2950411235348906</v>
      </c>
      <c r="H53" s="2">
        <v>232</v>
      </c>
      <c r="I53" s="2">
        <f t="shared" si="5"/>
        <v>179.14489029255103</v>
      </c>
      <c r="K53" s="2">
        <v>674176387075</v>
      </c>
      <c r="L53" s="2">
        <f t="shared" si="6"/>
        <v>69.662493904008301</v>
      </c>
      <c r="N53" s="2">
        <v>232</v>
      </c>
      <c r="O53" s="24">
        <f t="shared" si="7"/>
        <v>3.3303430152771343</v>
      </c>
    </row>
    <row r="54" spans="1:15" ht="15.75" x14ac:dyDescent="0.25">
      <c r="A54" s="50"/>
      <c r="B54" s="53"/>
      <c r="C54" s="1">
        <v>2022</v>
      </c>
      <c r="D54" s="2">
        <v>90572477</v>
      </c>
      <c r="E54" s="2">
        <v>9677752680</v>
      </c>
      <c r="F54" s="2">
        <f t="shared" si="4"/>
        <v>9.358833604745518E-3</v>
      </c>
      <c r="H54" s="2">
        <v>103</v>
      </c>
      <c r="I54" s="2">
        <f t="shared" si="5"/>
        <v>11005.644971374693</v>
      </c>
      <c r="K54" s="2">
        <v>668859547083</v>
      </c>
      <c r="L54" s="2">
        <f t="shared" si="6"/>
        <v>69.11310602773122</v>
      </c>
      <c r="N54" s="2">
        <v>103</v>
      </c>
      <c r="O54" s="24">
        <f t="shared" si="7"/>
        <v>1.4903106794053196</v>
      </c>
    </row>
    <row r="55" spans="1:15" ht="15.75" x14ac:dyDescent="0.25">
      <c r="A55" s="48">
        <v>14</v>
      </c>
      <c r="B55" s="51" t="s">
        <v>20</v>
      </c>
      <c r="C55" s="1">
        <v>2019</v>
      </c>
      <c r="D55" s="2">
        <f>5360*1000000000</f>
        <v>5360000000000</v>
      </c>
      <c r="E55" s="2">
        <f>11662*1000000</f>
        <v>11662000000</v>
      </c>
      <c r="F55" s="2">
        <f t="shared" si="4"/>
        <v>459.61241639512946</v>
      </c>
      <c r="H55" s="2">
        <v>11150</v>
      </c>
      <c r="I55" s="2">
        <f t="shared" si="5"/>
        <v>24.259570895522391</v>
      </c>
      <c r="K55" s="2">
        <f>26671.1*1000000000</f>
        <v>26671100000000</v>
      </c>
      <c r="L55" s="2">
        <f t="shared" si="6"/>
        <v>2287.0090893500255</v>
      </c>
      <c r="N55" s="2">
        <v>11150</v>
      </c>
      <c r="O55" s="24">
        <f t="shared" si="7"/>
        <v>4.8753632208645321</v>
      </c>
    </row>
    <row r="56" spans="1:15" ht="15.75" x14ac:dyDescent="0.25">
      <c r="A56" s="49"/>
      <c r="B56" s="52"/>
      <c r="C56" s="1">
        <v>2020</v>
      </c>
      <c r="D56" s="2">
        <f>7418.6*1000000000</f>
        <v>7418600000000</v>
      </c>
      <c r="E56" s="2">
        <f>11662*1000000</f>
        <v>11662000000</v>
      </c>
      <c r="F56" s="2">
        <f t="shared" si="4"/>
        <v>636.13445378151266</v>
      </c>
      <c r="H56" s="2">
        <v>9575</v>
      </c>
      <c r="I56" s="2">
        <f t="shared" si="5"/>
        <v>15.051849405548216</v>
      </c>
      <c r="K56" s="2">
        <f>50659.8*1000000000</f>
        <v>50659800000000</v>
      </c>
      <c r="L56" s="2">
        <f t="shared" si="6"/>
        <v>4344.0061738981303</v>
      </c>
      <c r="N56" s="2">
        <v>9575</v>
      </c>
      <c r="O56" s="24">
        <f t="shared" si="7"/>
        <v>2.2041865542303762</v>
      </c>
    </row>
    <row r="57" spans="1:15" ht="15.75" x14ac:dyDescent="0.25">
      <c r="A57" s="49"/>
      <c r="B57" s="52"/>
      <c r="C57" s="1">
        <v>2021</v>
      </c>
      <c r="D57" s="2">
        <f>7911.9*1000000000</f>
        <v>7911900000000</v>
      </c>
      <c r="E57" s="2">
        <f>11662*1000000</f>
        <v>11662000000</v>
      </c>
      <c r="F57" s="2">
        <f t="shared" si="4"/>
        <v>678.43423083519122</v>
      </c>
      <c r="H57" s="2">
        <v>8700</v>
      </c>
      <c r="I57" s="2">
        <f t="shared" si="5"/>
        <v>12.823645394911463</v>
      </c>
      <c r="K57" s="2">
        <f>54940.6*1000000000</f>
        <v>54940600000000</v>
      </c>
      <c r="L57" s="2">
        <f t="shared" si="6"/>
        <v>4711.078717201166</v>
      </c>
      <c r="N57" s="2">
        <v>8700</v>
      </c>
      <c r="O57" s="24">
        <f t="shared" si="7"/>
        <v>1.8467108113125812</v>
      </c>
    </row>
    <row r="58" spans="1:15" ht="15.75" x14ac:dyDescent="0.25">
      <c r="A58" s="50"/>
      <c r="B58" s="53"/>
      <c r="C58" s="1">
        <v>2022</v>
      </c>
      <c r="D58" s="2">
        <f>5722.2*1000000000</f>
        <v>5722200000000</v>
      </c>
      <c r="E58" s="2">
        <f>11662*1000000</f>
        <v>11662000000</v>
      </c>
      <c r="F58" s="2">
        <f t="shared" si="4"/>
        <v>490.67055393586008</v>
      </c>
      <c r="H58" s="2">
        <v>10000</v>
      </c>
      <c r="I58" s="2">
        <f t="shared" si="5"/>
        <v>20.380273321449792</v>
      </c>
      <c r="K58" s="2">
        <f>57473*1000000000</f>
        <v>57473000000000</v>
      </c>
      <c r="L58" s="2">
        <f t="shared" si="6"/>
        <v>4928.2284342308349</v>
      </c>
      <c r="N58" s="2">
        <v>10000</v>
      </c>
      <c r="O58" s="24">
        <f t="shared" si="7"/>
        <v>2.029126720373045</v>
      </c>
    </row>
    <row r="59" spans="1:15" ht="15.75" x14ac:dyDescent="0.25">
      <c r="A59" s="48">
        <v>15</v>
      </c>
      <c r="B59" s="51" t="s">
        <v>21</v>
      </c>
      <c r="C59" s="1">
        <v>2019</v>
      </c>
      <c r="D59" s="2">
        <f>85544*1000000</f>
        <v>85544000000</v>
      </c>
      <c r="E59" s="2">
        <v>33600000000</v>
      </c>
      <c r="F59" s="2">
        <f t="shared" ref="F59:F90" si="8">D59/E59</f>
        <v>2.545952380952381</v>
      </c>
      <c r="H59" s="2">
        <v>50</v>
      </c>
      <c r="I59" s="2">
        <f t="shared" ref="I59:I90" si="9">H59/F59</f>
        <v>19.639016178808568</v>
      </c>
      <c r="K59" s="2">
        <f>359441*1000000</f>
        <v>359441000000</v>
      </c>
      <c r="L59" s="2">
        <f t="shared" ref="L59:L90" si="10">K59/E59</f>
        <v>10.697648809523809</v>
      </c>
      <c r="N59" s="2">
        <v>50</v>
      </c>
      <c r="O59" s="24">
        <f t="shared" ref="O59:O90" si="11">N59/L59</f>
        <v>4.6739242323496768</v>
      </c>
    </row>
    <row r="60" spans="1:15" ht="15.75" x14ac:dyDescent="0.25">
      <c r="A60" s="49"/>
      <c r="B60" s="52"/>
      <c r="C60" s="1">
        <v>2020</v>
      </c>
      <c r="D60" s="2">
        <f>-41519*1000000</f>
        <v>-41519000000</v>
      </c>
      <c r="E60" s="2">
        <v>33600000000</v>
      </c>
      <c r="F60" s="2">
        <f t="shared" si="8"/>
        <v>-1.2356845238095238</v>
      </c>
      <c r="H60" s="2">
        <v>50</v>
      </c>
      <c r="I60" s="2">
        <f t="shared" si="9"/>
        <v>-40.463402297743201</v>
      </c>
      <c r="K60" s="2">
        <f>317896*1000000</f>
        <v>317896000000</v>
      </c>
      <c r="L60" s="2">
        <f t="shared" si="10"/>
        <v>9.4611904761904757</v>
      </c>
      <c r="N60" s="2">
        <v>50</v>
      </c>
      <c r="O60" s="24">
        <f t="shared" si="11"/>
        <v>5.284747212924982</v>
      </c>
    </row>
    <row r="61" spans="1:15" ht="15.75" x14ac:dyDescent="0.25">
      <c r="A61" s="49"/>
      <c r="B61" s="52"/>
      <c r="C61" s="1">
        <v>2021</v>
      </c>
      <c r="D61" s="2">
        <f>-43767*1000000</f>
        <v>-43767000000</v>
      </c>
      <c r="E61" s="2">
        <v>33600000000</v>
      </c>
      <c r="F61" s="2">
        <f t="shared" si="8"/>
        <v>-1.3025892857142858</v>
      </c>
      <c r="H61" s="2">
        <v>50</v>
      </c>
      <c r="I61" s="2">
        <f t="shared" si="9"/>
        <v>-38.385084652820616</v>
      </c>
      <c r="K61" s="2">
        <f>274358*1000000</f>
        <v>274358000000</v>
      </c>
      <c r="L61" s="2">
        <f t="shared" si="10"/>
        <v>8.1654166666666672</v>
      </c>
      <c r="N61" s="2">
        <v>50</v>
      </c>
      <c r="O61" s="24">
        <f t="shared" si="11"/>
        <v>6.1233862325866202</v>
      </c>
    </row>
    <row r="62" spans="1:15" ht="15.75" x14ac:dyDescent="0.25">
      <c r="A62" s="50"/>
      <c r="B62" s="53"/>
      <c r="C62" s="1">
        <v>2022</v>
      </c>
      <c r="D62" s="2">
        <v>-48105040530</v>
      </c>
      <c r="E62" s="2">
        <v>33600000000</v>
      </c>
      <c r="F62" s="2">
        <f t="shared" si="8"/>
        <v>-1.4316976348214285</v>
      </c>
      <c r="H62" s="2">
        <v>50</v>
      </c>
      <c r="I62" s="2">
        <f t="shared" si="9"/>
        <v>-34.923575190676594</v>
      </c>
      <c r="K62" s="2">
        <v>226359000000</v>
      </c>
      <c r="L62" s="2">
        <f t="shared" si="10"/>
        <v>6.7368750000000004</v>
      </c>
      <c r="N62" s="2">
        <v>50</v>
      </c>
      <c r="O62" s="24">
        <f t="shared" si="11"/>
        <v>7.4218387605529266</v>
      </c>
    </row>
    <row r="63" spans="1:15" ht="15.75" x14ac:dyDescent="0.25">
      <c r="A63" s="48">
        <v>16</v>
      </c>
      <c r="B63" s="51" t="s">
        <v>22</v>
      </c>
      <c r="C63" s="1">
        <v>2019</v>
      </c>
      <c r="D63" s="4">
        <v>4694444802</v>
      </c>
      <c r="E63" s="2">
        <v>500000000</v>
      </c>
      <c r="F63" s="2">
        <f t="shared" si="8"/>
        <v>9.3888896039999992</v>
      </c>
      <c r="H63" s="2">
        <v>153</v>
      </c>
      <c r="I63" s="2">
        <f t="shared" si="9"/>
        <v>16.295856746980665</v>
      </c>
      <c r="K63" s="2">
        <v>33568484722</v>
      </c>
      <c r="L63" s="2">
        <f t="shared" si="10"/>
        <v>67.136969444000002</v>
      </c>
      <c r="N63" s="2">
        <v>153</v>
      </c>
      <c r="O63" s="24">
        <f t="shared" si="11"/>
        <v>2.2789232410560278</v>
      </c>
    </row>
    <row r="64" spans="1:15" ht="15.75" x14ac:dyDescent="0.25">
      <c r="A64" s="49"/>
      <c r="B64" s="52"/>
      <c r="C64" s="1">
        <v>2020</v>
      </c>
      <c r="D64" s="4">
        <v>-1087117567</v>
      </c>
      <c r="E64" s="2">
        <v>833333000</v>
      </c>
      <c r="F64" s="2">
        <f t="shared" si="8"/>
        <v>-1.3045416022166409</v>
      </c>
      <c r="H64" s="2">
        <v>147</v>
      </c>
      <c r="I64" s="2">
        <f t="shared" si="9"/>
        <v>-112.68325958345956</v>
      </c>
      <c r="K64" s="2">
        <v>69133692905</v>
      </c>
      <c r="L64" s="2">
        <f t="shared" si="10"/>
        <v>82.960464670185871</v>
      </c>
      <c r="N64" s="2">
        <v>147</v>
      </c>
      <c r="O64" s="24">
        <f t="shared" si="11"/>
        <v>1.7719283586996168</v>
      </c>
    </row>
    <row r="65" spans="1:15" ht="15.75" x14ac:dyDescent="0.25">
      <c r="A65" s="49"/>
      <c r="B65" s="52"/>
      <c r="C65" s="1">
        <v>2021</v>
      </c>
      <c r="D65" s="4">
        <v>1599675921</v>
      </c>
      <c r="E65" s="2">
        <v>833333000</v>
      </c>
      <c r="F65" s="2">
        <f t="shared" si="8"/>
        <v>1.9196118730447491</v>
      </c>
      <c r="H65" s="2">
        <v>95</v>
      </c>
      <c r="I65" s="2">
        <f t="shared" si="9"/>
        <v>49.48917087563013</v>
      </c>
      <c r="K65" s="2">
        <v>70724745093</v>
      </c>
      <c r="L65" s="2">
        <f t="shared" si="10"/>
        <v>84.869728059491223</v>
      </c>
      <c r="N65" s="2">
        <v>95</v>
      </c>
      <c r="O65" s="24">
        <f t="shared" si="11"/>
        <v>1.119362606339539</v>
      </c>
    </row>
    <row r="66" spans="1:15" ht="15.75" x14ac:dyDescent="0.25">
      <c r="A66" s="50"/>
      <c r="B66" s="53"/>
      <c r="C66" s="1">
        <v>2022</v>
      </c>
      <c r="D66" s="4">
        <v>2035931112</v>
      </c>
      <c r="E66" s="2">
        <v>833333000</v>
      </c>
      <c r="F66" s="2">
        <f t="shared" si="8"/>
        <v>2.4431183116473245</v>
      </c>
      <c r="H66" s="2">
        <v>59</v>
      </c>
      <c r="I66" s="2">
        <f t="shared" si="9"/>
        <v>24.149464935334219</v>
      </c>
      <c r="K66" s="2">
        <v>72756417261</v>
      </c>
      <c r="L66" s="2">
        <f t="shared" si="10"/>
        <v>87.307735636294254</v>
      </c>
      <c r="N66" s="2">
        <v>59</v>
      </c>
      <c r="O66" s="24">
        <f t="shared" si="11"/>
        <v>0.67577058974226112</v>
      </c>
    </row>
    <row r="67" spans="1:15" ht="15.75" x14ac:dyDescent="0.25">
      <c r="A67" s="48">
        <v>17</v>
      </c>
      <c r="B67" s="51" t="s">
        <v>23</v>
      </c>
      <c r="C67" s="1">
        <v>2019</v>
      </c>
      <c r="D67" s="2">
        <f>5902.7*1000000000</f>
        <v>5902700000000</v>
      </c>
      <c r="E67" s="2">
        <v>8780400000</v>
      </c>
      <c r="F67" s="2">
        <f t="shared" si="8"/>
        <v>672.25866703111478</v>
      </c>
      <c r="H67" s="2">
        <v>6225</v>
      </c>
      <c r="I67" s="2">
        <f t="shared" si="9"/>
        <v>9.2598285530350513</v>
      </c>
      <c r="K67" s="2">
        <f>54202.5*1000000000</f>
        <v>54202500000000</v>
      </c>
      <c r="L67" s="2">
        <f t="shared" si="10"/>
        <v>6173.1242312423128</v>
      </c>
      <c r="N67" s="2">
        <v>6225</v>
      </c>
      <c r="O67" s="24">
        <f t="shared" si="11"/>
        <v>1.0084034869240348</v>
      </c>
    </row>
    <row r="68" spans="1:15" ht="15.75" x14ac:dyDescent="0.25">
      <c r="A68" s="49"/>
      <c r="B68" s="52"/>
      <c r="C68" s="1">
        <v>2020</v>
      </c>
      <c r="D68" s="2">
        <f>8752.1*1000000000</f>
        <v>8752100000000</v>
      </c>
      <c r="E68" s="2">
        <v>8780400000</v>
      </c>
      <c r="F68" s="2">
        <f t="shared" si="8"/>
        <v>996.77691221356656</v>
      </c>
      <c r="H68" s="2">
        <v>6850</v>
      </c>
      <c r="I68" s="2">
        <f t="shared" si="9"/>
        <v>6.8721495412529565</v>
      </c>
      <c r="K68" s="2">
        <f>79654*1000000000</f>
        <v>79654000000000</v>
      </c>
      <c r="L68" s="2">
        <f t="shared" si="10"/>
        <v>9071.79627351829</v>
      </c>
      <c r="N68" s="2">
        <v>6850</v>
      </c>
      <c r="O68" s="24">
        <f t="shared" si="11"/>
        <v>0.75508750345243181</v>
      </c>
    </row>
    <row r="69" spans="1:15" ht="15.75" x14ac:dyDescent="0.25">
      <c r="A69" s="49"/>
      <c r="B69" s="52"/>
      <c r="C69" s="1">
        <v>2021</v>
      </c>
      <c r="D69" s="2">
        <f>11229.7*1000000000</f>
        <v>11229700000000</v>
      </c>
      <c r="E69" s="2">
        <v>8780400000</v>
      </c>
      <c r="F69" s="2">
        <f t="shared" si="8"/>
        <v>1278.9508450640062</v>
      </c>
      <c r="H69" s="2">
        <v>6325</v>
      </c>
      <c r="I69" s="2">
        <f t="shared" si="9"/>
        <v>4.9454598074748208</v>
      </c>
      <c r="K69" s="2">
        <f>86986.5*1000000000</f>
        <v>86986500000000</v>
      </c>
      <c r="L69" s="2">
        <f t="shared" si="10"/>
        <v>9906.8949022823563</v>
      </c>
      <c r="N69" s="2">
        <v>6325</v>
      </c>
      <c r="O69" s="24">
        <f t="shared" si="11"/>
        <v>0.63844424134779532</v>
      </c>
    </row>
    <row r="70" spans="1:15" ht="15.75" x14ac:dyDescent="0.25">
      <c r="A70" s="50"/>
      <c r="B70" s="53"/>
      <c r="C70" s="1">
        <v>2022</v>
      </c>
      <c r="D70" s="2">
        <f>9192.9*1000000000</f>
        <v>9192900000000</v>
      </c>
      <c r="E70" s="2">
        <v>8780400000</v>
      </c>
      <c r="F70" s="2">
        <f t="shared" si="8"/>
        <v>1046.9796364630313</v>
      </c>
      <c r="H70" s="2">
        <v>6725</v>
      </c>
      <c r="I70" s="2">
        <f t="shared" si="9"/>
        <v>6.4232385863002968</v>
      </c>
      <c r="K70" s="2">
        <f>93623*1000000000</f>
        <v>93623000000000</v>
      </c>
      <c r="L70" s="2">
        <f t="shared" si="10"/>
        <v>10662.726071705161</v>
      </c>
      <c r="N70" s="2">
        <v>6725</v>
      </c>
      <c r="O70" s="24">
        <f t="shared" si="11"/>
        <v>0.63070175063819789</v>
      </c>
    </row>
    <row r="71" spans="1:15" ht="15.75" x14ac:dyDescent="0.25">
      <c r="A71" s="48">
        <v>18</v>
      </c>
      <c r="B71" s="51" t="s">
        <v>24</v>
      </c>
      <c r="C71" s="1">
        <v>2019</v>
      </c>
      <c r="D71" s="2">
        <v>98047666143</v>
      </c>
      <c r="E71" s="2">
        <f>1500000*1000</f>
        <v>1500000000</v>
      </c>
      <c r="F71" s="2">
        <f t="shared" si="8"/>
        <v>65.365110762</v>
      </c>
      <c r="H71" s="2">
        <v>940</v>
      </c>
      <c r="I71" s="2">
        <f t="shared" si="9"/>
        <v>14.38076045526215</v>
      </c>
      <c r="K71" s="2">
        <v>435693976887</v>
      </c>
      <c r="L71" s="2">
        <f t="shared" si="10"/>
        <v>290.46265125799999</v>
      </c>
      <c r="N71" s="2">
        <v>940</v>
      </c>
      <c r="O71" s="24">
        <f t="shared" si="11"/>
        <v>3.2362164151874251</v>
      </c>
    </row>
    <row r="72" spans="1:15" ht="15.75" x14ac:dyDescent="0.25">
      <c r="A72" s="49"/>
      <c r="B72" s="52"/>
      <c r="C72" s="1">
        <v>2020</v>
      </c>
      <c r="D72" s="2">
        <v>121000016429</v>
      </c>
      <c r="E72" s="2">
        <f>1500000*1000</f>
        <v>1500000000</v>
      </c>
      <c r="F72" s="2">
        <f t="shared" si="8"/>
        <v>80.666677619333328</v>
      </c>
      <c r="H72" s="2">
        <v>1355</v>
      </c>
      <c r="I72" s="2">
        <f t="shared" si="9"/>
        <v>16.797518380442732</v>
      </c>
      <c r="K72" s="2">
        <v>440900964118</v>
      </c>
      <c r="L72" s="2">
        <f t="shared" si="10"/>
        <v>293.93397607866666</v>
      </c>
      <c r="N72" s="2">
        <v>1355</v>
      </c>
      <c r="O72" s="24">
        <f t="shared" si="11"/>
        <v>4.609878783245378</v>
      </c>
    </row>
    <row r="73" spans="1:15" ht="15.75" x14ac:dyDescent="0.25">
      <c r="A73" s="49"/>
      <c r="B73" s="52"/>
      <c r="C73" s="1">
        <v>2021</v>
      </c>
      <c r="D73" s="2">
        <v>144700268968</v>
      </c>
      <c r="E73" s="2">
        <f>1500000*1000</f>
        <v>1500000000</v>
      </c>
      <c r="F73" s="2">
        <f t="shared" si="8"/>
        <v>96.466845978666669</v>
      </c>
      <c r="H73" s="2">
        <v>1185</v>
      </c>
      <c r="I73" s="2">
        <f t="shared" si="9"/>
        <v>12.284013102927185</v>
      </c>
      <c r="K73" s="2">
        <v>585825528987</v>
      </c>
      <c r="L73" s="2">
        <f t="shared" si="10"/>
        <v>390.55035265800001</v>
      </c>
      <c r="N73" s="2">
        <v>1185</v>
      </c>
      <c r="O73" s="24">
        <f t="shared" si="11"/>
        <v>3.0341798232549273</v>
      </c>
    </row>
    <row r="74" spans="1:15" ht="15.75" x14ac:dyDescent="0.25">
      <c r="A74" s="50"/>
      <c r="B74" s="53"/>
      <c r="C74" s="1">
        <v>2022</v>
      </c>
      <c r="D74" s="2">
        <v>117370750383</v>
      </c>
      <c r="E74" s="2">
        <f>1500000*1000</f>
        <v>1500000000</v>
      </c>
      <c r="F74" s="2">
        <f t="shared" si="8"/>
        <v>78.247166922000005</v>
      </c>
      <c r="H74" s="2">
        <v>1430</v>
      </c>
      <c r="I74" s="2">
        <f t="shared" si="9"/>
        <v>18.275422053625057</v>
      </c>
      <c r="K74" s="2">
        <v>703505819337</v>
      </c>
      <c r="L74" s="2">
        <f t="shared" si="10"/>
        <v>469.00387955799999</v>
      </c>
      <c r="N74" s="2">
        <v>1430</v>
      </c>
      <c r="O74" s="24">
        <f t="shared" si="11"/>
        <v>3.0490152903376084</v>
      </c>
    </row>
    <row r="75" spans="1:15" ht="15.75" x14ac:dyDescent="0.25">
      <c r="A75" s="48">
        <v>19</v>
      </c>
      <c r="B75" s="51" t="s">
        <v>25</v>
      </c>
      <c r="C75" s="1">
        <v>2019</v>
      </c>
      <c r="D75" s="2">
        <f>515603*1000000</f>
        <v>515603000000</v>
      </c>
      <c r="E75" s="2">
        <v>1428571500</v>
      </c>
      <c r="F75" s="2">
        <f t="shared" si="8"/>
        <v>360.92208195389588</v>
      </c>
      <c r="H75" s="2">
        <v>3430</v>
      </c>
      <c r="I75" s="2">
        <f t="shared" si="9"/>
        <v>9.5034362581288327</v>
      </c>
      <c r="K75" s="2">
        <f>2702862*1000000</f>
        <v>2702862000000</v>
      </c>
      <c r="L75" s="2">
        <f t="shared" si="10"/>
        <v>1892.0033053998347</v>
      </c>
      <c r="N75" s="2">
        <v>3430</v>
      </c>
      <c r="O75" s="24">
        <f t="shared" si="11"/>
        <v>1.8128932387225096</v>
      </c>
    </row>
    <row r="76" spans="1:15" ht="15.75" x14ac:dyDescent="0.25">
      <c r="A76" s="49"/>
      <c r="B76" s="52"/>
      <c r="C76" s="1">
        <v>2020</v>
      </c>
      <c r="D76" s="2">
        <f>113697*1000000</f>
        <v>113697000000</v>
      </c>
      <c r="E76" s="2">
        <v>1428571500</v>
      </c>
      <c r="F76" s="2">
        <f t="shared" si="8"/>
        <v>79.5878960206052</v>
      </c>
      <c r="H76" s="2">
        <v>2720</v>
      </c>
      <c r="I76" s="2">
        <f t="shared" si="9"/>
        <v>34.176051083142035</v>
      </c>
      <c r="K76" s="2">
        <f>2614062*1000000</f>
        <v>2614062000000</v>
      </c>
      <c r="L76" s="2">
        <f t="shared" si="10"/>
        <v>1829.8433085078345</v>
      </c>
      <c r="N76" s="2">
        <v>2720</v>
      </c>
      <c r="O76" s="24">
        <f t="shared" si="11"/>
        <v>1.4864660746378624</v>
      </c>
    </row>
    <row r="77" spans="1:15" ht="15.75" x14ac:dyDescent="0.25">
      <c r="A77" s="49"/>
      <c r="B77" s="52"/>
      <c r="C77" s="1">
        <v>2021</v>
      </c>
      <c r="D77" s="2">
        <f>100650*1000000</f>
        <v>100650000000</v>
      </c>
      <c r="E77" s="2">
        <v>1428571500</v>
      </c>
      <c r="F77" s="2">
        <f t="shared" si="8"/>
        <v>70.454996477250177</v>
      </c>
      <c r="H77" s="2">
        <v>2030</v>
      </c>
      <c r="I77" s="2">
        <f t="shared" si="9"/>
        <v>28.812718777943367</v>
      </c>
      <c r="K77" s="2">
        <f>2688443*1000000</f>
        <v>2688443000000</v>
      </c>
      <c r="L77" s="2">
        <f t="shared" si="10"/>
        <v>1881.9100059044997</v>
      </c>
      <c r="N77" s="2">
        <v>2030</v>
      </c>
      <c r="O77" s="24">
        <f t="shared" si="11"/>
        <v>1.0786913261690874</v>
      </c>
    </row>
    <row r="78" spans="1:15" ht="15.75" x14ac:dyDescent="0.25">
      <c r="A78" s="50"/>
      <c r="B78" s="53"/>
      <c r="C78" s="1">
        <v>2022</v>
      </c>
      <c r="D78" s="2">
        <f>-950289*1000000</f>
        <v>-950289000000</v>
      </c>
      <c r="E78" s="2">
        <v>1428571500</v>
      </c>
      <c r="F78" s="2">
        <f t="shared" si="8"/>
        <v>-665.20226673988668</v>
      </c>
      <c r="H78" s="2">
        <v>1535</v>
      </c>
      <c r="I78" s="2">
        <f t="shared" si="9"/>
        <v>-2.3075688053844674</v>
      </c>
      <c r="K78" s="2">
        <f>1533820*1000000</f>
        <v>1533820000000</v>
      </c>
      <c r="L78" s="2">
        <f t="shared" si="10"/>
        <v>1073.6739463163026</v>
      </c>
      <c r="N78" s="2">
        <v>1535</v>
      </c>
      <c r="O78" s="24">
        <f t="shared" si="11"/>
        <v>1.4296705301143551</v>
      </c>
    </row>
    <row r="79" spans="1:15" ht="15.75" x14ac:dyDescent="0.25">
      <c r="A79" s="48">
        <v>20</v>
      </c>
      <c r="B79" s="51" t="s">
        <v>26</v>
      </c>
      <c r="C79" s="1">
        <v>2019</v>
      </c>
      <c r="D79" s="2">
        <f>1206059000000</f>
        <v>1206059000000</v>
      </c>
      <c r="E79" s="2">
        <v>2107000000</v>
      </c>
      <c r="F79" s="2">
        <f t="shared" si="8"/>
        <v>572.40579022306599</v>
      </c>
      <c r="H79" s="2">
        <v>9550</v>
      </c>
      <c r="I79" s="2">
        <f t="shared" si="9"/>
        <v>16.683968197244081</v>
      </c>
      <c r="K79" s="2">
        <f>1146007*1000000</f>
        <v>1146007000000</v>
      </c>
      <c r="L79" s="2">
        <f t="shared" si="10"/>
        <v>543.90460370194592</v>
      </c>
      <c r="N79" s="2">
        <v>9550</v>
      </c>
      <c r="O79" s="24">
        <f t="shared" si="11"/>
        <v>17.558226084133867</v>
      </c>
    </row>
    <row r="80" spans="1:15" ht="15.75" x14ac:dyDescent="0.25">
      <c r="A80" s="49"/>
      <c r="B80" s="52"/>
      <c r="C80" s="1">
        <v>2020</v>
      </c>
      <c r="D80" s="2">
        <f>285617*1000000</f>
        <v>285617000000</v>
      </c>
      <c r="E80" s="2">
        <v>2107000000</v>
      </c>
      <c r="F80" s="2">
        <f t="shared" si="8"/>
        <v>135.55624110109159</v>
      </c>
      <c r="H80" s="2">
        <v>9700</v>
      </c>
      <c r="I80" s="2">
        <f t="shared" si="9"/>
        <v>71.557015163663237</v>
      </c>
      <c r="K80" s="2">
        <f>1433406*1000000</f>
        <v>1433406000000</v>
      </c>
      <c r="L80" s="2">
        <f t="shared" si="10"/>
        <v>680.30659705742767</v>
      </c>
      <c r="N80" s="2">
        <v>9700</v>
      </c>
      <c r="O80" s="24">
        <f t="shared" si="11"/>
        <v>14.258277138507861</v>
      </c>
    </row>
    <row r="81" spans="1:15" ht="15.75" x14ac:dyDescent="0.25">
      <c r="A81" s="49"/>
      <c r="B81" s="52"/>
      <c r="C81" s="1">
        <v>2021</v>
      </c>
      <c r="D81" s="2">
        <f>665850*1000000</f>
        <v>665850000000</v>
      </c>
      <c r="E81" s="2">
        <v>2107000000</v>
      </c>
      <c r="F81" s="2">
        <f t="shared" si="8"/>
        <v>316.01803512102515</v>
      </c>
      <c r="H81" s="2">
        <v>7800</v>
      </c>
      <c r="I81" s="2">
        <f t="shared" si="9"/>
        <v>24.682135616129759</v>
      </c>
      <c r="K81" s="2">
        <f>1099157*1000000</f>
        <v>1099157000000</v>
      </c>
      <c r="L81" s="2">
        <f t="shared" si="10"/>
        <v>521.66919791172279</v>
      </c>
      <c r="N81" s="2">
        <v>7800</v>
      </c>
      <c r="O81" s="24">
        <f t="shared" si="11"/>
        <v>14.952004126798993</v>
      </c>
    </row>
    <row r="82" spans="1:15" ht="15.75" x14ac:dyDescent="0.25">
      <c r="A82" s="50"/>
      <c r="B82" s="53"/>
      <c r="C82" s="1">
        <v>2022</v>
      </c>
      <c r="D82" s="2">
        <f>924906*1000000</f>
        <v>924906000000</v>
      </c>
      <c r="E82" s="2">
        <v>2107000000</v>
      </c>
      <c r="F82" s="2">
        <f t="shared" si="8"/>
        <v>438.96820123398197</v>
      </c>
      <c r="H82" s="2">
        <v>8950</v>
      </c>
      <c r="I82" s="2">
        <f t="shared" si="9"/>
        <v>20.388720583497133</v>
      </c>
      <c r="K82" s="2">
        <f>1073275*1000000</f>
        <v>1073275000000</v>
      </c>
      <c r="L82" s="2">
        <f t="shared" si="10"/>
        <v>509.38538205980069</v>
      </c>
      <c r="N82" s="2">
        <v>8950</v>
      </c>
      <c r="O82" s="24">
        <f t="shared" si="11"/>
        <v>17.570194032284363</v>
      </c>
    </row>
    <row r="83" spans="1:15" ht="15.75" x14ac:dyDescent="0.25">
      <c r="A83" s="48">
        <v>21</v>
      </c>
      <c r="B83" s="51" t="s">
        <v>27</v>
      </c>
      <c r="C83" s="1">
        <v>2019</v>
      </c>
      <c r="D83" s="2">
        <f>2051404*1000000</f>
        <v>2051404000000</v>
      </c>
      <c r="E83" s="2">
        <v>22358699725</v>
      </c>
      <c r="F83" s="2">
        <f t="shared" si="8"/>
        <v>91.749700350698731</v>
      </c>
      <c r="H83" s="2">
        <v>1950</v>
      </c>
      <c r="I83" s="2">
        <f t="shared" si="9"/>
        <v>21.25347540696518</v>
      </c>
      <c r="K83" s="2">
        <f>9911940*1000000</f>
        <v>9911940000000</v>
      </c>
      <c r="L83" s="2">
        <f t="shared" si="10"/>
        <v>443.31468832765495</v>
      </c>
      <c r="N83" s="2">
        <v>1950</v>
      </c>
      <c r="O83" s="24">
        <f t="shared" si="11"/>
        <v>4.3986812333155774</v>
      </c>
    </row>
    <row r="84" spans="1:15" ht="15.75" x14ac:dyDescent="0.25">
      <c r="A84" s="49"/>
      <c r="B84" s="52"/>
      <c r="C84" s="1">
        <v>2020</v>
      </c>
      <c r="D84" s="2">
        <f>2098169*1000000</f>
        <v>2098169000000</v>
      </c>
      <c r="E84" s="2">
        <v>22358699725</v>
      </c>
      <c r="F84" s="2">
        <f t="shared" si="8"/>
        <v>93.841279940531066</v>
      </c>
      <c r="H84" s="2">
        <v>2710</v>
      </c>
      <c r="I84" s="2">
        <f t="shared" si="9"/>
        <v>28.878548989499894</v>
      </c>
      <c r="K84" s="2">
        <f>11271468*1000000</f>
        <v>11271468000000</v>
      </c>
      <c r="L84" s="2">
        <f t="shared" si="10"/>
        <v>504.12001317755522</v>
      </c>
      <c r="N84" s="2">
        <v>2710</v>
      </c>
      <c r="O84" s="24">
        <f t="shared" si="11"/>
        <v>5.3757040568939196</v>
      </c>
    </row>
    <row r="85" spans="1:15" ht="15.75" x14ac:dyDescent="0.25">
      <c r="A85" s="49"/>
      <c r="B85" s="52"/>
      <c r="C85" s="1">
        <v>2021</v>
      </c>
      <c r="D85" s="2">
        <f>1211053*1000000</f>
        <v>1211053000000</v>
      </c>
      <c r="E85" s="2">
        <v>22358699725</v>
      </c>
      <c r="F85" s="2">
        <f t="shared" si="8"/>
        <v>54.164732962797551</v>
      </c>
      <c r="H85" s="2">
        <v>2040</v>
      </c>
      <c r="I85" s="2">
        <f t="shared" si="9"/>
        <v>37.662882994385875</v>
      </c>
      <c r="K85" s="2">
        <f>11360031*1000000</f>
        <v>11360031000000</v>
      </c>
      <c r="L85" s="2">
        <f t="shared" si="10"/>
        <v>508.08102169277646</v>
      </c>
      <c r="N85" s="2">
        <v>2040</v>
      </c>
      <c r="O85" s="24">
        <f t="shared" si="11"/>
        <v>4.0151076558681922</v>
      </c>
    </row>
    <row r="86" spans="1:15" ht="15.75" x14ac:dyDescent="0.25">
      <c r="A86" s="50"/>
      <c r="B86" s="53"/>
      <c r="C86" s="1">
        <v>2022</v>
      </c>
      <c r="D86" s="2">
        <f>1970065*1000000</f>
        <v>1970065000000</v>
      </c>
      <c r="E86" s="2">
        <v>22358699725</v>
      </c>
      <c r="F86" s="2">
        <f t="shared" si="8"/>
        <v>88.111787547162479</v>
      </c>
      <c r="H86" s="2">
        <v>2500</v>
      </c>
      <c r="I86" s="2">
        <f t="shared" si="9"/>
        <v>28.373048256022006</v>
      </c>
      <c r="K86" s="2">
        <f>12834694*1000000</f>
        <v>12834694000000</v>
      </c>
      <c r="L86" s="2">
        <f t="shared" si="10"/>
        <v>574.03579626095632</v>
      </c>
      <c r="N86" s="2">
        <v>2500</v>
      </c>
      <c r="O86" s="24">
        <f t="shared" si="11"/>
        <v>4.3551290987147802</v>
      </c>
    </row>
    <row r="87" spans="1:15" ht="15.75" x14ac:dyDescent="0.25">
      <c r="A87" s="48">
        <v>22</v>
      </c>
      <c r="B87" s="51" t="s">
        <v>28</v>
      </c>
      <c r="C87" s="1">
        <v>2019</v>
      </c>
      <c r="D87" s="2">
        <v>2570452159</v>
      </c>
      <c r="E87" s="2">
        <v>807400000</v>
      </c>
      <c r="F87" s="2">
        <f t="shared" si="8"/>
        <v>3.18361674386921</v>
      </c>
      <c r="H87" s="2">
        <v>109</v>
      </c>
      <c r="I87" s="2">
        <f t="shared" si="9"/>
        <v>34.237789523473481</v>
      </c>
      <c r="K87" s="2">
        <v>5845133777</v>
      </c>
      <c r="L87" s="2">
        <f t="shared" si="10"/>
        <v>7.2394522875897946</v>
      </c>
      <c r="N87" s="2">
        <v>109</v>
      </c>
      <c r="O87" s="24">
        <f t="shared" si="11"/>
        <v>15.056387647840827</v>
      </c>
    </row>
    <row r="88" spans="1:15" ht="15.75" x14ac:dyDescent="0.25">
      <c r="A88" s="49"/>
      <c r="B88" s="52"/>
      <c r="C88" s="1">
        <v>2020</v>
      </c>
      <c r="D88" s="2">
        <v>1049938752</v>
      </c>
      <c r="E88" s="2">
        <v>807400000</v>
      </c>
      <c r="F88" s="2">
        <f t="shared" si="8"/>
        <v>1.3003947882090661</v>
      </c>
      <c r="H88" s="2">
        <v>386</v>
      </c>
      <c r="I88" s="2">
        <f t="shared" si="9"/>
        <v>296.83293373669096</v>
      </c>
      <c r="K88" s="2">
        <v>58549166336</v>
      </c>
      <c r="L88" s="2">
        <f t="shared" si="10"/>
        <v>72.51568780777805</v>
      </c>
      <c r="N88" s="2">
        <v>386</v>
      </c>
      <c r="O88" s="24">
        <f t="shared" si="11"/>
        <v>5.3229861243706988</v>
      </c>
    </row>
    <row r="89" spans="1:15" ht="15.75" x14ac:dyDescent="0.25">
      <c r="A89" s="49"/>
      <c r="B89" s="52"/>
      <c r="C89" s="1">
        <v>2021</v>
      </c>
      <c r="D89" s="2">
        <v>532665673</v>
      </c>
      <c r="E89" s="2">
        <v>807400000</v>
      </c>
      <c r="F89" s="2">
        <f t="shared" si="8"/>
        <v>0.65972959251919738</v>
      </c>
      <c r="H89" s="2">
        <v>224</v>
      </c>
      <c r="I89" s="2">
        <f t="shared" si="9"/>
        <v>339.53304890364132</v>
      </c>
      <c r="K89" s="2">
        <v>21840987653</v>
      </c>
      <c r="L89" s="2">
        <f t="shared" si="10"/>
        <v>27.051012698786227</v>
      </c>
      <c r="N89" s="2">
        <v>224</v>
      </c>
      <c r="O89" s="24">
        <f t="shared" si="11"/>
        <v>8.2806511717045925</v>
      </c>
    </row>
    <row r="90" spans="1:15" ht="15.75" x14ac:dyDescent="0.25">
      <c r="A90" s="50"/>
      <c r="B90" s="53"/>
      <c r="C90" s="1">
        <v>2022</v>
      </c>
      <c r="D90" s="2">
        <v>1032151378</v>
      </c>
      <c r="E90" s="2">
        <v>807400000</v>
      </c>
      <c r="F90" s="2">
        <f t="shared" si="8"/>
        <v>1.2783643522417636</v>
      </c>
      <c r="H90" s="2">
        <v>101</v>
      </c>
      <c r="I90" s="2">
        <f t="shared" si="9"/>
        <v>79.007209347542044</v>
      </c>
      <c r="K90" s="2">
        <v>24558389638</v>
      </c>
      <c r="L90" s="2">
        <f t="shared" si="10"/>
        <v>30.416633190487985</v>
      </c>
      <c r="N90" s="2">
        <v>101</v>
      </c>
      <c r="O90" s="24">
        <f t="shared" si="11"/>
        <v>3.3205515997603947</v>
      </c>
    </row>
    <row r="91" spans="1:15" ht="15.75" x14ac:dyDescent="0.25">
      <c r="A91" s="48">
        <v>23</v>
      </c>
      <c r="B91" s="51" t="s">
        <v>29</v>
      </c>
      <c r="C91" s="1">
        <v>2019</v>
      </c>
      <c r="D91" s="2">
        <v>-1236402757</v>
      </c>
      <c r="E91" s="2">
        <v>410000000</v>
      </c>
      <c r="F91" s="2">
        <f t="shared" ref="F91:F122" si="12">D91/E91</f>
        <v>-3.0156164804878047</v>
      </c>
      <c r="H91" s="2">
        <v>110</v>
      </c>
      <c r="I91" s="2">
        <f t="shared" ref="I91:I122" si="13">H91/F91</f>
        <v>-36.476786989241567</v>
      </c>
      <c r="K91" s="2">
        <v>39964400000</v>
      </c>
      <c r="L91" s="2">
        <f t="shared" ref="L91:L122" si="14">K91/E91</f>
        <v>97.47414634146341</v>
      </c>
      <c r="N91" s="2">
        <v>110</v>
      </c>
      <c r="O91" s="24">
        <f t="shared" ref="O91:O92" si="15">N91/L91</f>
        <v>1.1285043688883107</v>
      </c>
    </row>
    <row r="92" spans="1:15" ht="15.75" x14ac:dyDescent="0.25">
      <c r="A92" s="49"/>
      <c r="B92" s="52"/>
      <c r="C92" s="1">
        <v>2020</v>
      </c>
      <c r="D92" s="2">
        <f>244178*1000</f>
        <v>244178000</v>
      </c>
      <c r="E92" s="2">
        <v>410000000</v>
      </c>
      <c r="F92" s="2">
        <f t="shared" si="12"/>
        <v>0.59555609756097561</v>
      </c>
      <c r="H92" s="2">
        <v>115</v>
      </c>
      <c r="I92" s="2">
        <f t="shared" si="13"/>
        <v>193.09683919108193</v>
      </c>
      <c r="K92" s="2">
        <f>39964889*1000</f>
        <v>39964889000</v>
      </c>
      <c r="L92" s="2">
        <f t="shared" si="14"/>
        <v>97.475339024390237</v>
      </c>
      <c r="N92" s="2">
        <v>115</v>
      </c>
      <c r="O92" s="24">
        <f t="shared" si="15"/>
        <v>1.1797855862930084</v>
      </c>
    </row>
    <row r="93" spans="1:15" ht="15.75" x14ac:dyDescent="0.25">
      <c r="A93" s="49"/>
      <c r="B93" s="52"/>
      <c r="C93" s="1">
        <v>2021</v>
      </c>
      <c r="D93" s="2">
        <f>1680076*1000</f>
        <v>1680076000</v>
      </c>
      <c r="E93" s="2">
        <v>410000000</v>
      </c>
      <c r="F93" s="2">
        <f t="shared" si="12"/>
        <v>4.0977463414634148</v>
      </c>
      <c r="H93" s="2">
        <v>1725</v>
      </c>
      <c r="I93" s="2">
        <f t="shared" si="13"/>
        <v>420.96309928836553</v>
      </c>
      <c r="K93" s="2">
        <f>474221651*1000</f>
        <v>474221651000</v>
      </c>
      <c r="L93" s="2">
        <f t="shared" si="14"/>
        <v>1156.6381731707318</v>
      </c>
      <c r="N93" s="2">
        <v>1725</v>
      </c>
      <c r="O93" s="24">
        <f t="shared" ref="O93:O126" si="16">N93/L93</f>
        <v>1.4913912060080108</v>
      </c>
    </row>
    <row r="94" spans="1:15" ht="15.75" x14ac:dyDescent="0.25">
      <c r="A94" s="50"/>
      <c r="B94" s="53"/>
      <c r="C94" s="1">
        <v>2022</v>
      </c>
      <c r="D94" s="2">
        <f>288311135*1000</f>
        <v>288311135000</v>
      </c>
      <c r="E94" s="2">
        <v>13530000000</v>
      </c>
      <c r="F94" s="2">
        <f t="shared" si="12"/>
        <v>21.309026977087953</v>
      </c>
      <c r="H94" s="2">
        <v>950</v>
      </c>
      <c r="I94" s="2">
        <f t="shared" si="13"/>
        <v>44.582045018830094</v>
      </c>
      <c r="K94" s="2">
        <f>7378214603*1000</f>
        <v>7378214603000</v>
      </c>
      <c r="L94" s="2">
        <f t="shared" si="14"/>
        <v>545.32258706577977</v>
      </c>
      <c r="N94" s="2">
        <v>950</v>
      </c>
      <c r="O94" s="24">
        <f t="shared" si="16"/>
        <v>1.7420881190923527</v>
      </c>
    </row>
    <row r="95" spans="1:15" ht="15.75" x14ac:dyDescent="0.25">
      <c r="A95" s="48">
        <v>24</v>
      </c>
      <c r="B95" s="51" t="s">
        <v>30</v>
      </c>
      <c r="C95" s="1">
        <v>2019</v>
      </c>
      <c r="D95" s="2">
        <f>-103*1000000000</f>
        <v>-103000000000</v>
      </c>
      <c r="E95" s="2">
        <v>1166666700</v>
      </c>
      <c r="F95" s="2">
        <f t="shared" si="12"/>
        <v>-88.285711763265383</v>
      </c>
      <c r="H95" s="2">
        <v>1100</v>
      </c>
      <c r="I95" s="2">
        <f t="shared" si="13"/>
        <v>-12.459547281553398</v>
      </c>
      <c r="K95" s="2">
        <f>84.2*1000000000</f>
        <v>84200000000</v>
      </c>
      <c r="L95" s="2">
        <f t="shared" si="14"/>
        <v>72.171426509387814</v>
      </c>
      <c r="N95" s="2">
        <v>1100</v>
      </c>
      <c r="O95" s="24">
        <f t="shared" si="16"/>
        <v>15.241488954869359</v>
      </c>
    </row>
    <row r="96" spans="1:15" ht="15.75" x14ac:dyDescent="0.25">
      <c r="A96" s="49"/>
      <c r="B96" s="52"/>
      <c r="C96" s="1">
        <v>2020</v>
      </c>
      <c r="D96" s="2">
        <f>15.9*1000000000</f>
        <v>15900000000</v>
      </c>
      <c r="E96" s="2">
        <v>1166666700</v>
      </c>
      <c r="F96" s="2">
        <f t="shared" si="12"/>
        <v>13.628571039183685</v>
      </c>
      <c r="H96" s="2">
        <v>555</v>
      </c>
      <c r="I96" s="2">
        <f t="shared" si="13"/>
        <v>40.723271603773583</v>
      </c>
      <c r="K96" s="2">
        <f>63.7*1000000000</f>
        <v>63700000000</v>
      </c>
      <c r="L96" s="2">
        <f t="shared" si="14"/>
        <v>54.599998440000043</v>
      </c>
      <c r="N96" s="2">
        <v>555</v>
      </c>
      <c r="O96" s="24">
        <f t="shared" si="16"/>
        <v>10.164835455259027</v>
      </c>
    </row>
    <row r="97" spans="1:15" ht="15.75" x14ac:dyDescent="0.25">
      <c r="A97" s="49"/>
      <c r="B97" s="52"/>
      <c r="C97" s="1">
        <v>2021</v>
      </c>
      <c r="D97" s="2">
        <v>2543475734</v>
      </c>
      <c r="E97" s="2">
        <v>1166666700</v>
      </c>
      <c r="F97" s="2">
        <f t="shared" si="12"/>
        <v>2.1801219954250857</v>
      </c>
      <c r="H97" s="2">
        <v>282</v>
      </c>
      <c r="I97" s="2">
        <f t="shared" si="13"/>
        <v>129.35055955206531</v>
      </c>
      <c r="K97" s="2">
        <v>65022002998</v>
      </c>
      <c r="L97" s="2">
        <f t="shared" si="14"/>
        <v>55.733143834481602</v>
      </c>
      <c r="N97" s="2">
        <v>282</v>
      </c>
      <c r="O97" s="24">
        <f t="shared" si="16"/>
        <v>5.0598258163489618</v>
      </c>
    </row>
    <row r="98" spans="1:15" ht="15.75" x14ac:dyDescent="0.25">
      <c r="A98" s="50"/>
      <c r="B98" s="53"/>
      <c r="C98" s="1">
        <v>2022</v>
      </c>
      <c r="D98" s="2">
        <v>3726879993</v>
      </c>
      <c r="E98" s="2">
        <v>1166666700</v>
      </c>
      <c r="F98" s="2">
        <f t="shared" si="12"/>
        <v>3.1944684741580436</v>
      </c>
      <c r="H98" s="2">
        <v>87</v>
      </c>
      <c r="I98" s="2">
        <f t="shared" si="13"/>
        <v>27.234577740802507</v>
      </c>
      <c r="K98" s="2">
        <v>65219514824</v>
      </c>
      <c r="L98" s="2">
        <f t="shared" si="14"/>
        <v>55.902439680501722</v>
      </c>
      <c r="N98" s="2">
        <v>87</v>
      </c>
      <c r="O98" s="24">
        <f t="shared" si="16"/>
        <v>1.556282704247429</v>
      </c>
    </row>
    <row r="99" spans="1:15" ht="15.75" x14ac:dyDescent="0.25">
      <c r="A99" s="48">
        <v>25</v>
      </c>
      <c r="B99" s="51" t="s">
        <v>31</v>
      </c>
      <c r="C99" s="1">
        <v>2019</v>
      </c>
      <c r="D99" s="2">
        <f>-25762*1000000</f>
        <v>-25762000000</v>
      </c>
      <c r="E99" s="2">
        <v>1440000000</v>
      </c>
      <c r="F99" s="2">
        <f t="shared" si="12"/>
        <v>-17.890277777777779</v>
      </c>
      <c r="H99" s="2">
        <v>165</v>
      </c>
      <c r="I99" s="2">
        <f t="shared" si="13"/>
        <v>-9.2228864218616557</v>
      </c>
      <c r="K99" s="2">
        <v>175963488806</v>
      </c>
      <c r="L99" s="2">
        <f t="shared" si="14"/>
        <v>122.19686722638889</v>
      </c>
      <c r="N99" s="2">
        <v>165</v>
      </c>
      <c r="O99" s="24">
        <f t="shared" si="16"/>
        <v>1.3502801155639415</v>
      </c>
    </row>
    <row r="100" spans="1:15" ht="15.75" x14ac:dyDescent="0.25">
      <c r="A100" s="49"/>
      <c r="B100" s="52"/>
      <c r="C100" s="1">
        <v>2020</v>
      </c>
      <c r="D100" s="2">
        <f>-52305*1000000</f>
        <v>-52305000000</v>
      </c>
      <c r="E100" s="2">
        <v>1440000000</v>
      </c>
      <c r="F100" s="2">
        <f t="shared" si="12"/>
        <v>-36.322916666666664</v>
      </c>
      <c r="H100" s="2">
        <v>130</v>
      </c>
      <c r="I100" s="2">
        <f t="shared" si="13"/>
        <v>-3.5790077430455982</v>
      </c>
      <c r="K100" s="2">
        <v>120151540897</v>
      </c>
      <c r="L100" s="2">
        <f t="shared" si="14"/>
        <v>83.438570067361113</v>
      </c>
      <c r="N100" s="2">
        <v>130</v>
      </c>
      <c r="O100" s="24">
        <f t="shared" si="16"/>
        <v>1.5580324530375964</v>
      </c>
    </row>
    <row r="101" spans="1:15" ht="15.75" x14ac:dyDescent="0.25">
      <c r="A101" s="49"/>
      <c r="B101" s="52"/>
      <c r="C101" s="1">
        <v>2021</v>
      </c>
      <c r="D101" s="2">
        <v>-21784386527</v>
      </c>
      <c r="E101" s="2">
        <v>1440000000</v>
      </c>
      <c r="F101" s="2">
        <f t="shared" si="12"/>
        <v>-15.128046199305556</v>
      </c>
      <c r="H101" s="2">
        <v>153</v>
      </c>
      <c r="I101" s="2">
        <f t="shared" si="13"/>
        <v>-10.113665570840428</v>
      </c>
      <c r="K101" s="2">
        <v>55731632633</v>
      </c>
      <c r="L101" s="2">
        <f t="shared" si="14"/>
        <v>38.702522661805553</v>
      </c>
      <c r="N101" s="2">
        <v>153</v>
      </c>
      <c r="O101" s="24">
        <f t="shared" si="16"/>
        <v>3.9532306805155999</v>
      </c>
    </row>
    <row r="102" spans="1:15" ht="15.75" x14ac:dyDescent="0.25">
      <c r="A102" s="50"/>
      <c r="B102" s="53"/>
      <c r="C102" s="1">
        <v>2022</v>
      </c>
      <c r="D102" s="2">
        <v>-12501927525</v>
      </c>
      <c r="E102" s="2">
        <v>1440000000</v>
      </c>
      <c r="F102" s="2">
        <f t="shared" si="12"/>
        <v>-8.6818941145833328</v>
      </c>
      <c r="H102" s="2">
        <v>83</v>
      </c>
      <c r="I102" s="2">
        <f t="shared" si="13"/>
        <v>-9.5601258094799277</v>
      </c>
      <c r="K102" s="2">
        <v>39120716694</v>
      </c>
      <c r="L102" s="2">
        <f t="shared" si="14"/>
        <v>27.167164370833333</v>
      </c>
      <c r="N102" s="2">
        <v>83</v>
      </c>
      <c r="O102" s="24">
        <f t="shared" si="16"/>
        <v>3.0551587521997252</v>
      </c>
    </row>
    <row r="103" spans="1:15" ht="15.75" x14ac:dyDescent="0.25">
      <c r="A103" s="48">
        <v>26</v>
      </c>
      <c r="B103" s="51" t="s">
        <v>32</v>
      </c>
      <c r="C103" s="1">
        <v>2019</v>
      </c>
      <c r="D103" s="2">
        <f>-160988*1000000</f>
        <v>-160988000000</v>
      </c>
      <c r="E103" s="2">
        <v>18850000000</v>
      </c>
      <c r="F103" s="2">
        <f t="shared" si="12"/>
        <v>-8.5404774535809018</v>
      </c>
      <c r="H103" s="2">
        <v>200</v>
      </c>
      <c r="I103" s="2">
        <f t="shared" si="13"/>
        <v>-23.417894501453524</v>
      </c>
      <c r="K103" s="2">
        <f>1177121*1000000</f>
        <v>1177121000000</v>
      </c>
      <c r="L103" s="2">
        <f t="shared" si="14"/>
        <v>62.446737400530502</v>
      </c>
      <c r="N103" s="2">
        <v>200</v>
      </c>
      <c r="O103" s="24">
        <f t="shared" si="16"/>
        <v>3.2027293710672056</v>
      </c>
    </row>
    <row r="104" spans="1:15" ht="15.75" x14ac:dyDescent="0.25">
      <c r="A104" s="49"/>
      <c r="B104" s="52"/>
      <c r="C104" s="1">
        <v>2020</v>
      </c>
      <c r="D104" s="2">
        <f>26501*1000000</f>
        <v>26501000000</v>
      </c>
      <c r="E104" s="2">
        <v>18850000000</v>
      </c>
      <c r="F104" s="2">
        <f t="shared" si="12"/>
        <v>1.4058885941644563</v>
      </c>
      <c r="H104" s="2">
        <v>119</v>
      </c>
      <c r="I104" s="2">
        <f t="shared" si="13"/>
        <v>84.643975699030221</v>
      </c>
      <c r="K104" s="2">
        <f>1210228*1000000</f>
        <v>1210228000000</v>
      </c>
      <c r="L104" s="2">
        <f t="shared" si="14"/>
        <v>64.203076923076921</v>
      </c>
      <c r="N104" s="2">
        <v>119</v>
      </c>
      <c r="O104" s="24">
        <f t="shared" si="16"/>
        <v>1.8534937218441485</v>
      </c>
    </row>
    <row r="105" spans="1:15" ht="15.75" x14ac:dyDescent="0.25">
      <c r="A105" s="49"/>
      <c r="B105" s="52"/>
      <c r="C105" s="1">
        <v>2021</v>
      </c>
      <c r="D105" s="2">
        <v>213841959820</v>
      </c>
      <c r="E105" s="2">
        <v>18850000000</v>
      </c>
      <c r="F105" s="2">
        <f t="shared" si="12"/>
        <v>11.344401051458886</v>
      </c>
      <c r="H105" s="2">
        <v>216</v>
      </c>
      <c r="I105" s="2">
        <f t="shared" si="13"/>
        <v>19.04022953880165</v>
      </c>
      <c r="K105" s="2">
        <f>1424812*1000000</f>
        <v>1424812000000</v>
      </c>
      <c r="L105" s="2">
        <f t="shared" si="14"/>
        <v>75.586843501326257</v>
      </c>
      <c r="N105" s="2">
        <v>216</v>
      </c>
      <c r="O105" s="24">
        <f t="shared" si="16"/>
        <v>2.8576401658604786</v>
      </c>
    </row>
    <row r="106" spans="1:15" ht="15.75" x14ac:dyDescent="0.25">
      <c r="A106" s="50"/>
      <c r="B106" s="53"/>
      <c r="C106" s="1">
        <v>2022</v>
      </c>
      <c r="D106" s="2">
        <v>257682130697</v>
      </c>
      <c r="E106" s="2">
        <v>18850000000</v>
      </c>
      <c r="F106" s="2">
        <f t="shared" si="12"/>
        <v>13.670139559522546</v>
      </c>
      <c r="H106" s="2">
        <v>146</v>
      </c>
      <c r="I106" s="2">
        <f t="shared" si="13"/>
        <v>10.680212836473727</v>
      </c>
      <c r="K106" s="2">
        <f>1686092*1000000</f>
        <v>1686092000000</v>
      </c>
      <c r="L106" s="2">
        <f t="shared" si="14"/>
        <v>89.447851458885935</v>
      </c>
      <c r="N106" s="2">
        <v>146</v>
      </c>
      <c r="O106" s="24">
        <f t="shared" si="16"/>
        <v>1.6322359633993875</v>
      </c>
    </row>
    <row r="107" spans="1:15" ht="15.75" x14ac:dyDescent="0.25">
      <c r="A107" s="48">
        <v>27</v>
      </c>
      <c r="B107" s="51" t="s">
        <v>33</v>
      </c>
      <c r="C107" s="1">
        <v>2019</v>
      </c>
      <c r="D107" s="2">
        <v>237000000000</v>
      </c>
      <c r="E107" s="5">
        <v>6186488888</v>
      </c>
      <c r="F107" s="2">
        <f t="shared" si="12"/>
        <v>38.309290502357726</v>
      </c>
      <c r="H107" s="2">
        <v>1300</v>
      </c>
      <c r="I107" s="2">
        <f t="shared" si="13"/>
        <v>33.934327233755276</v>
      </c>
      <c r="K107" s="2">
        <f>3093*1000000000</f>
        <v>3093000000000</v>
      </c>
      <c r="L107" s="2">
        <f t="shared" si="14"/>
        <v>499.96048744216222</v>
      </c>
      <c r="N107" s="2">
        <v>1300</v>
      </c>
      <c r="O107" s="24">
        <f t="shared" si="16"/>
        <v>2.6002054815389588</v>
      </c>
    </row>
    <row r="108" spans="1:15" ht="15.75" x14ac:dyDescent="0.25">
      <c r="A108" s="49"/>
      <c r="B108" s="52"/>
      <c r="C108" s="1">
        <v>2020</v>
      </c>
      <c r="D108" s="2">
        <v>169000000000</v>
      </c>
      <c r="E108" s="5">
        <v>6186488888</v>
      </c>
      <c r="F108" s="2">
        <f t="shared" si="12"/>
        <v>27.317595337124285</v>
      </c>
      <c r="H108" s="2">
        <v>1360</v>
      </c>
      <c r="I108" s="2">
        <f t="shared" si="13"/>
        <v>49.784762648994082</v>
      </c>
      <c r="K108" s="2">
        <f>3247*1000000000</f>
        <v>3247000000000</v>
      </c>
      <c r="L108" s="2">
        <f t="shared" si="14"/>
        <v>524.85344413989674</v>
      </c>
      <c r="N108" s="2">
        <v>1360</v>
      </c>
      <c r="O108" s="24">
        <f t="shared" si="16"/>
        <v>2.5911995342408378</v>
      </c>
    </row>
    <row r="109" spans="1:15" ht="15.75" x14ac:dyDescent="0.25">
      <c r="A109" s="49"/>
      <c r="B109" s="52"/>
      <c r="C109" s="1">
        <v>2021</v>
      </c>
      <c r="D109" s="2">
        <f>284*1000000000</f>
        <v>284000000000</v>
      </c>
      <c r="E109" s="5">
        <v>6186488888</v>
      </c>
      <c r="F109" s="2">
        <f t="shared" si="12"/>
        <v>45.906491572445546</v>
      </c>
      <c r="H109" s="2">
        <v>1360</v>
      </c>
      <c r="I109" s="2">
        <f t="shared" si="13"/>
        <v>29.625439745352111</v>
      </c>
      <c r="K109" s="2">
        <f>2870*1000000000</f>
        <v>2870000000000</v>
      </c>
      <c r="L109" s="2">
        <f t="shared" si="14"/>
        <v>463.91419300323491</v>
      </c>
      <c r="N109" s="2">
        <v>1360</v>
      </c>
      <c r="O109" s="24">
        <f t="shared" si="16"/>
        <v>2.9315766159163763</v>
      </c>
    </row>
    <row r="110" spans="1:15" ht="15.75" x14ac:dyDescent="0.25">
      <c r="A110" s="50"/>
      <c r="B110" s="53"/>
      <c r="C110" s="1">
        <v>2022</v>
      </c>
      <c r="D110" s="2">
        <v>432000000000</v>
      </c>
      <c r="E110" s="5">
        <v>6186488888</v>
      </c>
      <c r="F110" s="2">
        <f t="shared" si="12"/>
        <v>69.829592814424203</v>
      </c>
      <c r="H110" s="2">
        <v>1320</v>
      </c>
      <c r="I110" s="2">
        <f t="shared" si="13"/>
        <v>18.903160491111112</v>
      </c>
      <c r="K110" s="2">
        <f>2681*1000000000</f>
        <v>2681000000000</v>
      </c>
      <c r="L110" s="2">
        <f t="shared" si="14"/>
        <v>433.36374614692431</v>
      </c>
      <c r="N110" s="2">
        <v>1320</v>
      </c>
      <c r="O110" s="24">
        <f t="shared" si="16"/>
        <v>3.0459400716747482</v>
      </c>
    </row>
    <row r="111" spans="1:15" ht="15.75" x14ac:dyDescent="0.25">
      <c r="A111" s="48">
        <v>28</v>
      </c>
      <c r="B111" s="51" t="s">
        <v>40</v>
      </c>
      <c r="C111" s="1">
        <v>2019</v>
      </c>
      <c r="D111" s="2">
        <f>0.98*1000000000</f>
        <v>980000000</v>
      </c>
      <c r="E111" s="2">
        <v>1726003217</v>
      </c>
      <c r="F111" s="2">
        <f t="shared" si="12"/>
        <v>0.56778573200075333</v>
      </c>
      <c r="H111" s="2">
        <v>410</v>
      </c>
      <c r="I111" s="2">
        <f t="shared" si="13"/>
        <v>722.10338670408157</v>
      </c>
      <c r="K111" s="2">
        <f>1035.82*1000000000</f>
        <v>1035819999999.9999</v>
      </c>
      <c r="L111" s="2">
        <f t="shared" si="14"/>
        <v>600.12634379695942</v>
      </c>
      <c r="N111" s="2">
        <v>410</v>
      </c>
      <c r="O111" s="24">
        <f t="shared" si="16"/>
        <v>0.68318947208009118</v>
      </c>
    </row>
    <row r="112" spans="1:15" ht="15.75" x14ac:dyDescent="0.25">
      <c r="A112" s="49"/>
      <c r="B112" s="52"/>
      <c r="C112" s="1">
        <v>2020</v>
      </c>
      <c r="D112" s="2">
        <f>5.42*1000000000</f>
        <v>5420000000</v>
      </c>
      <c r="E112" s="2">
        <v>1726003217</v>
      </c>
      <c r="F112" s="2">
        <f t="shared" si="12"/>
        <v>3.140202721881717</v>
      </c>
      <c r="H112" s="2">
        <v>324</v>
      </c>
      <c r="I112" s="2">
        <f t="shared" si="13"/>
        <v>103.17805208634687</v>
      </c>
      <c r="K112" s="2">
        <f>961.98*1000000000</f>
        <v>961980000000</v>
      </c>
      <c r="L112" s="2">
        <f t="shared" si="14"/>
        <v>557.34542701029045</v>
      </c>
      <c r="N112" s="2">
        <v>324</v>
      </c>
      <c r="O112" s="24">
        <f t="shared" si="16"/>
        <v>0.58132709859664444</v>
      </c>
    </row>
    <row r="113" spans="1:15" ht="15.75" x14ac:dyDescent="0.25">
      <c r="A113" s="49"/>
      <c r="B113" s="52"/>
      <c r="C113" s="1">
        <v>2021</v>
      </c>
      <c r="D113" s="2">
        <f>29.71*1000000000</f>
        <v>29710000000</v>
      </c>
      <c r="E113" s="2">
        <v>1730103217</v>
      </c>
      <c r="F113" s="2">
        <f t="shared" si="12"/>
        <v>17.172385848468139</v>
      </c>
      <c r="H113" s="2">
        <v>360</v>
      </c>
      <c r="I113" s="2">
        <f t="shared" si="13"/>
        <v>20.963889536183103</v>
      </c>
      <c r="K113" s="2">
        <f>992.49*1000000000</f>
        <v>992490000000</v>
      </c>
      <c r="L113" s="2">
        <f t="shared" si="14"/>
        <v>573.65941537348169</v>
      </c>
      <c r="N113" s="2">
        <v>360</v>
      </c>
      <c r="O113" s="24">
        <f t="shared" si="16"/>
        <v>0.62755005906356742</v>
      </c>
    </row>
    <row r="114" spans="1:15" ht="15.75" x14ac:dyDescent="0.25">
      <c r="A114" s="50"/>
      <c r="B114" s="53"/>
      <c r="C114" s="1">
        <v>2022</v>
      </c>
      <c r="D114" s="2">
        <f>86.64*1000000000</f>
        <v>86640000000</v>
      </c>
      <c r="E114" s="2">
        <v>1730103217</v>
      </c>
      <c r="F114" s="2">
        <f t="shared" si="12"/>
        <v>50.077937055243332</v>
      </c>
      <c r="H114" s="2">
        <v>378</v>
      </c>
      <c r="I114" s="2">
        <f t="shared" si="13"/>
        <v>7.5482342569944603</v>
      </c>
      <c r="K114" s="2">
        <f>1073.97*1000000000</f>
        <v>1073970000000</v>
      </c>
      <c r="L114" s="2">
        <f t="shared" si="14"/>
        <v>620.75487141296958</v>
      </c>
      <c r="N114" s="2">
        <v>378</v>
      </c>
      <c r="O114" s="24">
        <f t="shared" si="16"/>
        <v>0.6089360187211933</v>
      </c>
    </row>
    <row r="115" spans="1:15" ht="15.75" x14ac:dyDescent="0.25">
      <c r="A115" s="48">
        <v>29</v>
      </c>
      <c r="B115" s="51" t="s">
        <v>34</v>
      </c>
      <c r="C115" s="1">
        <v>2019</v>
      </c>
      <c r="D115" s="2">
        <f>45*1000000000</f>
        <v>45000000000</v>
      </c>
      <c r="E115" s="2">
        <v>690740500</v>
      </c>
      <c r="F115" s="2">
        <f t="shared" si="12"/>
        <v>65.14747578866448</v>
      </c>
      <c r="H115" s="2">
        <v>1610</v>
      </c>
      <c r="I115" s="2">
        <f t="shared" si="13"/>
        <v>24.713160111111112</v>
      </c>
      <c r="K115" s="2">
        <f>380*1000000000</f>
        <v>380000000000</v>
      </c>
      <c r="L115" s="2">
        <f t="shared" si="14"/>
        <v>550.13423999316672</v>
      </c>
      <c r="N115" s="2">
        <v>1610</v>
      </c>
      <c r="O115" s="24">
        <f t="shared" si="16"/>
        <v>2.9265584342105266</v>
      </c>
    </row>
    <row r="116" spans="1:15" ht="15.75" x14ac:dyDescent="0.25">
      <c r="A116" s="49"/>
      <c r="B116" s="52"/>
      <c r="C116" s="1">
        <v>2020</v>
      </c>
      <c r="D116" s="2">
        <f>43*1000000000</f>
        <v>43000000000</v>
      </c>
      <c r="E116" s="2">
        <v>690740500</v>
      </c>
      <c r="F116" s="2">
        <f t="shared" si="12"/>
        <v>62.252032420279399</v>
      </c>
      <c r="H116" s="2">
        <v>1565</v>
      </c>
      <c r="I116" s="2">
        <f t="shared" si="13"/>
        <v>25.139741453488369</v>
      </c>
      <c r="K116" s="2">
        <f>407*1000000000</f>
        <v>407000000000</v>
      </c>
      <c r="L116" s="2">
        <f t="shared" si="14"/>
        <v>589.22272546636543</v>
      </c>
      <c r="N116" s="2">
        <v>1565</v>
      </c>
      <c r="O116" s="24">
        <f t="shared" si="16"/>
        <v>2.6560414803439802</v>
      </c>
    </row>
    <row r="117" spans="1:15" ht="15.75" x14ac:dyDescent="0.25">
      <c r="A117" s="49"/>
      <c r="B117" s="52"/>
      <c r="C117" s="1">
        <v>2021</v>
      </c>
      <c r="D117" s="2">
        <f>85*1000000000</f>
        <v>85000000000</v>
      </c>
      <c r="E117" s="2">
        <v>690740500</v>
      </c>
      <c r="F117" s="2">
        <f t="shared" si="12"/>
        <v>123.05634315636625</v>
      </c>
      <c r="H117" s="2">
        <v>2420</v>
      </c>
      <c r="I117" s="2">
        <f t="shared" si="13"/>
        <v>19.665788352941174</v>
      </c>
      <c r="K117" s="2">
        <f>542*1000000000</f>
        <v>542000000000</v>
      </c>
      <c r="L117" s="2">
        <f t="shared" si="14"/>
        <v>784.6651528323589</v>
      </c>
      <c r="N117" s="2">
        <v>2420</v>
      </c>
      <c r="O117" s="24">
        <f t="shared" si="16"/>
        <v>3.0841180996309965</v>
      </c>
    </row>
    <row r="118" spans="1:15" ht="15.75" x14ac:dyDescent="0.25">
      <c r="A118" s="50"/>
      <c r="B118" s="53"/>
      <c r="C118" s="1">
        <v>2022</v>
      </c>
      <c r="D118" s="2">
        <f>75*1000000000</f>
        <v>75000000000</v>
      </c>
      <c r="E118" s="2">
        <v>690740500</v>
      </c>
      <c r="F118" s="2">
        <f t="shared" si="12"/>
        <v>108.57912631444081</v>
      </c>
      <c r="H118" s="2">
        <v>1950</v>
      </c>
      <c r="I118" s="2">
        <f t="shared" si="13"/>
        <v>17.959253</v>
      </c>
      <c r="K118" s="2">
        <f>591*1000000000</f>
        <v>591000000000</v>
      </c>
      <c r="L118" s="2">
        <f t="shared" si="14"/>
        <v>855.60351535779353</v>
      </c>
      <c r="N118" s="2">
        <v>1950</v>
      </c>
      <c r="O118" s="24">
        <f t="shared" si="16"/>
        <v>2.2790930203045687</v>
      </c>
    </row>
    <row r="119" spans="1:15" ht="15.75" x14ac:dyDescent="0.25">
      <c r="A119" s="48">
        <v>30</v>
      </c>
      <c r="B119" s="51" t="s">
        <v>35</v>
      </c>
      <c r="C119" s="1">
        <v>2019</v>
      </c>
      <c r="D119" s="2">
        <f>482591*1000000</f>
        <v>482591000000</v>
      </c>
      <c r="E119" s="2">
        <f>1310*1000000</f>
        <v>1310000000</v>
      </c>
      <c r="F119" s="2">
        <f t="shared" si="12"/>
        <v>368.39007633587784</v>
      </c>
      <c r="H119" s="2">
        <v>4500</v>
      </c>
      <c r="I119" s="2">
        <f t="shared" si="13"/>
        <v>12.215312759666054</v>
      </c>
      <c r="K119" s="2">
        <f>2148007*1000000</f>
        <v>2148007000000</v>
      </c>
      <c r="L119" s="2">
        <f t="shared" si="14"/>
        <v>1639.7</v>
      </c>
      <c r="N119" s="2">
        <v>4500</v>
      </c>
      <c r="O119" s="24">
        <f t="shared" si="16"/>
        <v>2.7444044642312617</v>
      </c>
    </row>
    <row r="120" spans="1:15" ht="15.75" x14ac:dyDescent="0.25">
      <c r="A120" s="49"/>
      <c r="B120" s="52"/>
      <c r="C120" s="1">
        <v>2020</v>
      </c>
      <c r="D120" s="2">
        <f>628629*1000000</f>
        <v>628629000000</v>
      </c>
      <c r="E120" s="2">
        <f>1310*1000000</f>
        <v>1310000000</v>
      </c>
      <c r="F120" s="2">
        <f t="shared" si="12"/>
        <v>479.86946564885494</v>
      </c>
      <c r="H120" s="2">
        <v>9500</v>
      </c>
      <c r="I120" s="2">
        <f t="shared" si="13"/>
        <v>19.797050406519585</v>
      </c>
      <c r="K120" s="2">
        <f>2673298*1000000</f>
        <v>2673298000000</v>
      </c>
      <c r="L120" s="2">
        <f t="shared" si="14"/>
        <v>2040.6854961832062</v>
      </c>
      <c r="N120" s="2">
        <v>9500</v>
      </c>
      <c r="O120" s="24">
        <f t="shared" si="16"/>
        <v>4.6552984366127532</v>
      </c>
    </row>
    <row r="121" spans="1:15" ht="15.75" x14ac:dyDescent="0.25">
      <c r="A121" s="49"/>
      <c r="B121" s="52"/>
      <c r="C121" s="1">
        <v>2021</v>
      </c>
      <c r="D121" s="2">
        <f>617574*1000000</f>
        <v>617574000000</v>
      </c>
      <c r="E121" s="2">
        <f>1310*1000000</f>
        <v>1310000000</v>
      </c>
      <c r="F121" s="2">
        <f t="shared" si="12"/>
        <v>471.43053435114501</v>
      </c>
      <c r="H121" s="2">
        <v>7550</v>
      </c>
      <c r="I121" s="2">
        <f t="shared" si="13"/>
        <v>16.01508483193917</v>
      </c>
      <c r="K121" s="2">
        <f>3300849*1000000</f>
        <v>3300849000000</v>
      </c>
      <c r="L121" s="2">
        <f t="shared" si="14"/>
        <v>2519.7320610687025</v>
      </c>
      <c r="N121" s="2">
        <v>7550</v>
      </c>
      <c r="O121" s="24">
        <f t="shared" si="16"/>
        <v>2.9963503328992025</v>
      </c>
    </row>
    <row r="122" spans="1:15" ht="15.75" x14ac:dyDescent="0.25">
      <c r="A122" s="50"/>
      <c r="B122" s="53"/>
      <c r="C122" s="1">
        <v>2022</v>
      </c>
      <c r="D122" s="2">
        <f>624524*1000000</f>
        <v>624524000000</v>
      </c>
      <c r="E122" s="2">
        <f>1310*1000000</f>
        <v>1310000000</v>
      </c>
      <c r="F122" s="2">
        <f t="shared" si="12"/>
        <v>476.73587786259543</v>
      </c>
      <c r="H122" s="2">
        <v>7650</v>
      </c>
      <c r="I122" s="2">
        <f t="shared" si="13"/>
        <v>16.046621106634813</v>
      </c>
      <c r="K122" s="2">
        <f>3928399*1000000</f>
        <v>3928399000000</v>
      </c>
      <c r="L122" s="2">
        <f t="shared" si="14"/>
        <v>2998.7778625954197</v>
      </c>
      <c r="N122" s="2">
        <v>7650</v>
      </c>
      <c r="O122" s="24">
        <f t="shared" si="16"/>
        <v>2.5510392401586501</v>
      </c>
    </row>
    <row r="123" spans="1:15" ht="15.75" x14ac:dyDescent="0.25">
      <c r="A123" s="48">
        <v>31</v>
      </c>
      <c r="B123" s="51" t="s">
        <v>36</v>
      </c>
      <c r="C123" s="1">
        <v>2019</v>
      </c>
      <c r="D123" s="2">
        <f>1035865*1000000</f>
        <v>1035865000000</v>
      </c>
      <c r="E123" s="2">
        <v>11553528000</v>
      </c>
      <c r="F123" s="2">
        <f t="shared" ref="F123:F126" si="17">D123/E123</f>
        <v>89.657894973725774</v>
      </c>
      <c r="H123" s="2">
        <v>1680</v>
      </c>
      <c r="I123" s="2">
        <f t="shared" ref="I123:I126" si="18">H123/F123</f>
        <v>18.737892524605041</v>
      </c>
      <c r="K123" s="2">
        <f>5655139*1000000</f>
        <v>5655139000000</v>
      </c>
      <c r="L123" s="2">
        <f t="shared" ref="L123:L126" si="19">K123/E123</f>
        <v>489.47291251641923</v>
      </c>
      <c r="N123" s="2">
        <v>1680</v>
      </c>
      <c r="O123" s="24">
        <f t="shared" si="16"/>
        <v>3.4322634757518782</v>
      </c>
    </row>
    <row r="124" spans="1:15" ht="15.75" x14ac:dyDescent="0.25">
      <c r="A124" s="49"/>
      <c r="B124" s="52"/>
      <c r="C124" s="1">
        <v>2020</v>
      </c>
      <c r="D124" s="2">
        <f>1109666*1000000</f>
        <v>1109666000000</v>
      </c>
      <c r="E124" s="2">
        <v>11553528000</v>
      </c>
      <c r="F124" s="2">
        <f t="shared" si="17"/>
        <v>96.0456407774318</v>
      </c>
      <c r="H124" s="2">
        <v>1600</v>
      </c>
      <c r="I124" s="2">
        <f t="shared" si="18"/>
        <v>16.658746685939732</v>
      </c>
      <c r="K124" s="2">
        <f>4781737*1000000</f>
        <v>4781737000000</v>
      </c>
      <c r="L124" s="2">
        <f t="shared" si="19"/>
        <v>413.87678291860288</v>
      </c>
      <c r="N124" s="2">
        <v>1600</v>
      </c>
      <c r="O124" s="24">
        <f t="shared" si="16"/>
        <v>3.8658848866008313</v>
      </c>
    </row>
    <row r="125" spans="1:15" ht="15.75" x14ac:dyDescent="0.25">
      <c r="A125" s="49"/>
      <c r="B125" s="52"/>
      <c r="C125" s="1">
        <v>2021</v>
      </c>
      <c r="D125" s="2">
        <f>1276793*1000000</f>
        <v>1276793000000</v>
      </c>
      <c r="E125" s="2">
        <v>11553528000</v>
      </c>
      <c r="F125" s="2">
        <f t="shared" si="17"/>
        <v>110.51109236936112</v>
      </c>
      <c r="H125" s="2">
        <v>1525</v>
      </c>
      <c r="I125" s="2">
        <f t="shared" si="18"/>
        <v>13.799519734209069</v>
      </c>
      <c r="K125" s="2">
        <f>5138126*1000000</f>
        <v>5138126000000</v>
      </c>
      <c r="L125" s="2">
        <f t="shared" si="19"/>
        <v>444.72355110923695</v>
      </c>
      <c r="N125" s="2">
        <v>1525</v>
      </c>
      <c r="O125" s="24">
        <f t="shared" si="16"/>
        <v>3.4290965616647</v>
      </c>
    </row>
    <row r="126" spans="1:15" ht="15.75" x14ac:dyDescent="0.25">
      <c r="A126" s="50"/>
      <c r="B126" s="53"/>
      <c r="C126" s="1">
        <v>2022</v>
      </c>
      <c r="D126" s="2">
        <f>965486*1000000</f>
        <v>965486000000</v>
      </c>
      <c r="E126" s="2">
        <v>11553528000</v>
      </c>
      <c r="F126" s="2">
        <f t="shared" si="17"/>
        <v>83.5663357547582</v>
      </c>
      <c r="H126" s="2">
        <v>1330</v>
      </c>
      <c r="I126" s="2">
        <f t="shared" si="18"/>
        <v>15.915499800100674</v>
      </c>
      <c r="K126" s="2">
        <f>5822679*1000000</f>
        <v>5822679000000</v>
      </c>
      <c r="L126" s="2">
        <f t="shared" si="19"/>
        <v>503.97411076512731</v>
      </c>
      <c r="N126" s="2">
        <v>1330</v>
      </c>
      <c r="O126" s="24">
        <f t="shared" si="16"/>
        <v>2.6390244490551513</v>
      </c>
    </row>
  </sheetData>
  <mergeCells count="69">
    <mergeCell ref="H1:I1"/>
    <mergeCell ref="A1:A2"/>
    <mergeCell ref="B1:B2"/>
    <mergeCell ref="C1:C2"/>
    <mergeCell ref="D1:F1"/>
    <mergeCell ref="A3:A6"/>
    <mergeCell ref="B3:B6"/>
    <mergeCell ref="A7:A10"/>
    <mergeCell ref="B7:B10"/>
    <mergeCell ref="A11:A14"/>
    <mergeCell ref="B11:B14"/>
    <mergeCell ref="A15:A18"/>
    <mergeCell ref="B15:B18"/>
    <mergeCell ref="A19:A22"/>
    <mergeCell ref="B19:B22"/>
    <mergeCell ref="A23:A26"/>
    <mergeCell ref="B23:B26"/>
    <mergeCell ref="A27:A30"/>
    <mergeCell ref="B27:B30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  <mergeCell ref="A55:A58"/>
    <mergeCell ref="B55:B58"/>
    <mergeCell ref="A59:A62"/>
    <mergeCell ref="B59:B62"/>
    <mergeCell ref="A63:A66"/>
    <mergeCell ref="B63:B66"/>
    <mergeCell ref="A87:A90"/>
    <mergeCell ref="B87:B90"/>
    <mergeCell ref="A67:A70"/>
    <mergeCell ref="B67:B70"/>
    <mergeCell ref="A71:A74"/>
    <mergeCell ref="B71:B74"/>
    <mergeCell ref="A75:A78"/>
    <mergeCell ref="B75:B78"/>
    <mergeCell ref="A123:A126"/>
    <mergeCell ref="B123:B126"/>
    <mergeCell ref="A107:A110"/>
    <mergeCell ref="B107:B110"/>
    <mergeCell ref="A111:A114"/>
    <mergeCell ref="B111:B114"/>
    <mergeCell ref="A115:A118"/>
    <mergeCell ref="B115:B118"/>
    <mergeCell ref="K1:L1"/>
    <mergeCell ref="N1:O1"/>
    <mergeCell ref="A103:A106"/>
    <mergeCell ref="B103:B106"/>
    <mergeCell ref="A119:A122"/>
    <mergeCell ref="B119:B122"/>
    <mergeCell ref="A91:A94"/>
    <mergeCell ref="B91:B94"/>
    <mergeCell ref="A95:A98"/>
    <mergeCell ref="B95:B98"/>
    <mergeCell ref="A99:A102"/>
    <mergeCell ref="B99:B102"/>
    <mergeCell ref="A79:A82"/>
    <mergeCell ref="B79:B82"/>
    <mergeCell ref="A83:A86"/>
    <mergeCell ref="B83:B8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topLeftCell="A20" zoomScale="98" zoomScaleNormal="98" workbookViewId="0">
      <selection activeCell="H35" sqref="H35"/>
    </sheetView>
  </sheetViews>
  <sheetFormatPr defaultRowHeight="15" x14ac:dyDescent="0.25"/>
  <cols>
    <col min="4" max="6" width="23.7109375" bestFit="1" customWidth="1"/>
    <col min="7" max="7" width="24.85546875" bestFit="1" customWidth="1"/>
    <col min="8" max="8" width="15.85546875" customWidth="1"/>
  </cols>
  <sheetData>
    <row r="1" spans="1:10" ht="15.75" x14ac:dyDescent="0.25">
      <c r="A1" s="56" t="s">
        <v>2</v>
      </c>
      <c r="B1" s="62" t="s">
        <v>1</v>
      </c>
      <c r="C1" s="62" t="s">
        <v>0</v>
      </c>
      <c r="D1" s="61" t="s">
        <v>52</v>
      </c>
      <c r="E1" s="61"/>
      <c r="F1" s="61"/>
      <c r="G1" s="61"/>
      <c r="H1" s="61"/>
      <c r="J1" s="11" t="s">
        <v>55</v>
      </c>
    </row>
    <row r="2" spans="1:10" ht="15.75" x14ac:dyDescent="0.25">
      <c r="A2" s="56"/>
      <c r="B2" s="62"/>
      <c r="C2" s="62"/>
      <c r="D2" s="58" t="s">
        <v>49</v>
      </c>
      <c r="E2" s="59"/>
      <c r="F2" s="59"/>
      <c r="G2" s="9" t="s">
        <v>50</v>
      </c>
      <c r="H2" s="60" t="s">
        <v>51</v>
      </c>
      <c r="J2" s="11" t="s">
        <v>56</v>
      </c>
    </row>
    <row r="3" spans="1:10" ht="15.75" x14ac:dyDescent="0.25">
      <c r="A3" s="56"/>
      <c r="B3" s="62"/>
      <c r="C3" s="62"/>
      <c r="D3" s="8" t="s">
        <v>53</v>
      </c>
      <c r="E3" s="8" t="s">
        <v>54</v>
      </c>
      <c r="F3" s="8" t="s">
        <v>48</v>
      </c>
      <c r="G3" s="10" t="s">
        <v>61</v>
      </c>
      <c r="H3" s="60"/>
      <c r="J3" s="11" t="s">
        <v>57</v>
      </c>
    </row>
    <row r="4" spans="1:10" ht="15.75" x14ac:dyDescent="0.25">
      <c r="A4" s="48">
        <v>3</v>
      </c>
      <c r="B4" s="51" t="s">
        <v>6</v>
      </c>
      <c r="C4" s="1">
        <v>2019</v>
      </c>
      <c r="D4" s="2">
        <f>-7.38*1000000000</f>
        <v>-7380000000</v>
      </c>
      <c r="E4" s="2">
        <v>33552221386</v>
      </c>
      <c r="F4" s="2">
        <f t="shared" ref="F4:F27" si="0">D4-E4</f>
        <v>-40932221386</v>
      </c>
      <c r="G4" s="2">
        <f>1109.84*1000000000</f>
        <v>1109840000000</v>
      </c>
      <c r="H4" s="24">
        <f t="shared" ref="H4:H23" si="1">F4/G4</f>
        <v>-3.6881191330281844E-2</v>
      </c>
    </row>
    <row r="5" spans="1:10" ht="15.75" x14ac:dyDescent="0.25">
      <c r="A5" s="49"/>
      <c r="B5" s="52"/>
      <c r="C5" s="1">
        <v>2020</v>
      </c>
      <c r="D5" s="2">
        <f>-10.5*1000000000</f>
        <v>-10500000000</v>
      </c>
      <c r="E5" s="2">
        <v>30788406788</v>
      </c>
      <c r="F5" s="2">
        <f t="shared" si="0"/>
        <v>-41288406788</v>
      </c>
      <c r="G5" s="2">
        <f>1103.45*1000000000</f>
        <v>1103450000000</v>
      </c>
      <c r="H5" s="24">
        <f t="shared" si="1"/>
        <v>-3.741756018668721E-2</v>
      </c>
    </row>
    <row r="6" spans="1:10" ht="15.75" x14ac:dyDescent="0.25">
      <c r="A6" s="49"/>
      <c r="B6" s="52"/>
      <c r="C6" s="1">
        <v>2021</v>
      </c>
      <c r="D6" s="2">
        <f>-8.39*1000000000</f>
        <v>-8390000000.000001</v>
      </c>
      <c r="E6" s="2">
        <v>41924240191</v>
      </c>
      <c r="F6" s="2">
        <f t="shared" si="0"/>
        <v>-50314240191</v>
      </c>
      <c r="G6" s="2">
        <f>1105.87*1000000000</f>
        <v>1105870000000</v>
      </c>
      <c r="H6" s="24">
        <f t="shared" si="1"/>
        <v>-4.5497427537594837E-2</v>
      </c>
    </row>
    <row r="7" spans="1:10" ht="15.75" x14ac:dyDescent="0.25">
      <c r="A7" s="50"/>
      <c r="B7" s="53"/>
      <c r="C7" s="1">
        <v>2022</v>
      </c>
      <c r="D7" s="2">
        <f>-16.12*1000000000</f>
        <v>-16120000000.000002</v>
      </c>
      <c r="E7" s="2">
        <v>1440523783</v>
      </c>
      <c r="F7" s="2">
        <f t="shared" si="0"/>
        <v>-17560523783</v>
      </c>
      <c r="G7" s="2">
        <f>1089.2*1000000000</f>
        <v>1089200000000</v>
      </c>
      <c r="H7" s="24">
        <f t="shared" si="1"/>
        <v>-1.6122405235952993E-2</v>
      </c>
    </row>
    <row r="8" spans="1:10" ht="15.75" x14ac:dyDescent="0.25">
      <c r="A8" s="48">
        <v>4</v>
      </c>
      <c r="B8" s="51" t="s">
        <v>8</v>
      </c>
      <c r="C8" s="1">
        <v>2019</v>
      </c>
      <c r="D8" s="2">
        <v>64000000000</v>
      </c>
      <c r="E8" s="2">
        <f>271140*1000000</f>
        <v>271140000000</v>
      </c>
      <c r="F8" s="2">
        <f t="shared" si="0"/>
        <v>-207140000000</v>
      </c>
      <c r="G8" s="2">
        <f>3393*1000000000</f>
        <v>3393000000000</v>
      </c>
      <c r="H8" s="24">
        <f t="shared" si="1"/>
        <v>-6.1049218980253464E-2</v>
      </c>
    </row>
    <row r="9" spans="1:10" ht="15.75" x14ac:dyDescent="0.25">
      <c r="A9" s="49"/>
      <c r="B9" s="52"/>
      <c r="C9" s="1">
        <v>2020</v>
      </c>
      <c r="D9" s="2">
        <v>67100000000</v>
      </c>
      <c r="E9" s="2">
        <f>193682*1000000</f>
        <v>193682000000</v>
      </c>
      <c r="F9" s="2">
        <f t="shared" si="0"/>
        <v>-126582000000</v>
      </c>
      <c r="G9" s="2">
        <f>2999.8*1000000000</f>
        <v>2999800000000</v>
      </c>
      <c r="H9" s="24">
        <f t="shared" si="1"/>
        <v>-4.2196813120874727E-2</v>
      </c>
    </row>
    <row r="10" spans="1:10" ht="15.75" x14ac:dyDescent="0.25">
      <c r="A10" s="49"/>
      <c r="B10" s="52"/>
      <c r="C10" s="1">
        <v>2021</v>
      </c>
      <c r="D10" s="2">
        <v>91700000000</v>
      </c>
      <c r="E10" s="2">
        <f>190973*1000000</f>
        <v>190973000000</v>
      </c>
      <c r="F10" s="2">
        <f t="shared" si="0"/>
        <v>-99273000000</v>
      </c>
      <c r="G10" s="2">
        <f>2963*1000000000</f>
        <v>2963000000000</v>
      </c>
      <c r="H10" s="24">
        <f t="shared" si="1"/>
        <v>-3.3504218697266282E-2</v>
      </c>
    </row>
    <row r="11" spans="1:10" ht="15.75" x14ac:dyDescent="0.25">
      <c r="A11" s="50"/>
      <c r="B11" s="53"/>
      <c r="C11" s="1">
        <v>2022</v>
      </c>
      <c r="D11" s="2">
        <f>93.1*1000000000</f>
        <v>93100000000</v>
      </c>
      <c r="E11" s="2">
        <f>93996*1000000</f>
        <v>93996000000</v>
      </c>
      <c r="F11" s="2">
        <f t="shared" si="0"/>
        <v>-896000000</v>
      </c>
      <c r="G11" s="2">
        <f>2993.2*1000000000</f>
        <v>2993200000000</v>
      </c>
      <c r="H11" s="24">
        <f t="shared" si="1"/>
        <v>-2.9934518241347052E-4</v>
      </c>
    </row>
    <row r="12" spans="1:10" ht="15.75" x14ac:dyDescent="0.25">
      <c r="A12" s="48">
        <v>5</v>
      </c>
      <c r="B12" s="51" t="s">
        <v>9</v>
      </c>
      <c r="C12" s="1">
        <v>2019</v>
      </c>
      <c r="D12" s="2">
        <f>76.76*1000000000</f>
        <v>76760000000</v>
      </c>
      <c r="E12" s="2">
        <v>158440399914</v>
      </c>
      <c r="F12" s="2">
        <f t="shared" si="0"/>
        <v>-81680399914</v>
      </c>
      <c r="G12" s="2">
        <f>1004.27*1000000000</f>
        <v>1004270000000</v>
      </c>
      <c r="H12" s="24">
        <f t="shared" si="1"/>
        <v>-8.1333107544783775E-2</v>
      </c>
    </row>
    <row r="13" spans="1:10" ht="15.75" x14ac:dyDescent="0.25">
      <c r="A13" s="49"/>
      <c r="B13" s="52"/>
      <c r="C13" s="1">
        <v>2020</v>
      </c>
      <c r="D13" s="2">
        <f>44.05*1000000000</f>
        <v>44050000000</v>
      </c>
      <c r="E13" s="2">
        <v>202642422392</v>
      </c>
      <c r="F13" s="2">
        <f t="shared" si="0"/>
        <v>-158592422392</v>
      </c>
      <c r="G13" s="2">
        <f>1057.53*1000000000</f>
        <v>1057530000000</v>
      </c>
      <c r="H13" s="24">
        <f t="shared" si="1"/>
        <v>-0.14996493942677749</v>
      </c>
    </row>
    <row r="14" spans="1:10" ht="15.75" x14ac:dyDescent="0.25">
      <c r="A14" s="49"/>
      <c r="B14" s="52"/>
      <c r="C14" s="1">
        <v>2021</v>
      </c>
      <c r="D14" s="2">
        <f>99.28*1000000000</f>
        <v>99280000000</v>
      </c>
      <c r="E14" s="2">
        <v>218469033697</v>
      </c>
      <c r="F14" s="2">
        <f t="shared" si="0"/>
        <v>-119189033697</v>
      </c>
      <c r="G14" s="2">
        <f>1086.87*1000000000</f>
        <v>1086869999999.9999</v>
      </c>
      <c r="H14" s="24">
        <f t="shared" si="1"/>
        <v>-0.10966264014739574</v>
      </c>
    </row>
    <row r="15" spans="1:10" ht="15.75" x14ac:dyDescent="0.25">
      <c r="A15" s="50"/>
      <c r="B15" s="53"/>
      <c r="C15" s="1">
        <v>2022</v>
      </c>
      <c r="D15" s="2">
        <f>121.26*1000000000</f>
        <v>121260000000</v>
      </c>
      <c r="E15" s="2">
        <v>198491016426</v>
      </c>
      <c r="F15" s="2">
        <f t="shared" si="0"/>
        <v>-77231016426</v>
      </c>
      <c r="G15" s="2">
        <f>1146.24*1000000000</f>
        <v>1146240000000</v>
      </c>
      <c r="H15" s="24">
        <f t="shared" si="1"/>
        <v>-6.7377701376675037E-2</v>
      </c>
    </row>
    <row r="16" spans="1:10" ht="15.75" x14ac:dyDescent="0.25">
      <c r="A16" s="48">
        <v>6</v>
      </c>
      <c r="B16" s="51" t="s">
        <v>10</v>
      </c>
      <c r="C16" s="1">
        <v>2019</v>
      </c>
      <c r="D16" s="2">
        <f>215459*1000000</f>
        <v>215459000000</v>
      </c>
      <c r="E16" s="2">
        <v>453147999966</v>
      </c>
      <c r="F16" s="2">
        <f t="shared" si="0"/>
        <v>-237688999966</v>
      </c>
      <c r="G16" s="2">
        <f>1168956*1000000</f>
        <v>1168956000000</v>
      </c>
      <c r="H16" s="24">
        <f t="shared" si="1"/>
        <v>-0.20333442829841328</v>
      </c>
    </row>
    <row r="17" spans="1:8" ht="15.75" x14ac:dyDescent="0.25">
      <c r="A17" s="49"/>
      <c r="B17" s="52"/>
      <c r="C17" s="1">
        <v>2020</v>
      </c>
      <c r="D17" s="2">
        <v>181813000000</v>
      </c>
      <c r="E17" s="2">
        <v>171295450196</v>
      </c>
      <c r="F17" s="2">
        <f t="shared" si="0"/>
        <v>10517549804</v>
      </c>
      <c r="G17" s="2">
        <f>1393080*1000000</f>
        <v>1393080000000</v>
      </c>
      <c r="H17" s="24">
        <f t="shared" si="1"/>
        <v>7.5498534211961982E-3</v>
      </c>
    </row>
    <row r="18" spans="1:8" ht="15.75" x14ac:dyDescent="0.25">
      <c r="A18" s="49"/>
      <c r="B18" s="52"/>
      <c r="C18" s="1">
        <v>2021</v>
      </c>
      <c r="D18" s="2">
        <v>187067000000</v>
      </c>
      <c r="E18" s="2">
        <v>-91481686113</v>
      </c>
      <c r="F18" s="2">
        <f t="shared" si="0"/>
        <v>278548686113</v>
      </c>
      <c r="G18" s="2">
        <f>1566674*1000000</f>
        <v>1566674000000</v>
      </c>
      <c r="H18" s="24">
        <f t="shared" si="1"/>
        <v>0.17779620145161024</v>
      </c>
    </row>
    <row r="19" spans="1:8" ht="15.75" x14ac:dyDescent="0.25">
      <c r="A19" s="50"/>
      <c r="B19" s="53"/>
      <c r="C19" s="1">
        <v>2022</v>
      </c>
      <c r="D19" s="2">
        <f>220705*1000000</f>
        <v>220705000000</v>
      </c>
      <c r="E19" s="2">
        <v>11867530566</v>
      </c>
      <c r="F19" s="2">
        <f t="shared" si="0"/>
        <v>208837469434</v>
      </c>
      <c r="G19" s="2">
        <f>1697387*1000000</f>
        <v>1697387000000</v>
      </c>
      <c r="H19" s="24">
        <f t="shared" si="1"/>
        <v>0.12303468179855272</v>
      </c>
    </row>
    <row r="20" spans="1:8" ht="15.75" x14ac:dyDescent="0.25">
      <c r="A20" s="48">
        <v>7</v>
      </c>
      <c r="B20" s="51" t="s">
        <v>11</v>
      </c>
      <c r="C20" s="1">
        <v>2019</v>
      </c>
      <c r="D20" s="2">
        <f>130756*1000000</f>
        <v>130756000000</v>
      </c>
      <c r="E20" s="2">
        <v>210065429291</v>
      </c>
      <c r="F20" s="2">
        <f t="shared" si="0"/>
        <v>-79309429291</v>
      </c>
      <c r="G20" s="2">
        <f>833934*1000000</f>
        <v>833934000000</v>
      </c>
      <c r="H20" s="24">
        <f t="shared" si="1"/>
        <v>-9.5102765076133119E-2</v>
      </c>
    </row>
    <row r="21" spans="1:8" ht="15.75" x14ac:dyDescent="0.25">
      <c r="A21" s="49"/>
      <c r="B21" s="52"/>
      <c r="C21" s="1">
        <v>2020</v>
      </c>
      <c r="D21" s="2">
        <f>132772*1000000</f>
        <v>132772000000</v>
      </c>
      <c r="E21" s="2">
        <v>226926314731</v>
      </c>
      <c r="F21" s="2">
        <f t="shared" si="0"/>
        <v>-94154314731</v>
      </c>
      <c r="G21" s="2">
        <f>124144*1000000</f>
        <v>124144000000</v>
      </c>
      <c r="H21" s="24">
        <f t="shared" si="1"/>
        <v>-0.75842823439715168</v>
      </c>
    </row>
    <row r="22" spans="1:8" ht="15.75" x14ac:dyDescent="0.25">
      <c r="A22" s="49"/>
      <c r="B22" s="52"/>
      <c r="C22" s="1">
        <v>2021</v>
      </c>
      <c r="D22" s="2">
        <f>180712*1000000</f>
        <v>180712000000</v>
      </c>
      <c r="E22" s="2">
        <v>232746845618</v>
      </c>
      <c r="F22" s="2">
        <f t="shared" si="0"/>
        <v>-52034845618</v>
      </c>
      <c r="G22" s="2">
        <f>1310940*1000000</f>
        <v>1310940000000</v>
      </c>
      <c r="H22" s="24">
        <f t="shared" si="1"/>
        <v>-3.9692774358857007E-2</v>
      </c>
    </row>
    <row r="23" spans="1:8" ht="15.75" x14ac:dyDescent="0.25">
      <c r="A23" s="50"/>
      <c r="B23" s="53"/>
      <c r="C23" s="1">
        <v>2022</v>
      </c>
      <c r="D23" s="2">
        <f>195559*1000000</f>
        <v>195559000000</v>
      </c>
      <c r="E23" s="2">
        <v>190077226164</v>
      </c>
      <c r="F23" s="2">
        <f t="shared" si="0"/>
        <v>5481773836</v>
      </c>
      <c r="G23" s="2">
        <f>1348181*1000000</f>
        <v>1348181000000</v>
      </c>
      <c r="H23" s="24">
        <f t="shared" si="1"/>
        <v>4.0660518402202668E-3</v>
      </c>
    </row>
    <row r="24" spans="1:8" ht="15.75" x14ac:dyDescent="0.25">
      <c r="A24" s="48">
        <v>8</v>
      </c>
      <c r="B24" s="51" t="s">
        <v>12</v>
      </c>
      <c r="C24" s="1">
        <v>2019</v>
      </c>
      <c r="D24" s="2">
        <v>108005000000</v>
      </c>
      <c r="E24" s="2">
        <v>83527000000</v>
      </c>
      <c r="F24" s="2">
        <f t="shared" si="0"/>
        <v>24478000000</v>
      </c>
      <c r="G24" s="2">
        <v>952367000000</v>
      </c>
      <c r="H24" s="24">
        <f t="shared" ref="H24:H55" si="2">F24/G24</f>
        <v>2.5702276538351287E-2</v>
      </c>
    </row>
    <row r="25" spans="1:8" ht="15.75" x14ac:dyDescent="0.25">
      <c r="A25" s="49"/>
      <c r="B25" s="52"/>
      <c r="C25" s="1">
        <v>2020</v>
      </c>
      <c r="D25" s="2">
        <v>177007000000</v>
      </c>
      <c r="E25" s="2">
        <f>198885*1000000</f>
        <v>198885000000</v>
      </c>
      <c r="F25" s="2">
        <f t="shared" si="0"/>
        <v>-21878000000</v>
      </c>
      <c r="G25" s="2">
        <f>815291*1000000</f>
        <v>815291000000</v>
      </c>
      <c r="H25" s="24">
        <f t="shared" si="2"/>
        <v>-2.6834590348722112E-2</v>
      </c>
    </row>
    <row r="26" spans="1:8" ht="15.75" x14ac:dyDescent="0.25">
      <c r="A26" s="49"/>
      <c r="B26" s="52"/>
      <c r="C26" s="1">
        <v>2021</v>
      </c>
      <c r="D26" s="2">
        <v>790229000000</v>
      </c>
      <c r="E26" s="2">
        <f>725649*1000000</f>
        <v>725649000000</v>
      </c>
      <c r="F26" s="2">
        <f t="shared" si="0"/>
        <v>64580000000</v>
      </c>
      <c r="G26" s="2">
        <f>1086782*1000000</f>
        <v>1086782000000</v>
      </c>
      <c r="H26" s="24">
        <f t="shared" si="2"/>
        <v>5.9423140979515669E-2</v>
      </c>
    </row>
    <row r="27" spans="1:8" ht="15.75" x14ac:dyDescent="0.25">
      <c r="A27" s="50"/>
      <c r="B27" s="53"/>
      <c r="C27" s="1">
        <v>2022</v>
      </c>
      <c r="D27" s="2">
        <f>1060582*1000000</f>
        <v>1060582000000</v>
      </c>
      <c r="E27" s="2">
        <f>485962*1000000</f>
        <v>485962000000</v>
      </c>
      <c r="F27" s="2">
        <f t="shared" si="0"/>
        <v>574620000000</v>
      </c>
      <c r="G27" s="2">
        <f>5603779*1000000</f>
        <v>5603779000000</v>
      </c>
      <c r="H27" s="24">
        <f t="shared" si="2"/>
        <v>0.10254151707267542</v>
      </c>
    </row>
    <row r="28" spans="1:8" ht="15.75" x14ac:dyDescent="0.25">
      <c r="A28" s="48">
        <v>9</v>
      </c>
      <c r="B28" s="51" t="s">
        <v>13</v>
      </c>
      <c r="C28" s="1">
        <v>2019</v>
      </c>
      <c r="D28" s="2">
        <v>7957208221</v>
      </c>
      <c r="E28" s="2">
        <v>-9593332513</v>
      </c>
      <c r="F28" s="2">
        <f t="shared" ref="F28:F59" si="3">D28-E28</f>
        <v>17550540734</v>
      </c>
      <c r="G28" s="2">
        <v>162749739566</v>
      </c>
      <c r="H28" s="24">
        <f t="shared" si="2"/>
        <v>0.10783759642750591</v>
      </c>
    </row>
    <row r="29" spans="1:8" ht="15.75" x14ac:dyDescent="0.25">
      <c r="A29" s="49"/>
      <c r="B29" s="52"/>
      <c r="C29" s="1">
        <v>2020</v>
      </c>
      <c r="D29" s="2">
        <v>2738128648</v>
      </c>
      <c r="E29" s="2">
        <v>-32719704184</v>
      </c>
      <c r="F29" s="2">
        <f t="shared" si="3"/>
        <v>35457832832</v>
      </c>
      <c r="G29" s="2">
        <v>250442587742</v>
      </c>
      <c r="H29" s="24">
        <f t="shared" si="2"/>
        <v>0.14158068382733618</v>
      </c>
    </row>
    <row r="30" spans="1:8" ht="15.75" x14ac:dyDescent="0.25">
      <c r="A30" s="49"/>
      <c r="B30" s="52"/>
      <c r="C30" s="1">
        <v>2021</v>
      </c>
      <c r="D30" s="2">
        <v>8532631708</v>
      </c>
      <c r="E30" s="2">
        <v>-26103284502</v>
      </c>
      <c r="F30" s="2">
        <f t="shared" si="3"/>
        <v>34635916210</v>
      </c>
      <c r="G30" s="2">
        <v>263754414443</v>
      </c>
      <c r="H30" s="24">
        <f t="shared" si="2"/>
        <v>0.13131881141456753</v>
      </c>
    </row>
    <row r="31" spans="1:8" ht="15.75" x14ac:dyDescent="0.25">
      <c r="A31" s="50"/>
      <c r="B31" s="53"/>
      <c r="C31" s="1">
        <v>2022</v>
      </c>
      <c r="D31" s="2">
        <v>6620432696</v>
      </c>
      <c r="E31" s="2">
        <v>-77748378471</v>
      </c>
      <c r="F31" s="2">
        <f t="shared" si="3"/>
        <v>84368811167</v>
      </c>
      <c r="G31" s="2">
        <v>370684311428</v>
      </c>
      <c r="H31" s="24">
        <f t="shared" si="2"/>
        <v>0.22760286466395924</v>
      </c>
    </row>
    <row r="32" spans="1:8" ht="15.75" x14ac:dyDescent="0.25">
      <c r="A32" s="48">
        <v>10</v>
      </c>
      <c r="B32" s="51" t="s">
        <v>14</v>
      </c>
      <c r="C32" s="1">
        <v>2019</v>
      </c>
      <c r="D32" s="2">
        <f>317900*1000000</f>
        <v>317900000000</v>
      </c>
      <c r="E32" s="2">
        <f>274365*1000000</f>
        <v>274365000000</v>
      </c>
      <c r="F32" s="2">
        <f t="shared" si="3"/>
        <v>43535000000</v>
      </c>
      <c r="G32" s="2">
        <f>1523517*1000000</f>
        <v>1523517000000</v>
      </c>
      <c r="H32" s="24">
        <f t="shared" si="2"/>
        <v>2.8575329320250448E-2</v>
      </c>
    </row>
    <row r="33" spans="1:8" ht="15.75" x14ac:dyDescent="0.25">
      <c r="A33" s="49"/>
      <c r="B33" s="52"/>
      <c r="C33" s="1">
        <v>2020</v>
      </c>
      <c r="D33" s="2">
        <f>124038*1000000</f>
        <v>124038000000</v>
      </c>
      <c r="E33" s="2">
        <f>246906*1000000</f>
        <v>246906000000</v>
      </c>
      <c r="F33" s="2">
        <f t="shared" si="3"/>
        <v>-122868000000</v>
      </c>
      <c r="G33" s="2">
        <f>1425984*1000000</f>
        <v>1425984000000</v>
      </c>
      <c r="H33" s="24">
        <f t="shared" si="2"/>
        <v>-8.6163659620304298E-2</v>
      </c>
    </row>
    <row r="34" spans="1:8" ht="15.75" x14ac:dyDescent="0.25">
      <c r="A34" s="49"/>
      <c r="B34" s="52"/>
      <c r="C34" s="1">
        <v>2021</v>
      </c>
      <c r="D34" s="2">
        <f>187993*1000000</f>
        <v>187993000000</v>
      </c>
      <c r="E34" s="2">
        <f>335399*1000000</f>
        <v>335399000000</v>
      </c>
      <c r="F34" s="2">
        <f t="shared" si="3"/>
        <v>-147406000000</v>
      </c>
      <c r="G34" s="2">
        <f>1225581*1000000</f>
        <v>1225581000000</v>
      </c>
      <c r="H34" s="24">
        <f t="shared" si="2"/>
        <v>-0.12027438414923208</v>
      </c>
    </row>
    <row r="35" spans="1:8" ht="15.75" x14ac:dyDescent="0.25">
      <c r="A35" s="50"/>
      <c r="B35" s="53"/>
      <c r="C35" s="1">
        <v>2022</v>
      </c>
      <c r="D35" s="2">
        <f>230066*1000000</f>
        <v>230066000000</v>
      </c>
      <c r="E35" s="2">
        <f>196829*1000000</f>
        <v>196829000000</v>
      </c>
      <c r="F35" s="2">
        <f t="shared" si="3"/>
        <v>33237000000</v>
      </c>
      <c r="G35" s="2">
        <f>1308722*1000000</f>
        <v>1308722000000</v>
      </c>
      <c r="H35" s="24">
        <f t="shared" si="2"/>
        <v>2.5396531883776691E-2</v>
      </c>
    </row>
    <row r="36" spans="1:8" ht="15.75" x14ac:dyDescent="0.25">
      <c r="A36" s="48">
        <v>11</v>
      </c>
      <c r="B36" s="51" t="s">
        <v>15</v>
      </c>
      <c r="C36" s="1">
        <v>2019</v>
      </c>
      <c r="D36" s="2">
        <f>366863*1000000</f>
        <v>366863000000</v>
      </c>
      <c r="E36" s="2">
        <f>433254*1000000</f>
        <v>433254000000</v>
      </c>
      <c r="F36" s="2">
        <f t="shared" si="3"/>
        <v>-66391000000</v>
      </c>
      <c r="G36" s="2">
        <f>4213314*1000000</f>
        <v>4213314000000</v>
      </c>
      <c r="H36" s="24">
        <f t="shared" si="2"/>
        <v>-1.5757429899599221E-2</v>
      </c>
    </row>
    <row r="37" spans="1:8" ht="15.75" x14ac:dyDescent="0.25">
      <c r="A37" s="49"/>
      <c r="B37" s="52"/>
      <c r="C37" s="1">
        <v>2020</v>
      </c>
      <c r="D37" s="2">
        <f>205589*1000000</f>
        <v>205589000000</v>
      </c>
      <c r="E37" s="2">
        <f>523739*1000000</f>
        <v>523739000000</v>
      </c>
      <c r="F37" s="2">
        <f t="shared" si="3"/>
        <v>-318150000000</v>
      </c>
      <c r="G37" s="2">
        <f>5570651*1000000</f>
        <v>5570651000000</v>
      </c>
      <c r="H37" s="24">
        <f t="shared" si="2"/>
        <v>-5.7111816913319464E-2</v>
      </c>
    </row>
    <row r="38" spans="1:8" ht="15.75" x14ac:dyDescent="0.25">
      <c r="A38" s="49"/>
      <c r="B38" s="52"/>
      <c r="C38" s="1">
        <v>2021</v>
      </c>
      <c r="D38" s="2">
        <f>351470*1000000</f>
        <v>351470000000</v>
      </c>
      <c r="E38" s="2">
        <f>570500*1000000</f>
        <v>570500000000</v>
      </c>
      <c r="F38" s="2">
        <f t="shared" si="3"/>
        <v>-219030000000</v>
      </c>
      <c r="G38" s="2">
        <f>5680638*1000000</f>
        <v>5680638000000</v>
      </c>
      <c r="H38" s="24">
        <f t="shared" si="2"/>
        <v>-3.855728881157363E-2</v>
      </c>
    </row>
    <row r="39" spans="1:8" ht="15.75" x14ac:dyDescent="0.25">
      <c r="A39" s="50"/>
      <c r="B39" s="53"/>
      <c r="C39" s="1">
        <v>2022</v>
      </c>
      <c r="D39" s="2">
        <f>382105*1000000</f>
        <v>382105000000</v>
      </c>
      <c r="E39" s="2">
        <f>-99776*1000000</f>
        <v>-99776000000</v>
      </c>
      <c r="F39" s="2">
        <f t="shared" si="3"/>
        <v>481881000000</v>
      </c>
      <c r="G39" s="2">
        <f>6297287*1000000</f>
        <v>6297287000000</v>
      </c>
      <c r="H39" s="24">
        <f t="shared" si="2"/>
        <v>7.6522000664730694E-2</v>
      </c>
    </row>
    <row r="40" spans="1:8" ht="15.75" x14ac:dyDescent="0.25">
      <c r="A40" s="48">
        <v>12</v>
      </c>
      <c r="B40" s="51" t="s">
        <v>16</v>
      </c>
      <c r="C40" s="1">
        <v>2019</v>
      </c>
      <c r="D40" s="2">
        <f>-2343.1*1000000000</f>
        <v>-2343100000000</v>
      </c>
      <c r="E40" s="2">
        <f>-1602098413*1000</f>
        <v>-1602098413000</v>
      </c>
      <c r="F40" s="2">
        <f t="shared" si="3"/>
        <v>-741001587000</v>
      </c>
      <c r="G40" s="2">
        <f>19525.4*1000000000</f>
        <v>19525400000000</v>
      </c>
      <c r="H40" s="24">
        <f t="shared" si="2"/>
        <v>-3.7950648232558615E-2</v>
      </c>
    </row>
    <row r="41" spans="1:8" ht="15.75" x14ac:dyDescent="0.25">
      <c r="A41" s="49"/>
      <c r="B41" s="52"/>
      <c r="C41" s="1">
        <v>2020</v>
      </c>
      <c r="D41" s="2">
        <f>1717.4*1000000000</f>
        <v>1717400000000</v>
      </c>
      <c r="E41" s="2">
        <f>1812827233*1000</f>
        <v>1812827233000</v>
      </c>
      <c r="F41" s="2">
        <f t="shared" si="3"/>
        <v>-95427233000</v>
      </c>
      <c r="G41" s="2">
        <f>17540.6*1000000000</f>
        <v>17540599999999.998</v>
      </c>
      <c r="H41" s="24">
        <f t="shared" si="2"/>
        <v>-5.4403631004640669E-3</v>
      </c>
    </row>
    <row r="42" spans="1:8" ht="15.75" x14ac:dyDescent="0.25">
      <c r="A42" s="49"/>
      <c r="B42" s="52"/>
      <c r="C42" s="1">
        <v>2021</v>
      </c>
      <c r="D42" s="2">
        <f>6019.9*1000000000</f>
        <v>6019900000000</v>
      </c>
      <c r="E42" s="2">
        <f>1606868880*1000</f>
        <v>1606868880000</v>
      </c>
      <c r="F42" s="2">
        <f t="shared" si="3"/>
        <v>4413031120000</v>
      </c>
      <c r="G42" s="2">
        <f>17884.1*1000000000</f>
        <v>17884100000000</v>
      </c>
      <c r="H42" s="24">
        <f t="shared" si="2"/>
        <v>0.24675723799352497</v>
      </c>
    </row>
    <row r="43" spans="1:8" ht="15.75" x14ac:dyDescent="0.25">
      <c r="A43" s="50"/>
      <c r="B43" s="53"/>
      <c r="C43" s="1">
        <v>2022</v>
      </c>
      <c r="D43" s="2">
        <f>5462.1*1000000000</f>
        <v>5462100000000</v>
      </c>
      <c r="E43" s="2">
        <f>-810999249*1000</f>
        <v>-810999249000</v>
      </c>
      <c r="F43" s="2">
        <f t="shared" si="3"/>
        <v>6273099249000</v>
      </c>
      <c r="G43" s="2">
        <f>38168.5*1000000000</f>
        <v>38168500000000</v>
      </c>
      <c r="H43" s="24">
        <f t="shared" si="2"/>
        <v>0.16435278433787023</v>
      </c>
    </row>
    <row r="44" spans="1:8" ht="15.75" x14ac:dyDescent="0.25">
      <c r="A44" s="48">
        <v>13</v>
      </c>
      <c r="B44" s="51" t="s">
        <v>17</v>
      </c>
      <c r="C44" s="1">
        <v>2019</v>
      </c>
      <c r="D44" s="2">
        <f>1828*1000000</f>
        <v>1828000000</v>
      </c>
      <c r="E44" s="2">
        <v>-1076283500</v>
      </c>
      <c r="F44" s="2">
        <f t="shared" si="3"/>
        <v>2904283500</v>
      </c>
      <c r="G44" s="2">
        <f>126698*1000000</f>
        <v>126698000000</v>
      </c>
      <c r="H44" s="24">
        <f t="shared" si="2"/>
        <v>2.2922883549858719E-2</v>
      </c>
    </row>
    <row r="45" spans="1:8" ht="15.75" x14ac:dyDescent="0.25">
      <c r="A45" s="49"/>
      <c r="B45" s="52"/>
      <c r="C45" s="1">
        <v>2020</v>
      </c>
      <c r="D45" s="2">
        <f>-17389*1000000</f>
        <v>-17389000000</v>
      </c>
      <c r="E45" s="2">
        <v>-847378589</v>
      </c>
      <c r="F45" s="2">
        <f t="shared" si="3"/>
        <v>-16541621411</v>
      </c>
      <c r="G45" s="2">
        <f>102297*1000000</f>
        <v>102297000000</v>
      </c>
      <c r="H45" s="24">
        <f t="shared" si="2"/>
        <v>-0.16170192098497513</v>
      </c>
    </row>
    <row r="46" spans="1:8" ht="15.75" x14ac:dyDescent="0.25">
      <c r="A46" s="49"/>
      <c r="B46" s="52"/>
      <c r="C46" s="1">
        <v>2021</v>
      </c>
      <c r="D46" s="2">
        <f>-14659*1000000</f>
        <v>-14659000000</v>
      </c>
      <c r="E46" s="2">
        <v>-6942843388</v>
      </c>
      <c r="F46" s="2">
        <f t="shared" si="3"/>
        <v>-7716156612</v>
      </c>
      <c r="G46" s="2">
        <f>106495*1000000</f>
        <v>106495000000</v>
      </c>
      <c r="H46" s="24">
        <f t="shared" si="2"/>
        <v>-7.2455576430818347E-2</v>
      </c>
    </row>
    <row r="47" spans="1:8" ht="15.75" x14ac:dyDescent="0.25">
      <c r="A47" s="50"/>
      <c r="B47" s="53"/>
      <c r="C47" s="1">
        <v>2022</v>
      </c>
      <c r="D47" s="2">
        <f>-22068*1000000</f>
        <v>-22068000000</v>
      </c>
      <c r="E47" s="2">
        <v>-9710407546</v>
      </c>
      <c r="F47" s="2">
        <f t="shared" si="3"/>
        <v>-12357592454</v>
      </c>
      <c r="G47" s="2">
        <f>113192*1000000</f>
        <v>113192000000</v>
      </c>
      <c r="H47" s="24">
        <f t="shared" si="2"/>
        <v>-0.1091737265354442</v>
      </c>
    </row>
    <row r="48" spans="1:8" ht="15.75" x14ac:dyDescent="0.25">
      <c r="A48" s="48">
        <v>14</v>
      </c>
      <c r="B48" s="51" t="s">
        <v>18</v>
      </c>
      <c r="C48" s="1">
        <v>2019</v>
      </c>
      <c r="D48" s="2">
        <v>436000000000</v>
      </c>
      <c r="E48" s="2">
        <f>475*1000000000</f>
        <v>475000000000</v>
      </c>
      <c r="F48" s="2">
        <f t="shared" si="3"/>
        <v>-39000000000</v>
      </c>
      <c r="G48" s="2">
        <f>4212.41*1000000000</f>
        <v>4212410000000</v>
      </c>
      <c r="H48" s="24">
        <f t="shared" si="2"/>
        <v>-9.2583580420709279E-3</v>
      </c>
    </row>
    <row r="49" spans="1:8" ht="15.75" x14ac:dyDescent="0.25">
      <c r="A49" s="49"/>
      <c r="B49" s="52"/>
      <c r="C49" s="1">
        <v>2020</v>
      </c>
      <c r="D49" s="2">
        <v>245000000000</v>
      </c>
      <c r="E49" s="2">
        <f>874*1000000000</f>
        <v>874000000000</v>
      </c>
      <c r="F49" s="2">
        <f t="shared" si="3"/>
        <v>-629000000000</v>
      </c>
      <c r="G49" s="2">
        <f>5063*1000000000</f>
        <v>5063000000000</v>
      </c>
      <c r="H49" s="24">
        <f t="shared" si="2"/>
        <v>-0.12423464349200079</v>
      </c>
    </row>
    <row r="50" spans="1:8" ht="15.75" x14ac:dyDescent="0.25">
      <c r="A50" s="49"/>
      <c r="B50" s="52"/>
      <c r="C50" s="1">
        <v>2021</v>
      </c>
      <c r="D50" s="2">
        <v>493000000000</v>
      </c>
      <c r="E50" s="2">
        <f>710*1000000000</f>
        <v>710000000000</v>
      </c>
      <c r="F50" s="2">
        <f t="shared" si="3"/>
        <v>-217000000000</v>
      </c>
      <c r="G50" s="2">
        <f>6571*1000000000</f>
        <v>6571000000000</v>
      </c>
      <c r="H50" s="24">
        <f t="shared" si="2"/>
        <v>-3.3023892862577994E-2</v>
      </c>
    </row>
    <row r="51" spans="1:8" ht="15.75" x14ac:dyDescent="0.25">
      <c r="A51" s="50"/>
      <c r="B51" s="53"/>
      <c r="C51" s="1">
        <v>2022</v>
      </c>
      <c r="D51" s="2">
        <v>522000000000</v>
      </c>
      <c r="E51" s="2">
        <f>622*1000000000</f>
        <v>622000000000</v>
      </c>
      <c r="F51" s="2">
        <f t="shared" si="3"/>
        <v>-100000000000</v>
      </c>
      <c r="G51" s="2">
        <f>6767*1000000000</f>
        <v>6767000000000</v>
      </c>
      <c r="H51" s="24">
        <f t="shared" si="2"/>
        <v>-1.4777597162701345E-2</v>
      </c>
    </row>
    <row r="52" spans="1:8" ht="15.75" x14ac:dyDescent="0.25">
      <c r="A52" s="48">
        <v>15</v>
      </c>
      <c r="B52" s="51" t="s">
        <v>19</v>
      </c>
      <c r="C52" s="1">
        <v>2019</v>
      </c>
      <c r="D52" s="2">
        <v>103723133280</v>
      </c>
      <c r="E52" s="2">
        <v>105224199992</v>
      </c>
      <c r="F52" s="2">
        <f t="shared" si="3"/>
        <v>-1501066712</v>
      </c>
      <c r="G52" s="2">
        <v>758846556031</v>
      </c>
      <c r="H52" s="24">
        <f t="shared" si="2"/>
        <v>-1.9780899050936447E-3</v>
      </c>
    </row>
    <row r="53" spans="1:8" ht="15.75" x14ac:dyDescent="0.25">
      <c r="A53" s="49"/>
      <c r="B53" s="52"/>
      <c r="C53" s="1">
        <v>2020</v>
      </c>
      <c r="D53" s="2">
        <v>38038419405</v>
      </c>
      <c r="E53" s="2">
        <v>78181287748</v>
      </c>
      <c r="F53" s="2">
        <f t="shared" si="3"/>
        <v>-40142868343</v>
      </c>
      <c r="G53" s="2">
        <v>848676035300</v>
      </c>
      <c r="H53" s="24">
        <f t="shared" si="2"/>
        <v>-4.7300579577235061E-2</v>
      </c>
    </row>
    <row r="54" spans="1:8" ht="15.75" x14ac:dyDescent="0.25">
      <c r="A54" s="49"/>
      <c r="B54" s="52"/>
      <c r="C54" s="1">
        <v>2021</v>
      </c>
      <c r="D54" s="2">
        <v>12533087704</v>
      </c>
      <c r="E54" s="2">
        <v>13844364441</v>
      </c>
      <c r="F54" s="2">
        <f t="shared" si="3"/>
        <v>-1311276737</v>
      </c>
      <c r="G54" s="2">
        <v>906924214166</v>
      </c>
      <c r="H54" s="24">
        <f t="shared" si="2"/>
        <v>-1.4458503990940844E-3</v>
      </c>
    </row>
    <row r="55" spans="1:8" ht="15.75" x14ac:dyDescent="0.25">
      <c r="A55" s="50"/>
      <c r="B55" s="53"/>
      <c r="C55" s="1">
        <v>2022</v>
      </c>
      <c r="D55" s="2">
        <v>90572477</v>
      </c>
      <c r="E55" s="2">
        <v>208500977805</v>
      </c>
      <c r="F55" s="2">
        <f t="shared" si="3"/>
        <v>-208410405328</v>
      </c>
      <c r="G55" s="2">
        <v>987563580363</v>
      </c>
      <c r="H55" s="24">
        <f t="shared" si="2"/>
        <v>-0.21103492420345668</v>
      </c>
    </row>
    <row r="56" spans="1:8" ht="15.75" x14ac:dyDescent="0.25">
      <c r="A56" s="48">
        <v>16</v>
      </c>
      <c r="B56" s="51" t="s">
        <v>20</v>
      </c>
      <c r="C56" s="1">
        <v>2019</v>
      </c>
      <c r="D56" s="2">
        <f>5360*1000000000</f>
        <v>5360000000000</v>
      </c>
      <c r="E56" s="2">
        <f>7398161*1000000</f>
        <v>7398161000000</v>
      </c>
      <c r="F56" s="2">
        <f t="shared" si="3"/>
        <v>-2038161000000</v>
      </c>
      <c r="G56" s="2">
        <f>34367.3*1000000000</f>
        <v>34367300000000.004</v>
      </c>
      <c r="H56" s="24">
        <f t="shared" ref="H56:H87" si="4">F56/G56</f>
        <v>-5.9305240737561569E-2</v>
      </c>
    </row>
    <row r="57" spans="1:8" ht="15.75" x14ac:dyDescent="0.25">
      <c r="A57" s="49"/>
      <c r="B57" s="52"/>
      <c r="C57" s="1">
        <v>2020</v>
      </c>
      <c r="D57" s="2">
        <f>7418.6*1000000000</f>
        <v>7418600000000</v>
      </c>
      <c r="E57" s="2">
        <f>9336780*1000000</f>
        <v>9336780000000</v>
      </c>
      <c r="F57" s="2">
        <f t="shared" si="3"/>
        <v>-1918180000000</v>
      </c>
      <c r="G57" s="2">
        <f>38709.3*1000000000</f>
        <v>38709300000000</v>
      </c>
      <c r="H57" s="24">
        <f t="shared" si="4"/>
        <v>-4.9553466479631512E-2</v>
      </c>
    </row>
    <row r="58" spans="1:8" ht="15.75" x14ac:dyDescent="0.25">
      <c r="A58" s="49"/>
      <c r="B58" s="52"/>
      <c r="C58" s="1">
        <v>2021</v>
      </c>
      <c r="D58" s="2">
        <f>7911.9*1000000000</f>
        <v>7911900000000</v>
      </c>
      <c r="E58" s="2">
        <f>7989039*1000000</f>
        <v>7989039000000</v>
      </c>
      <c r="F58" s="2">
        <f t="shared" si="3"/>
        <v>-77139000000</v>
      </c>
      <c r="G58" s="2">
        <f>103502.6*1000000000</f>
        <v>103502600000000</v>
      </c>
      <c r="H58" s="24">
        <f t="shared" si="4"/>
        <v>-7.4528562567510379E-4</v>
      </c>
    </row>
    <row r="59" spans="1:8" ht="15.75" x14ac:dyDescent="0.25">
      <c r="A59" s="50"/>
      <c r="B59" s="53"/>
      <c r="C59" s="1">
        <v>2022</v>
      </c>
      <c r="D59" s="2">
        <f>5722.2*1000000000</f>
        <v>5722200000000</v>
      </c>
      <c r="E59" s="2">
        <f>8804494*1000000</f>
        <v>8804494000000</v>
      </c>
      <c r="F59" s="2">
        <f t="shared" si="3"/>
        <v>-3082294000000</v>
      </c>
      <c r="G59" s="2">
        <f>118015.3*1000000000</f>
        <v>118015300000000</v>
      </c>
      <c r="H59" s="24">
        <f t="shared" si="4"/>
        <v>-2.6117749139306513E-2</v>
      </c>
    </row>
    <row r="60" spans="1:8" ht="15.75" x14ac:dyDescent="0.25">
      <c r="A60" s="48">
        <v>17</v>
      </c>
      <c r="B60" s="51" t="s">
        <v>21</v>
      </c>
      <c r="C60" s="1">
        <v>2019</v>
      </c>
      <c r="D60" s="2">
        <f>85544*1000000</f>
        <v>85544000000</v>
      </c>
      <c r="E60" s="2">
        <v>624782809</v>
      </c>
      <c r="F60" s="2">
        <f t="shared" ref="F60:F91" si="5">D60-E60</f>
        <v>84919217191</v>
      </c>
      <c r="G60" s="2">
        <f>298091*1000000</f>
        <v>298091000000</v>
      </c>
      <c r="H60" s="24">
        <f t="shared" si="4"/>
        <v>0.28487682349014226</v>
      </c>
    </row>
    <row r="61" spans="1:8" ht="15.75" x14ac:dyDescent="0.25">
      <c r="A61" s="49"/>
      <c r="B61" s="52"/>
      <c r="C61" s="1">
        <v>2020</v>
      </c>
      <c r="D61" s="2">
        <f>-41519*1000000</f>
        <v>-41519000000</v>
      </c>
      <c r="E61" s="2">
        <v>511826630</v>
      </c>
      <c r="F61" s="2">
        <f t="shared" si="5"/>
        <v>-42030826630</v>
      </c>
      <c r="G61" s="2">
        <v>384481206140</v>
      </c>
      <c r="H61" s="24">
        <f t="shared" si="4"/>
        <v>-0.10931828645662187</v>
      </c>
    </row>
    <row r="62" spans="1:8" ht="15.75" x14ac:dyDescent="0.25">
      <c r="A62" s="49"/>
      <c r="B62" s="52"/>
      <c r="C62" s="1">
        <v>2021</v>
      </c>
      <c r="D62" s="2">
        <f>-43767*1000000</f>
        <v>-43767000000</v>
      </c>
      <c r="E62" s="2">
        <v>1566983551</v>
      </c>
      <c r="F62" s="2">
        <f t="shared" si="5"/>
        <v>-45333983551</v>
      </c>
      <c r="G62" s="2">
        <v>343139482249</v>
      </c>
      <c r="H62" s="24">
        <f t="shared" si="4"/>
        <v>-0.13211532305717966</v>
      </c>
    </row>
    <row r="63" spans="1:8" ht="15.75" x14ac:dyDescent="0.25">
      <c r="A63" s="50"/>
      <c r="B63" s="53"/>
      <c r="C63" s="1">
        <v>2022</v>
      </c>
      <c r="D63" s="2">
        <v>-48105040530</v>
      </c>
      <c r="E63" s="2">
        <v>-2565050172</v>
      </c>
      <c r="F63" s="2">
        <f t="shared" si="5"/>
        <v>-45539990358</v>
      </c>
      <c r="G63" s="2">
        <v>299295229177</v>
      </c>
      <c r="H63" s="24">
        <f t="shared" si="4"/>
        <v>-0.15215742156407089</v>
      </c>
    </row>
    <row r="64" spans="1:8" ht="15.75" x14ac:dyDescent="0.25">
      <c r="A64" s="48">
        <v>18</v>
      </c>
      <c r="B64" s="51" t="s">
        <v>22</v>
      </c>
      <c r="C64" s="1">
        <v>2019</v>
      </c>
      <c r="D64" s="4">
        <v>4694444802</v>
      </c>
      <c r="E64" s="2">
        <v>1289423927</v>
      </c>
      <c r="F64" s="2">
        <f t="shared" si="5"/>
        <v>3405020875</v>
      </c>
      <c r="G64" s="2">
        <v>81315831386</v>
      </c>
      <c r="H64" s="24">
        <f t="shared" si="4"/>
        <v>4.1874021539995428E-2</v>
      </c>
    </row>
    <row r="65" spans="1:8" ht="15.75" x14ac:dyDescent="0.25">
      <c r="A65" s="49"/>
      <c r="B65" s="52"/>
      <c r="C65" s="1">
        <v>2020</v>
      </c>
      <c r="D65" s="4">
        <v>-1087117567</v>
      </c>
      <c r="E65" s="2">
        <v>-39547433819</v>
      </c>
      <c r="F65" s="2">
        <f t="shared" si="5"/>
        <v>38460316252</v>
      </c>
      <c r="G65" s="4">
        <v>95848982883</v>
      </c>
      <c r="H65" s="24">
        <f t="shared" si="4"/>
        <v>0.40125951361369544</v>
      </c>
    </row>
    <row r="66" spans="1:8" ht="15.75" x14ac:dyDescent="0.25">
      <c r="A66" s="49"/>
      <c r="B66" s="52"/>
      <c r="C66" s="1">
        <v>2021</v>
      </c>
      <c r="D66" s="4">
        <v>1599675921</v>
      </c>
      <c r="E66" s="2">
        <v>8025011161</v>
      </c>
      <c r="F66" s="2">
        <f t="shared" si="5"/>
        <v>-6425335240</v>
      </c>
      <c r="G66" s="2">
        <v>132538615751</v>
      </c>
      <c r="H66" s="24">
        <f t="shared" si="4"/>
        <v>-4.8478967458595333E-2</v>
      </c>
    </row>
    <row r="67" spans="1:8" ht="15.75" x14ac:dyDescent="0.25">
      <c r="A67" s="50"/>
      <c r="B67" s="53"/>
      <c r="C67" s="1">
        <v>2022</v>
      </c>
      <c r="D67" s="4">
        <v>2035931112</v>
      </c>
      <c r="E67" s="2">
        <v>7627218415</v>
      </c>
      <c r="F67" s="2">
        <f t="shared" si="5"/>
        <v>-5591287303</v>
      </c>
      <c r="G67" s="2">
        <v>129081871599</v>
      </c>
      <c r="H67" s="24">
        <f t="shared" si="4"/>
        <v>-4.3315821452989497E-2</v>
      </c>
    </row>
    <row r="68" spans="1:8" ht="15.75" x14ac:dyDescent="0.25">
      <c r="A68" s="48">
        <v>19</v>
      </c>
      <c r="B68" s="51" t="s">
        <v>23</v>
      </c>
      <c r="C68" s="1">
        <v>2019</v>
      </c>
      <c r="D68" s="2">
        <f>5902.7*1000000000</f>
        <v>5902700000000</v>
      </c>
      <c r="E68" s="2">
        <f>13344494*1000000</f>
        <v>13344494000000</v>
      </c>
      <c r="F68" s="2">
        <f t="shared" si="5"/>
        <v>-7441794000000</v>
      </c>
      <c r="G68" s="2">
        <f>96537.8*1000000000</f>
        <v>96537800000000</v>
      </c>
      <c r="H68" s="24">
        <f t="shared" si="4"/>
        <v>-7.7086840595082959E-2</v>
      </c>
    </row>
    <row r="69" spans="1:8" ht="15.75" x14ac:dyDescent="0.25">
      <c r="A69" s="49"/>
      <c r="B69" s="52"/>
      <c r="C69" s="1">
        <v>2020</v>
      </c>
      <c r="D69" s="2">
        <f>8752.1*1000000000</f>
        <v>8752100000000</v>
      </c>
      <c r="E69" s="2">
        <f>13855497*1000000</f>
        <v>13855497000000</v>
      </c>
      <c r="F69" s="2">
        <f t="shared" si="5"/>
        <v>-5103397000000</v>
      </c>
      <c r="G69" s="2">
        <f>96198.6*1000000000</f>
        <v>96198600000000</v>
      </c>
      <c r="H69" s="24">
        <f t="shared" si="4"/>
        <v>-5.3050636911555885E-2</v>
      </c>
    </row>
    <row r="70" spans="1:8" ht="15.75" x14ac:dyDescent="0.25">
      <c r="A70" s="49"/>
      <c r="B70" s="52"/>
      <c r="C70" s="1">
        <v>2021</v>
      </c>
      <c r="D70" s="2">
        <f>11229.7*1000000000</f>
        <v>11229700000000</v>
      </c>
      <c r="E70" s="2">
        <f>14692641*1000000</f>
        <v>14692641000000</v>
      </c>
      <c r="F70" s="2">
        <f t="shared" si="5"/>
        <v>-3462941000000</v>
      </c>
      <c r="G70" s="2">
        <f>163011.8*1000000000</f>
        <v>163011800000000</v>
      </c>
      <c r="H70" s="24">
        <f t="shared" si="4"/>
        <v>-2.1243498936886776E-2</v>
      </c>
    </row>
    <row r="71" spans="1:8" ht="15.75" x14ac:dyDescent="0.25">
      <c r="A71" s="50"/>
      <c r="B71" s="53"/>
      <c r="C71" s="1">
        <v>2022</v>
      </c>
      <c r="D71" s="2">
        <f>9192.9*1000000000</f>
        <v>9192900000000</v>
      </c>
      <c r="E71" s="2">
        <f>13587686*1000000</f>
        <v>13587686000000</v>
      </c>
      <c r="F71" s="2">
        <f t="shared" si="5"/>
        <v>-4394786000000</v>
      </c>
      <c r="G71" s="2">
        <f>179271.8*1000000000</f>
        <v>179271800000000</v>
      </c>
      <c r="H71" s="24">
        <f t="shared" si="4"/>
        <v>-2.4514653169098542E-2</v>
      </c>
    </row>
    <row r="72" spans="1:8" ht="15.75" x14ac:dyDescent="0.25">
      <c r="A72" s="48">
        <v>20</v>
      </c>
      <c r="B72" s="51" t="s">
        <v>24</v>
      </c>
      <c r="C72" s="1">
        <v>2019</v>
      </c>
      <c r="D72" s="2">
        <v>98047666143</v>
      </c>
      <c r="E72" s="2">
        <v>201156380130</v>
      </c>
      <c r="F72" s="2">
        <f t="shared" si="5"/>
        <v>-103108713987</v>
      </c>
      <c r="G72" s="2">
        <v>536474210503</v>
      </c>
      <c r="H72" s="24">
        <f t="shared" si="4"/>
        <v>-0.19219696300093331</v>
      </c>
    </row>
    <row r="73" spans="1:8" ht="15.75" x14ac:dyDescent="0.25">
      <c r="A73" s="49"/>
      <c r="B73" s="52"/>
      <c r="C73" s="1">
        <v>2020</v>
      </c>
      <c r="D73" s="2">
        <v>121000016429</v>
      </c>
      <c r="E73" s="2">
        <v>212500750913</v>
      </c>
      <c r="F73" s="2">
        <f t="shared" si="5"/>
        <v>-91500734484</v>
      </c>
      <c r="G73" s="2">
        <v>666313386673</v>
      </c>
      <c r="H73" s="24">
        <f t="shared" si="4"/>
        <v>-0.13732387239115296</v>
      </c>
    </row>
    <row r="74" spans="1:8" ht="15.75" x14ac:dyDescent="0.25">
      <c r="A74" s="49"/>
      <c r="B74" s="52"/>
      <c r="C74" s="1">
        <v>2021</v>
      </c>
      <c r="D74" s="2">
        <v>144700268968</v>
      </c>
      <c r="E74" s="2">
        <v>97933973535</v>
      </c>
      <c r="F74" s="2">
        <f t="shared" si="5"/>
        <v>46766295433</v>
      </c>
      <c r="G74" s="2">
        <v>674806910037</v>
      </c>
      <c r="H74" s="24">
        <f t="shared" si="4"/>
        <v>6.9303225467024013E-2</v>
      </c>
    </row>
    <row r="75" spans="1:8" ht="15.75" x14ac:dyDescent="0.25">
      <c r="A75" s="50"/>
      <c r="B75" s="53"/>
      <c r="C75" s="1">
        <v>2022</v>
      </c>
      <c r="D75" s="2">
        <v>117370750383</v>
      </c>
      <c r="E75" s="2">
        <v>64694068640</v>
      </c>
      <c r="F75" s="2">
        <f t="shared" si="5"/>
        <v>52676681743</v>
      </c>
      <c r="G75" s="2">
        <v>767726284113</v>
      </c>
      <c r="H75" s="24">
        <f t="shared" si="4"/>
        <v>6.8613883402286427E-2</v>
      </c>
    </row>
    <row r="76" spans="1:8" ht="15.75" x14ac:dyDescent="0.25">
      <c r="A76" s="48">
        <v>21</v>
      </c>
      <c r="B76" s="51" t="s">
        <v>25</v>
      </c>
      <c r="C76" s="1">
        <v>2019</v>
      </c>
      <c r="D76" s="2">
        <f>515603*1000000</f>
        <v>515603000000</v>
      </c>
      <c r="E76" s="2">
        <f>17397*1000000</f>
        <v>17397000000</v>
      </c>
      <c r="F76" s="2">
        <f t="shared" si="5"/>
        <v>498206000000</v>
      </c>
      <c r="G76" s="2">
        <f>3592164*1000000</f>
        <v>3592164000000</v>
      </c>
      <c r="H76" s="24">
        <f t="shared" si="4"/>
        <v>0.13869244277265738</v>
      </c>
    </row>
    <row r="77" spans="1:8" ht="15.75" x14ac:dyDescent="0.25">
      <c r="A77" s="49"/>
      <c r="B77" s="52"/>
      <c r="C77" s="1">
        <v>2020</v>
      </c>
      <c r="D77" s="2">
        <f>113697*1000000</f>
        <v>113697000000</v>
      </c>
      <c r="E77" s="2">
        <f>-71183*1000000</f>
        <v>-71183000000</v>
      </c>
      <c r="F77" s="2">
        <f t="shared" si="5"/>
        <v>184880000000</v>
      </c>
      <c r="G77" s="2">
        <f>4695765*1000000</f>
        <v>4695765000000</v>
      </c>
      <c r="H77" s="24">
        <f t="shared" si="4"/>
        <v>3.9371646579417836E-2</v>
      </c>
    </row>
    <row r="78" spans="1:8" ht="15.75" x14ac:dyDescent="0.25">
      <c r="A78" s="49"/>
      <c r="B78" s="52"/>
      <c r="C78" s="1">
        <v>2021</v>
      </c>
      <c r="D78" s="2">
        <f>100650*1000000</f>
        <v>100650000000</v>
      </c>
      <c r="E78" s="2">
        <f>591719*1000000</f>
        <v>591719000000</v>
      </c>
      <c r="F78" s="2">
        <f t="shared" si="5"/>
        <v>-491069000000</v>
      </c>
      <c r="G78" s="2">
        <f>5254478*1000000</f>
        <v>5254478000000</v>
      </c>
      <c r="H78" s="24">
        <f t="shared" si="4"/>
        <v>-9.3457237807447288E-2</v>
      </c>
    </row>
    <row r="79" spans="1:8" ht="15.75" x14ac:dyDescent="0.25">
      <c r="A79" s="50"/>
      <c r="B79" s="53"/>
      <c r="C79" s="1">
        <v>2022</v>
      </c>
      <c r="D79" s="2">
        <f>-950289*1000000</f>
        <v>-950289000000</v>
      </c>
      <c r="E79" s="2">
        <f>240474*1000000</f>
        <v>240474000000</v>
      </c>
      <c r="F79" s="2">
        <f t="shared" si="5"/>
        <v>-1190763000000</v>
      </c>
      <c r="G79" s="2">
        <f>5346062*1000000</f>
        <v>5346062000000</v>
      </c>
      <c r="H79" s="24">
        <f t="shared" si="4"/>
        <v>-0.22273647406259037</v>
      </c>
    </row>
    <row r="80" spans="1:8" ht="15.75" x14ac:dyDescent="0.25">
      <c r="A80" s="48">
        <v>22</v>
      </c>
      <c r="B80" s="51" t="s">
        <v>26</v>
      </c>
      <c r="C80" s="1">
        <v>2019</v>
      </c>
      <c r="D80" s="2">
        <f>1206059000000</f>
        <v>1206059000000</v>
      </c>
      <c r="E80" s="2">
        <f>1012211*1000000</f>
        <v>1012211000000</v>
      </c>
      <c r="F80" s="2">
        <f t="shared" si="5"/>
        <v>193848000000</v>
      </c>
      <c r="G80" s="2">
        <f>2889501*1000000</f>
        <v>2889501000000</v>
      </c>
      <c r="H80" s="24">
        <f t="shared" si="4"/>
        <v>6.7087016062635035E-2</v>
      </c>
    </row>
    <row r="81" spans="1:9" ht="15.75" x14ac:dyDescent="0.25">
      <c r="A81" s="49"/>
      <c r="B81" s="52"/>
      <c r="C81" s="1">
        <v>2020</v>
      </c>
      <c r="D81" s="2">
        <f>285617*1000000</f>
        <v>285617000000</v>
      </c>
      <c r="E81" s="2">
        <f>547502*1000000</f>
        <v>547502000000</v>
      </c>
      <c r="F81" s="2">
        <f t="shared" si="5"/>
        <v>-261885000000</v>
      </c>
      <c r="G81" s="2">
        <f>2896950*1000000</f>
        <v>2896950000000</v>
      </c>
      <c r="H81" s="24">
        <f t="shared" si="4"/>
        <v>-9.0400248537254702E-2</v>
      </c>
    </row>
    <row r="82" spans="1:9" ht="15.75" x14ac:dyDescent="0.25">
      <c r="A82" s="49"/>
      <c r="B82" s="52"/>
      <c r="C82" s="1">
        <v>2021</v>
      </c>
      <c r="D82" s="2">
        <f>665850*1000000</f>
        <v>665850000000</v>
      </c>
      <c r="E82" s="2">
        <f>168005*1000000</f>
        <v>168005000000</v>
      </c>
      <c r="F82" s="2">
        <f t="shared" si="5"/>
        <v>497845000000</v>
      </c>
      <c r="G82" s="2">
        <f>2907425*1000000</f>
        <v>2907425000000</v>
      </c>
      <c r="H82" s="24">
        <f t="shared" si="4"/>
        <v>0.17123227598304341</v>
      </c>
    </row>
    <row r="83" spans="1:9" ht="15.75" x14ac:dyDescent="0.25">
      <c r="A83" s="50"/>
      <c r="B83" s="53"/>
      <c r="C83" s="1">
        <v>2022</v>
      </c>
      <c r="D83" s="2">
        <f>924906*1000000</f>
        <v>924906000000</v>
      </c>
      <c r="E83" s="2">
        <f>1490060*1000000</f>
        <v>1490060000000</v>
      </c>
      <c r="F83" s="2">
        <f t="shared" si="5"/>
        <v>-565154000000</v>
      </c>
      <c r="G83" s="2">
        <f>2922017*1000000</f>
        <v>2922017000000</v>
      </c>
      <c r="H83" s="24">
        <f t="shared" si="4"/>
        <v>-0.19341229020912609</v>
      </c>
    </row>
    <row r="84" spans="1:9" ht="15.75" x14ac:dyDescent="0.25">
      <c r="A84" s="48">
        <v>23</v>
      </c>
      <c r="B84" s="51" t="s">
        <v>27</v>
      </c>
      <c r="C84" s="1">
        <v>2019</v>
      </c>
      <c r="D84" s="2">
        <f>2051404*1000000</f>
        <v>2051404000000</v>
      </c>
      <c r="E84" s="2">
        <v>3303864262119</v>
      </c>
      <c r="F84" s="2">
        <f t="shared" si="5"/>
        <v>-1252460262119</v>
      </c>
      <c r="G84" s="2">
        <f>17591706*1000000</f>
        <v>17591706000000</v>
      </c>
      <c r="H84" s="24">
        <f t="shared" si="4"/>
        <v>-7.1196066039245998E-2</v>
      </c>
    </row>
    <row r="85" spans="1:9" ht="15.75" x14ac:dyDescent="0.25">
      <c r="A85" s="49"/>
      <c r="B85" s="52"/>
      <c r="C85" s="1">
        <v>2020</v>
      </c>
      <c r="D85" s="2">
        <f>2098169*1000000</f>
        <v>2098169000000</v>
      </c>
      <c r="E85" s="2">
        <v>3715832449186</v>
      </c>
      <c r="F85" s="2">
        <f t="shared" si="5"/>
        <v>-1617663449186</v>
      </c>
      <c r="G85" s="2">
        <v>19037919000000</v>
      </c>
      <c r="H85" s="24">
        <f t="shared" si="4"/>
        <v>-8.497060257405234E-2</v>
      </c>
    </row>
    <row r="86" spans="1:9" ht="15.75" x14ac:dyDescent="0.25">
      <c r="A86" s="49"/>
      <c r="B86" s="52"/>
      <c r="C86" s="1">
        <v>2021</v>
      </c>
      <c r="D86" s="2">
        <f>1211053*1000000</f>
        <v>1211053000000</v>
      </c>
      <c r="E86" s="2">
        <v>1041955003348</v>
      </c>
      <c r="F86" s="2">
        <f t="shared" si="5"/>
        <v>169097996652</v>
      </c>
      <c r="G86" s="2">
        <f>19777501*1000000</f>
        <v>19777501000000</v>
      </c>
      <c r="H86" s="24">
        <f t="shared" si="4"/>
        <v>8.5500183593468157E-3</v>
      </c>
    </row>
    <row r="87" spans="1:9" ht="15.75" x14ac:dyDescent="0.25">
      <c r="A87" s="50"/>
      <c r="B87" s="53"/>
      <c r="C87" s="1">
        <v>2022</v>
      </c>
      <c r="D87" s="2">
        <f>1970065*1000000</f>
        <v>1970065000000</v>
      </c>
      <c r="E87" s="2">
        <v>1619570638186</v>
      </c>
      <c r="F87" s="2">
        <f t="shared" si="5"/>
        <v>350494361814</v>
      </c>
      <c r="G87" s="2">
        <f>19917653*1000000</f>
        <v>19917653000000</v>
      </c>
      <c r="H87" s="24">
        <f t="shared" si="4"/>
        <v>1.759717180603558E-2</v>
      </c>
    </row>
    <row r="88" spans="1:9" ht="15.75" x14ac:dyDescent="0.25">
      <c r="A88" s="48">
        <v>24</v>
      </c>
      <c r="B88" s="51" t="s">
        <v>28</v>
      </c>
      <c r="C88" s="1">
        <v>2019</v>
      </c>
      <c r="D88" s="2">
        <v>2570452159</v>
      </c>
      <c r="E88" s="2">
        <v>398424477</v>
      </c>
      <c r="F88" s="2">
        <f t="shared" si="5"/>
        <v>2172027682</v>
      </c>
      <c r="G88" s="2">
        <v>16965352781</v>
      </c>
      <c r="H88" s="24">
        <f t="shared" ref="H88:H119" si="6">F88/G88</f>
        <v>0.12802726297755021</v>
      </c>
    </row>
    <row r="89" spans="1:9" ht="15.75" x14ac:dyDescent="0.25">
      <c r="A89" s="49"/>
      <c r="B89" s="52"/>
      <c r="C89" s="1">
        <v>2020</v>
      </c>
      <c r="D89" s="2">
        <v>1049938752</v>
      </c>
      <c r="E89" s="2">
        <v>-1489409414</v>
      </c>
      <c r="F89" s="2">
        <f t="shared" si="5"/>
        <v>2539348166</v>
      </c>
      <c r="G89" s="2">
        <v>18385253544</v>
      </c>
      <c r="H89" s="24">
        <f t="shared" si="6"/>
        <v>0.1381187460876063</v>
      </c>
    </row>
    <row r="90" spans="1:9" ht="15.75" x14ac:dyDescent="0.25">
      <c r="A90" s="49"/>
      <c r="B90" s="52"/>
      <c r="C90" s="1">
        <v>2021</v>
      </c>
      <c r="D90" s="2">
        <v>532665673</v>
      </c>
      <c r="E90" s="2">
        <v>-6035284193</v>
      </c>
      <c r="F90" s="2">
        <f t="shared" si="5"/>
        <v>6567949866</v>
      </c>
      <c r="G90" s="2">
        <v>57761107871</v>
      </c>
      <c r="H90" s="24">
        <f t="shared" si="6"/>
        <v>0.11370886238311848</v>
      </c>
    </row>
    <row r="91" spans="1:9" ht="15.75" x14ac:dyDescent="0.25">
      <c r="A91" s="50"/>
      <c r="B91" s="53"/>
      <c r="C91" s="1">
        <v>2022</v>
      </c>
      <c r="D91" s="2">
        <v>1032151378</v>
      </c>
      <c r="E91" s="2">
        <v>-10670763425</v>
      </c>
      <c r="F91" s="2">
        <f t="shared" si="5"/>
        <v>11702914803</v>
      </c>
      <c r="G91" s="2">
        <v>29309437617</v>
      </c>
      <c r="H91" s="24">
        <f t="shared" si="6"/>
        <v>0.39928827553525281</v>
      </c>
    </row>
    <row r="92" spans="1:9" ht="15.75" x14ac:dyDescent="0.25">
      <c r="A92" s="48">
        <v>25</v>
      </c>
      <c r="B92" s="51" t="s">
        <v>29</v>
      </c>
      <c r="C92" s="1">
        <v>2019</v>
      </c>
      <c r="D92" s="2">
        <v>-1236402757</v>
      </c>
      <c r="E92" s="2">
        <v>16313635640</v>
      </c>
      <c r="F92" s="2">
        <f t="shared" ref="F92:F123" si="7">D92-E92</f>
        <v>-17550038397</v>
      </c>
      <c r="G92" s="2">
        <f>149626665880</f>
        <v>149626665880</v>
      </c>
      <c r="H92" s="24">
        <f t="shared" si="6"/>
        <v>-0.117292183808166</v>
      </c>
    </row>
    <row r="93" spans="1:9" ht="15.75" x14ac:dyDescent="0.25">
      <c r="A93" s="49"/>
      <c r="B93" s="52"/>
      <c r="C93" s="1">
        <v>2020</v>
      </c>
      <c r="D93" s="2">
        <f>244178*1000</f>
        <v>244178000</v>
      </c>
      <c r="E93" s="2">
        <v>-5703910044</v>
      </c>
      <c r="F93" s="2">
        <f t="shared" si="7"/>
        <v>5948088044</v>
      </c>
      <c r="G93" s="2">
        <v>119708956000</v>
      </c>
      <c r="H93" s="24">
        <f t="shared" si="6"/>
        <v>4.9687911771613816E-2</v>
      </c>
    </row>
    <row r="94" spans="1:9" ht="15.75" x14ac:dyDescent="0.25">
      <c r="A94" s="49"/>
      <c r="B94" s="52"/>
      <c r="C94" s="33">
        <v>2021</v>
      </c>
      <c r="D94" s="34">
        <f>1680076*1000</f>
        <v>1680076000</v>
      </c>
      <c r="E94" s="34">
        <v>359693319000</v>
      </c>
      <c r="F94" s="34">
        <f t="shared" si="7"/>
        <v>-358013243000</v>
      </c>
      <c r="G94" s="34">
        <v>98919212000</v>
      </c>
      <c r="H94" s="35">
        <f t="shared" si="6"/>
        <v>-3.6192488371217513</v>
      </c>
      <c r="I94" s="37" t="s">
        <v>331</v>
      </c>
    </row>
    <row r="95" spans="1:9" ht="15.75" x14ac:dyDescent="0.25">
      <c r="A95" s="50"/>
      <c r="B95" s="53"/>
      <c r="C95" s="1">
        <v>2022</v>
      </c>
      <c r="D95" s="2">
        <f>288311135*1000</f>
        <v>288311135000</v>
      </c>
      <c r="E95" s="2">
        <v>604773985000</v>
      </c>
      <c r="F95" s="2">
        <f t="shared" si="7"/>
        <v>-316462850000</v>
      </c>
      <c r="G95" s="2">
        <v>13296259876000</v>
      </c>
      <c r="H95" s="24">
        <f t="shared" si="6"/>
        <v>-2.380089235253452E-2</v>
      </c>
    </row>
    <row r="96" spans="1:9" ht="15.75" x14ac:dyDescent="0.25">
      <c r="A96" s="48">
        <v>26</v>
      </c>
      <c r="B96" s="51" t="s">
        <v>30</v>
      </c>
      <c r="C96" s="1">
        <v>2019</v>
      </c>
      <c r="D96" s="2">
        <f>-103*1000000000</f>
        <v>-103000000000</v>
      </c>
      <c r="E96" s="2">
        <v>-12699138614</v>
      </c>
      <c r="F96" s="2">
        <f t="shared" si="7"/>
        <v>-90300861386</v>
      </c>
      <c r="G96" s="2">
        <f>117.4*1000000000</f>
        <v>117400000000</v>
      </c>
      <c r="H96" s="24">
        <f t="shared" si="6"/>
        <v>-0.76917258420783641</v>
      </c>
    </row>
    <row r="97" spans="1:8" ht="15.75" x14ac:dyDescent="0.25">
      <c r="A97" s="49"/>
      <c r="B97" s="52"/>
      <c r="C97" s="1">
        <v>2020</v>
      </c>
      <c r="D97" s="2">
        <f>15.9*1000000000</f>
        <v>15900000000</v>
      </c>
      <c r="E97" s="2">
        <v>12397869678</v>
      </c>
      <c r="F97" s="2">
        <f t="shared" si="7"/>
        <v>3502130322</v>
      </c>
      <c r="G97" s="2">
        <f>124.7*1000000000</f>
        <v>124700000000</v>
      </c>
      <c r="H97" s="24">
        <f t="shared" si="6"/>
        <v>2.808444524458701E-2</v>
      </c>
    </row>
    <row r="98" spans="1:8" ht="15.75" x14ac:dyDescent="0.25">
      <c r="A98" s="49"/>
      <c r="B98" s="52"/>
      <c r="C98" s="1">
        <v>2021</v>
      </c>
      <c r="D98" s="2">
        <v>2543475734</v>
      </c>
      <c r="E98" s="2">
        <v>-2917458371</v>
      </c>
      <c r="F98" s="2">
        <f t="shared" si="7"/>
        <v>5460934105</v>
      </c>
      <c r="G98" s="2">
        <f>103.4*1000000000</f>
        <v>103400000000</v>
      </c>
      <c r="H98" s="24">
        <f t="shared" si="6"/>
        <v>5.2813676063829786E-2</v>
      </c>
    </row>
    <row r="99" spans="1:8" ht="15.75" x14ac:dyDescent="0.25">
      <c r="A99" s="50"/>
      <c r="B99" s="53"/>
      <c r="C99" s="1">
        <v>2022</v>
      </c>
      <c r="D99" s="2">
        <v>3726879993</v>
      </c>
      <c r="E99" s="2">
        <v>6652026935</v>
      </c>
      <c r="F99" s="2">
        <f t="shared" si="7"/>
        <v>-2925146942</v>
      </c>
      <c r="G99" s="2">
        <v>109000000000</v>
      </c>
      <c r="H99" s="24">
        <f t="shared" si="6"/>
        <v>-2.6836210477064221E-2</v>
      </c>
    </row>
    <row r="100" spans="1:8" ht="15.75" x14ac:dyDescent="0.25">
      <c r="A100" s="48">
        <v>27</v>
      </c>
      <c r="B100" s="51" t="s">
        <v>31</v>
      </c>
      <c r="C100" s="1">
        <v>2019</v>
      </c>
      <c r="D100" s="2">
        <f>-25762*1000000</f>
        <v>-25762000000</v>
      </c>
      <c r="E100" s="2">
        <v>57339523786</v>
      </c>
      <c r="F100" s="2">
        <f t="shared" si="7"/>
        <v>-83101523786</v>
      </c>
      <c r="G100" s="2">
        <f>697658*1000000</f>
        <v>697658000000</v>
      </c>
      <c r="H100" s="24">
        <f t="shared" si="6"/>
        <v>-0.11911498726596699</v>
      </c>
    </row>
    <row r="101" spans="1:8" ht="15.75" x14ac:dyDescent="0.25">
      <c r="A101" s="49"/>
      <c r="B101" s="52"/>
      <c r="C101" s="1">
        <v>2020</v>
      </c>
      <c r="D101" s="2">
        <f>-52305*1000000</f>
        <v>-52305000000</v>
      </c>
      <c r="E101" s="2">
        <v>-27550576454</v>
      </c>
      <c r="F101" s="2">
        <f t="shared" si="7"/>
        <v>-24754423546</v>
      </c>
      <c r="G101" s="4">
        <f>763492*1000000</f>
        <v>763492000000</v>
      </c>
      <c r="H101" s="24">
        <f t="shared" si="6"/>
        <v>-3.242263644674731E-2</v>
      </c>
    </row>
    <row r="102" spans="1:8" ht="15.75" x14ac:dyDescent="0.25">
      <c r="A102" s="49"/>
      <c r="B102" s="52"/>
      <c r="C102" s="1">
        <v>2021</v>
      </c>
      <c r="D102" s="2">
        <v>-21784386527</v>
      </c>
      <c r="E102" s="2">
        <v>48155002081</v>
      </c>
      <c r="F102" s="2">
        <f t="shared" si="7"/>
        <v>-69939388608</v>
      </c>
      <c r="G102" s="2">
        <f>765376*1000000</f>
        <v>765376000000</v>
      </c>
      <c r="H102" s="24">
        <f t="shared" si="6"/>
        <v>-9.1379124257881097E-2</v>
      </c>
    </row>
    <row r="103" spans="1:8" ht="15.75" x14ac:dyDescent="0.25">
      <c r="A103" s="50"/>
      <c r="B103" s="53"/>
      <c r="C103" s="1">
        <v>2022</v>
      </c>
      <c r="D103" s="2">
        <v>-12501927525</v>
      </c>
      <c r="E103" s="2">
        <v>-6921667743</v>
      </c>
      <c r="F103" s="2">
        <f t="shared" si="7"/>
        <v>-5580259782</v>
      </c>
      <c r="G103" s="2">
        <v>707397000000</v>
      </c>
      <c r="H103" s="24">
        <f t="shared" si="6"/>
        <v>-7.8884414013630257E-3</v>
      </c>
    </row>
    <row r="104" spans="1:8" ht="15.75" x14ac:dyDescent="0.25">
      <c r="A104" s="48">
        <v>28</v>
      </c>
      <c r="B104" s="51" t="s">
        <v>32</v>
      </c>
      <c r="C104" s="1">
        <v>2019</v>
      </c>
      <c r="D104" s="2">
        <f>-160988*1000000</f>
        <v>-160988000000</v>
      </c>
      <c r="E104" s="2">
        <v>68517135164</v>
      </c>
      <c r="F104" s="2">
        <f t="shared" si="7"/>
        <v>-229505135164</v>
      </c>
      <c r="G104" s="2">
        <f>3357069*1000000</f>
        <v>3357069000000</v>
      </c>
      <c r="H104" s="24">
        <f t="shared" si="6"/>
        <v>-6.8364735775165775E-2</v>
      </c>
    </row>
    <row r="105" spans="1:8" ht="15.75" x14ac:dyDescent="0.25">
      <c r="A105" s="49"/>
      <c r="B105" s="52"/>
      <c r="C105" s="1">
        <v>2020</v>
      </c>
      <c r="D105" s="2">
        <f>26501*1000000</f>
        <v>26501000000</v>
      </c>
      <c r="E105" s="2">
        <v>279405793342</v>
      </c>
      <c r="F105" s="2">
        <f t="shared" si="7"/>
        <v>-252904793342</v>
      </c>
      <c r="G105" s="2">
        <f>3255607*1000000</f>
        <v>3255607000000</v>
      </c>
      <c r="H105" s="24">
        <f t="shared" si="6"/>
        <v>-7.7682838666337795E-2</v>
      </c>
    </row>
    <row r="106" spans="1:8" ht="15.75" x14ac:dyDescent="0.25">
      <c r="A106" s="49"/>
      <c r="B106" s="52"/>
      <c r="C106" s="1">
        <v>2021</v>
      </c>
      <c r="D106" s="2">
        <v>213841959820</v>
      </c>
      <c r="E106" s="2">
        <v>369004599899</v>
      </c>
      <c r="F106" s="2">
        <f t="shared" si="7"/>
        <v>-155162640079</v>
      </c>
      <c r="G106" s="2">
        <f>3401723*1000000</f>
        <v>3401723000000</v>
      </c>
      <c r="H106" s="24">
        <f t="shared" si="6"/>
        <v>-4.5612955575453966E-2</v>
      </c>
    </row>
    <row r="107" spans="1:8" ht="15.75" x14ac:dyDescent="0.25">
      <c r="A107" s="50"/>
      <c r="B107" s="53"/>
      <c r="C107" s="1">
        <v>2022</v>
      </c>
      <c r="D107" s="2">
        <v>257682130697</v>
      </c>
      <c r="E107" s="2">
        <v>534655519938</v>
      </c>
      <c r="F107" s="2">
        <f t="shared" si="7"/>
        <v>-276973389241</v>
      </c>
      <c r="G107" s="2">
        <f>3731908*1000000</f>
        <v>3731908000000</v>
      </c>
      <c r="H107" s="24">
        <f t="shared" si="6"/>
        <v>-7.4217635922696909E-2</v>
      </c>
    </row>
    <row r="108" spans="1:8" ht="15.75" x14ac:dyDescent="0.25">
      <c r="A108" s="48">
        <v>29</v>
      </c>
      <c r="B108" s="51" t="s">
        <v>33</v>
      </c>
      <c r="C108" s="1">
        <v>2019</v>
      </c>
      <c r="D108" s="2">
        <v>237000000000</v>
      </c>
      <c r="E108" s="5">
        <v>479788528325</v>
      </c>
      <c r="F108" s="2">
        <f t="shared" si="7"/>
        <v>-242788528325</v>
      </c>
      <c r="G108" s="2">
        <f>4394*1000000000</f>
        <v>4394000000000</v>
      </c>
      <c r="H108" s="24">
        <f t="shared" si="6"/>
        <v>-5.525455810764679E-2</v>
      </c>
    </row>
    <row r="109" spans="1:8" ht="15.75" x14ac:dyDescent="0.25">
      <c r="A109" s="49"/>
      <c r="B109" s="52"/>
      <c r="C109" s="1">
        <v>2020</v>
      </c>
      <c r="D109" s="2">
        <v>169000000000</v>
      </c>
      <c r="E109" s="5">
        <v>486591578118</v>
      </c>
      <c r="F109" s="2">
        <f t="shared" si="7"/>
        <v>-317591578118</v>
      </c>
      <c r="G109" s="2">
        <f>4682*1000000000</f>
        <v>4682000000000</v>
      </c>
      <c r="H109" s="24">
        <f t="shared" si="6"/>
        <v>-6.7832460085006402E-2</v>
      </c>
    </row>
    <row r="110" spans="1:8" ht="15.75" x14ac:dyDescent="0.25">
      <c r="A110" s="49"/>
      <c r="B110" s="52"/>
      <c r="C110" s="1">
        <v>2021</v>
      </c>
      <c r="D110" s="2">
        <f>284*1000000000</f>
        <v>284000000000</v>
      </c>
      <c r="E110" s="5">
        <v>643601152274</v>
      </c>
      <c r="F110" s="2">
        <f t="shared" si="7"/>
        <v>-359601152274</v>
      </c>
      <c r="G110" s="2">
        <f>4452*1000000000</f>
        <v>4452000000000</v>
      </c>
      <c r="H110" s="24">
        <f t="shared" si="6"/>
        <v>-8.0772945254716982E-2</v>
      </c>
    </row>
    <row r="111" spans="1:8" ht="15.75" x14ac:dyDescent="0.25">
      <c r="A111" s="50"/>
      <c r="B111" s="53"/>
      <c r="C111" s="1">
        <v>2022</v>
      </c>
      <c r="D111" s="2">
        <v>432000000000</v>
      </c>
      <c r="E111" s="5">
        <v>726581686414</v>
      </c>
      <c r="F111" s="2">
        <f t="shared" si="7"/>
        <v>-294581686414</v>
      </c>
      <c r="G111" s="2">
        <f>4191*1000000000</f>
        <v>4191000000000</v>
      </c>
      <c r="H111" s="24">
        <f t="shared" si="6"/>
        <v>-7.0289116300167029E-2</v>
      </c>
    </row>
    <row r="112" spans="1:8" ht="15.75" x14ac:dyDescent="0.25">
      <c r="A112" s="48">
        <v>30</v>
      </c>
      <c r="B112" s="51" t="s">
        <v>40</v>
      </c>
      <c r="C112" s="1">
        <v>2019</v>
      </c>
      <c r="D112" s="2">
        <f>0.98*1000000000</f>
        <v>980000000</v>
      </c>
      <c r="E112" s="2">
        <v>-40492304852</v>
      </c>
      <c r="F112" s="2">
        <f t="shared" si="7"/>
        <v>41472304852</v>
      </c>
      <c r="G112" s="2">
        <f>1771.37*1000000000</f>
        <v>1771370000000</v>
      </c>
      <c r="H112" s="24">
        <f t="shared" si="6"/>
        <v>2.3412559122035485E-2</v>
      </c>
    </row>
    <row r="113" spans="1:8" ht="15.75" x14ac:dyDescent="0.25">
      <c r="A113" s="49"/>
      <c r="B113" s="52"/>
      <c r="C113" s="1">
        <v>2020</v>
      </c>
      <c r="D113" s="2">
        <f>5.42*1000000000</f>
        <v>5420000000</v>
      </c>
      <c r="E113" s="2">
        <v>19707485134</v>
      </c>
      <c r="F113" s="2">
        <f t="shared" si="7"/>
        <v>-14287485134</v>
      </c>
      <c r="G113" s="2">
        <f>1820.38*1000000000</f>
        <v>1820380000000</v>
      </c>
      <c r="H113" s="24">
        <f t="shared" si="6"/>
        <v>-7.8486278326503258E-3</v>
      </c>
    </row>
    <row r="114" spans="1:8" ht="15.75" x14ac:dyDescent="0.25">
      <c r="A114" s="49"/>
      <c r="B114" s="52"/>
      <c r="C114" s="1">
        <v>2021</v>
      </c>
      <c r="D114" s="2">
        <f>29.71*1000000000</f>
        <v>29710000000</v>
      </c>
      <c r="E114" s="2">
        <v>-44970462418</v>
      </c>
      <c r="F114" s="2">
        <f t="shared" si="7"/>
        <v>74680462418</v>
      </c>
      <c r="G114" s="2">
        <f>1768.66*1000000000</f>
        <v>1768660000000</v>
      </c>
      <c r="H114" s="24">
        <f t="shared" si="6"/>
        <v>4.2224318081485419E-2</v>
      </c>
    </row>
    <row r="115" spans="1:8" ht="15.75" x14ac:dyDescent="0.25">
      <c r="A115" s="50"/>
      <c r="B115" s="53"/>
      <c r="C115" s="1">
        <v>2022</v>
      </c>
      <c r="D115" s="2">
        <f>86.64*1000000000</f>
        <v>86640000000</v>
      </c>
      <c r="E115" s="2">
        <v>102191880734</v>
      </c>
      <c r="F115" s="2">
        <f t="shared" si="7"/>
        <v>-15551880734</v>
      </c>
      <c r="G115" s="2">
        <f>1970.43*1000000000</f>
        <v>1970430000000</v>
      </c>
      <c r="H115" s="24">
        <f t="shared" si="6"/>
        <v>-7.8926329450932035E-3</v>
      </c>
    </row>
    <row r="116" spans="1:8" ht="15.75" x14ac:dyDescent="0.25">
      <c r="A116" s="48">
        <v>31</v>
      </c>
      <c r="B116" s="51" t="s">
        <v>34</v>
      </c>
      <c r="C116" s="1">
        <v>2019</v>
      </c>
      <c r="D116" s="2">
        <f>45*1000000000</f>
        <v>45000000000</v>
      </c>
      <c r="E116" s="2">
        <v>55384490788</v>
      </c>
      <c r="F116" s="2">
        <f t="shared" si="7"/>
        <v>-10384490788</v>
      </c>
      <c r="G116" s="2">
        <f>747*1000000000</f>
        <v>747000000000</v>
      </c>
      <c r="H116" s="24">
        <f t="shared" si="6"/>
        <v>-1.3901594093708166E-2</v>
      </c>
    </row>
    <row r="117" spans="1:8" ht="15.75" x14ac:dyDescent="0.25">
      <c r="A117" s="49"/>
      <c r="B117" s="52"/>
      <c r="C117" s="1">
        <v>2020</v>
      </c>
      <c r="D117" s="2">
        <f>43*1000000000</f>
        <v>43000000000</v>
      </c>
      <c r="E117" s="2">
        <v>99975050847</v>
      </c>
      <c r="F117" s="2">
        <f t="shared" si="7"/>
        <v>-56975050847</v>
      </c>
      <c r="G117" s="2">
        <f>791*1000000000</f>
        <v>791000000000</v>
      </c>
      <c r="H117" s="24">
        <f t="shared" si="6"/>
        <v>-7.2029141399494317E-2</v>
      </c>
    </row>
    <row r="118" spans="1:8" ht="15.75" x14ac:dyDescent="0.25">
      <c r="A118" s="49"/>
      <c r="B118" s="52"/>
      <c r="C118" s="1">
        <v>2021</v>
      </c>
      <c r="D118" s="2">
        <f>85*1000000000</f>
        <v>85000000000</v>
      </c>
      <c r="E118" s="2">
        <v>127778774118</v>
      </c>
      <c r="F118" s="2">
        <f t="shared" si="7"/>
        <v>-42778774118</v>
      </c>
      <c r="G118" s="2">
        <f>774*1000000000</f>
        <v>774000000000</v>
      </c>
      <c r="H118" s="24">
        <f t="shared" si="6"/>
        <v>-5.5269734002583983E-2</v>
      </c>
    </row>
    <row r="119" spans="1:8" ht="15.75" x14ac:dyDescent="0.25">
      <c r="A119" s="50"/>
      <c r="B119" s="53"/>
      <c r="C119" s="1">
        <v>2022</v>
      </c>
      <c r="D119" s="2">
        <f>75*1000000000</f>
        <v>75000000000</v>
      </c>
      <c r="E119" s="2">
        <v>16414344843</v>
      </c>
      <c r="F119" s="2">
        <f t="shared" si="7"/>
        <v>58585655157</v>
      </c>
      <c r="G119" s="2">
        <f>889*1000000000</f>
        <v>889000000000</v>
      </c>
      <c r="H119" s="24">
        <f t="shared" si="6"/>
        <v>6.5900624473565803E-2</v>
      </c>
    </row>
    <row r="120" spans="1:8" ht="15.75" x14ac:dyDescent="0.25">
      <c r="A120" s="48">
        <v>32</v>
      </c>
      <c r="B120" s="51" t="s">
        <v>35</v>
      </c>
      <c r="C120" s="1">
        <v>2019</v>
      </c>
      <c r="D120" s="2">
        <f>482591*1000000</f>
        <v>482591000000</v>
      </c>
      <c r="E120" s="2">
        <v>499922010752</v>
      </c>
      <c r="F120" s="2">
        <f t="shared" si="7"/>
        <v>-17331010752</v>
      </c>
      <c r="G120" s="2">
        <f>2631190*1000000</f>
        <v>2631190000000</v>
      </c>
      <c r="H120" s="24">
        <f t="shared" ref="H120:H127" si="8">F120/G120</f>
        <v>-6.5867576085345417E-3</v>
      </c>
    </row>
    <row r="121" spans="1:8" ht="15.75" x14ac:dyDescent="0.25">
      <c r="A121" s="49"/>
      <c r="B121" s="52"/>
      <c r="C121" s="1">
        <v>2020</v>
      </c>
      <c r="D121" s="2">
        <f>628629*1000000</f>
        <v>628629000000</v>
      </c>
      <c r="E121" s="2">
        <v>926245668352</v>
      </c>
      <c r="F121" s="2">
        <f t="shared" si="7"/>
        <v>-297616668352</v>
      </c>
      <c r="G121" s="2">
        <f>2881563*1000000</f>
        <v>2881563000000</v>
      </c>
      <c r="H121" s="24">
        <f t="shared" si="8"/>
        <v>-0.10328306837365693</v>
      </c>
    </row>
    <row r="122" spans="1:8" ht="15.75" x14ac:dyDescent="0.25">
      <c r="A122" s="49"/>
      <c r="B122" s="52"/>
      <c r="C122" s="1">
        <v>2021</v>
      </c>
      <c r="D122" s="2">
        <f>617574*1000000</f>
        <v>617574000000</v>
      </c>
      <c r="E122" s="2">
        <v>624883019222</v>
      </c>
      <c r="F122" s="2">
        <f t="shared" si="7"/>
        <v>-7309019222</v>
      </c>
      <c r="G122" s="2">
        <f>3448995*1000000</f>
        <v>3448995000000</v>
      </c>
      <c r="H122" s="24">
        <f t="shared" si="8"/>
        <v>-2.1191736207213986E-3</v>
      </c>
    </row>
    <row r="123" spans="1:8" ht="15.75" x14ac:dyDescent="0.25">
      <c r="A123" s="50"/>
      <c r="B123" s="53"/>
      <c r="C123" s="1">
        <v>2022</v>
      </c>
      <c r="D123" s="2">
        <f>624524*1000000</f>
        <v>624524000000</v>
      </c>
      <c r="E123" s="2">
        <v>677186311780</v>
      </c>
      <c r="F123" s="2">
        <f t="shared" si="7"/>
        <v>-52662311780</v>
      </c>
      <c r="G123" s="2">
        <f>3919244*1000000</f>
        <v>3919244000000</v>
      </c>
      <c r="H123" s="24">
        <f t="shared" si="8"/>
        <v>-1.3436854602571312E-2</v>
      </c>
    </row>
    <row r="124" spans="1:8" ht="15.75" x14ac:dyDescent="0.25">
      <c r="A124" s="48">
        <v>33</v>
      </c>
      <c r="B124" s="51" t="s">
        <v>36</v>
      </c>
      <c r="C124" s="1">
        <v>2019</v>
      </c>
      <c r="D124" s="2">
        <f>1035865*1000000</f>
        <v>1035865000000</v>
      </c>
      <c r="E124" s="2">
        <f>1096817*1000000</f>
        <v>1096817000000</v>
      </c>
      <c r="F124" s="2">
        <f t="shared" ref="F124:F127" si="9">D124-E124</f>
        <v>-60952000000</v>
      </c>
      <c r="G124" s="2">
        <f>5555871*1000000</f>
        <v>5555871000000</v>
      </c>
      <c r="H124" s="24">
        <f t="shared" si="8"/>
        <v>-1.0970737081548511E-2</v>
      </c>
    </row>
    <row r="125" spans="1:8" ht="15.75" x14ac:dyDescent="0.25">
      <c r="A125" s="49"/>
      <c r="B125" s="52"/>
      <c r="C125" s="1">
        <v>2020</v>
      </c>
      <c r="D125" s="2">
        <f>1109666*1000000</f>
        <v>1109666000000</v>
      </c>
      <c r="E125" s="2">
        <f>1217063*1000000</f>
        <v>1217063000000</v>
      </c>
      <c r="F125" s="2">
        <f t="shared" si="9"/>
        <v>-107397000000</v>
      </c>
      <c r="G125" s="2">
        <f>6608422*1000000</f>
        <v>6608422000000</v>
      </c>
      <c r="H125" s="24">
        <f t="shared" si="8"/>
        <v>-1.6251534783946909E-2</v>
      </c>
    </row>
    <row r="126" spans="1:8" ht="15.75" x14ac:dyDescent="0.25">
      <c r="A126" s="49"/>
      <c r="B126" s="52"/>
      <c r="C126" s="1">
        <v>2021</v>
      </c>
      <c r="D126" s="2">
        <f>1276793*1000000</f>
        <v>1276793000000</v>
      </c>
      <c r="E126" s="2">
        <f>1414447*1000000</f>
        <v>1414447000000</v>
      </c>
      <c r="F126" s="2">
        <f t="shared" si="9"/>
        <v>-137654000000</v>
      </c>
      <c r="G126" s="2">
        <f>8754116*1000000</f>
        <v>8754116000000</v>
      </c>
      <c r="H126" s="24">
        <f t="shared" si="8"/>
        <v>-1.5724488914700241E-2</v>
      </c>
    </row>
    <row r="127" spans="1:8" ht="15.75" x14ac:dyDescent="0.25">
      <c r="A127" s="50"/>
      <c r="B127" s="53"/>
      <c r="C127" s="1">
        <v>2022</v>
      </c>
      <c r="D127" s="2">
        <f>965486*1000000</f>
        <v>965486000000</v>
      </c>
      <c r="E127" s="2">
        <f>259846*1000000</f>
        <v>259846000000</v>
      </c>
      <c r="F127" s="2">
        <f t="shared" si="9"/>
        <v>705640000000</v>
      </c>
      <c r="G127" s="2">
        <f>7406856*1000000</f>
        <v>7406856000000</v>
      </c>
      <c r="H127" s="24">
        <f t="shared" si="8"/>
        <v>9.5268491786528589E-2</v>
      </c>
    </row>
  </sheetData>
  <mergeCells count="68">
    <mergeCell ref="A1:A3"/>
    <mergeCell ref="B1:B3"/>
    <mergeCell ref="C1:C3"/>
    <mergeCell ref="A4:A7"/>
    <mergeCell ref="B4:B7"/>
    <mergeCell ref="A8:A11"/>
    <mergeCell ref="B8:B11"/>
    <mergeCell ref="A12:A15"/>
    <mergeCell ref="B12:B15"/>
    <mergeCell ref="A16:A19"/>
    <mergeCell ref="B16:B19"/>
    <mergeCell ref="A20:A23"/>
    <mergeCell ref="B20:B23"/>
    <mergeCell ref="A24:A27"/>
    <mergeCell ref="B24:B27"/>
    <mergeCell ref="A28:A31"/>
    <mergeCell ref="B28:B31"/>
    <mergeCell ref="A32:A35"/>
    <mergeCell ref="B32:B35"/>
    <mergeCell ref="A36:A39"/>
    <mergeCell ref="B36:B39"/>
    <mergeCell ref="A40:A43"/>
    <mergeCell ref="B40:B43"/>
    <mergeCell ref="A44:A47"/>
    <mergeCell ref="B44:B47"/>
    <mergeCell ref="A48:A51"/>
    <mergeCell ref="B48:B51"/>
    <mergeCell ref="A52:A55"/>
    <mergeCell ref="B52:B55"/>
    <mergeCell ref="A56:A59"/>
    <mergeCell ref="B56:B59"/>
    <mergeCell ref="A60:A63"/>
    <mergeCell ref="B60:B63"/>
    <mergeCell ref="A64:A67"/>
    <mergeCell ref="B64:B67"/>
    <mergeCell ref="A68:A71"/>
    <mergeCell ref="B68:B71"/>
    <mergeCell ref="A72:A75"/>
    <mergeCell ref="B72:B75"/>
    <mergeCell ref="A76:A79"/>
    <mergeCell ref="B76:B79"/>
    <mergeCell ref="A80:A83"/>
    <mergeCell ref="B80:B83"/>
    <mergeCell ref="A84:A87"/>
    <mergeCell ref="B84:B87"/>
    <mergeCell ref="B108:B111"/>
    <mergeCell ref="A88:A91"/>
    <mergeCell ref="B88:B91"/>
    <mergeCell ref="A92:A95"/>
    <mergeCell ref="B92:B95"/>
    <mergeCell ref="A96:A99"/>
    <mergeCell ref="B96:B99"/>
    <mergeCell ref="A124:A127"/>
    <mergeCell ref="B124:B127"/>
    <mergeCell ref="D2:F2"/>
    <mergeCell ref="H2:H3"/>
    <mergeCell ref="D1:H1"/>
    <mergeCell ref="A112:A115"/>
    <mergeCell ref="B112:B115"/>
    <mergeCell ref="A116:A119"/>
    <mergeCell ref="B116:B119"/>
    <mergeCell ref="A120:A123"/>
    <mergeCell ref="B120:B123"/>
    <mergeCell ref="A100:A103"/>
    <mergeCell ref="B100:B103"/>
    <mergeCell ref="A104:A107"/>
    <mergeCell ref="B104:B107"/>
    <mergeCell ref="A108:A1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"/>
  <sheetViews>
    <sheetView workbookViewId="0">
      <selection activeCell="G40" sqref="G40"/>
    </sheetView>
  </sheetViews>
  <sheetFormatPr defaultRowHeight="15" x14ac:dyDescent="0.25"/>
  <cols>
    <col min="4" max="4" width="23.28515625" customWidth="1"/>
    <col min="5" max="5" width="18.85546875" bestFit="1" customWidth="1"/>
    <col min="6" max="6" width="23.7109375" bestFit="1" customWidth="1"/>
    <col min="7" max="7" width="9.42578125" customWidth="1"/>
  </cols>
  <sheetData>
    <row r="1" spans="1:12" ht="15.75" x14ac:dyDescent="0.25">
      <c r="A1" s="56" t="s">
        <v>2</v>
      </c>
      <c r="B1" s="62" t="s">
        <v>1</v>
      </c>
      <c r="C1" s="62" t="s">
        <v>0</v>
      </c>
      <c r="D1" s="63" t="s">
        <v>41</v>
      </c>
      <c r="E1" s="63"/>
      <c r="F1" s="63"/>
      <c r="G1" s="63"/>
    </row>
    <row r="2" spans="1:12" ht="15.75" x14ac:dyDescent="0.25">
      <c r="A2" s="56"/>
      <c r="B2" s="62"/>
      <c r="C2" s="62"/>
      <c r="D2" s="18" t="s">
        <v>38</v>
      </c>
      <c r="E2" s="18" t="s">
        <v>66</v>
      </c>
      <c r="F2" s="18" t="s">
        <v>39</v>
      </c>
      <c r="G2" s="19" t="s">
        <v>37</v>
      </c>
      <c r="I2" s="36"/>
    </row>
    <row r="3" spans="1:12" ht="15.75" x14ac:dyDescent="0.25">
      <c r="A3" s="48">
        <v>3</v>
      </c>
      <c r="B3" s="51" t="s">
        <v>6</v>
      </c>
      <c r="C3" s="1">
        <v>2019</v>
      </c>
      <c r="D3" s="2">
        <f>2191.87*1000000</f>
        <v>2191870000</v>
      </c>
      <c r="E3" s="2">
        <v>398</v>
      </c>
      <c r="F3" s="2">
        <f>380.73*1000000000</f>
        <v>380730000000</v>
      </c>
      <c r="G3" s="24">
        <f t="shared" ref="G3:G7" si="0">D3*E3/F3</f>
        <v>2.2912937252120926</v>
      </c>
    </row>
    <row r="4" spans="1:12" ht="15.75" x14ac:dyDescent="0.25">
      <c r="A4" s="49"/>
      <c r="B4" s="52"/>
      <c r="C4" s="1">
        <v>2020</v>
      </c>
      <c r="D4" s="2">
        <f>2191.87*1000000</f>
        <v>2191870000</v>
      </c>
      <c r="E4" s="2">
        <v>308</v>
      </c>
      <c r="F4" s="2">
        <f>372.88*1000000000</f>
        <v>372880000000</v>
      </c>
      <c r="G4" s="24">
        <f t="shared" si="0"/>
        <v>1.8104912036043768</v>
      </c>
    </row>
    <row r="5" spans="1:12" ht="15.75" x14ac:dyDescent="0.25">
      <c r="A5" s="49"/>
      <c r="B5" s="52"/>
      <c r="C5" s="1">
        <v>2021</v>
      </c>
      <c r="D5" s="2">
        <f>2191.87*1000000</f>
        <v>2191870000</v>
      </c>
      <c r="E5" s="2">
        <v>280</v>
      </c>
      <c r="F5" s="2">
        <f>363.83*1000000000</f>
        <v>363830000000</v>
      </c>
      <c r="G5" s="24">
        <f t="shared" si="0"/>
        <v>1.6868416568177445</v>
      </c>
    </row>
    <row r="6" spans="1:12" ht="15.75" x14ac:dyDescent="0.25">
      <c r="A6" s="50"/>
      <c r="B6" s="53"/>
      <c r="C6" s="1">
        <v>2022</v>
      </c>
      <c r="D6" s="2">
        <f>2191.87*1000000</f>
        <v>2191870000</v>
      </c>
      <c r="E6" s="2">
        <v>50</v>
      </c>
      <c r="F6" s="2">
        <f>348.91*1000000000</f>
        <v>348910000000</v>
      </c>
      <c r="G6" s="24">
        <f t="shared" si="0"/>
        <v>0.31410249061362527</v>
      </c>
    </row>
    <row r="7" spans="1:12" ht="15.75" x14ac:dyDescent="0.25">
      <c r="A7" s="48">
        <v>4</v>
      </c>
      <c r="B7" s="51" t="s">
        <v>8</v>
      </c>
      <c r="C7" s="1">
        <v>2019</v>
      </c>
      <c r="D7" s="2">
        <v>4498997000</v>
      </c>
      <c r="E7" s="2">
        <v>103</v>
      </c>
      <c r="F7" s="2">
        <f>1285.3*1000000000</f>
        <v>1285300000000</v>
      </c>
      <c r="G7" s="24">
        <f t="shared" si="0"/>
        <v>0.36053582120905625</v>
      </c>
    </row>
    <row r="8" spans="1:12" ht="15.75" x14ac:dyDescent="0.25">
      <c r="A8" s="49"/>
      <c r="B8" s="52"/>
      <c r="C8" s="1">
        <v>2020</v>
      </c>
      <c r="D8" s="2">
        <v>4498997000</v>
      </c>
      <c r="E8" s="2">
        <v>99</v>
      </c>
      <c r="F8" s="2">
        <f>1322.2*1000000000</f>
        <v>1322200000000</v>
      </c>
      <c r="G8" s="24">
        <f t="shared" ref="G8:G22" si="1">D8*E8/F8</f>
        <v>0.33686333610648916</v>
      </c>
      <c r="L8" s="32"/>
    </row>
    <row r="9" spans="1:12" ht="15.75" x14ac:dyDescent="0.25">
      <c r="A9" s="49"/>
      <c r="B9" s="52"/>
      <c r="C9" s="1">
        <v>2021</v>
      </c>
      <c r="D9" s="2">
        <v>4498997000</v>
      </c>
      <c r="E9" s="2">
        <v>179</v>
      </c>
      <c r="F9" s="2">
        <f>1387.7*1000000000</f>
        <v>1387700000000</v>
      </c>
      <c r="G9" s="24">
        <f t="shared" si="1"/>
        <v>0.58032749369460257</v>
      </c>
    </row>
    <row r="10" spans="1:12" ht="15.75" x14ac:dyDescent="0.25">
      <c r="A10" s="50"/>
      <c r="B10" s="53"/>
      <c r="C10" s="1">
        <v>2022</v>
      </c>
      <c r="D10" s="2">
        <v>4498997000</v>
      </c>
      <c r="E10" s="2">
        <v>226</v>
      </c>
      <c r="F10" s="2">
        <f>1445*1000000000</f>
        <v>1445000000000</v>
      </c>
      <c r="G10" s="24">
        <f t="shared" si="1"/>
        <v>0.70364935778546711</v>
      </c>
    </row>
    <row r="11" spans="1:12" ht="15.75" x14ac:dyDescent="0.25">
      <c r="A11" s="48">
        <v>5</v>
      </c>
      <c r="B11" s="51" t="s">
        <v>9</v>
      </c>
      <c r="C11" s="1">
        <v>2019</v>
      </c>
      <c r="D11" s="2">
        <v>5885000000</v>
      </c>
      <c r="E11" s="2">
        <v>374</v>
      </c>
      <c r="F11" s="2">
        <f>935.39*1000000000</f>
        <v>935390000000</v>
      </c>
      <c r="G11" s="24">
        <f t="shared" si="1"/>
        <v>2.3530185270315056</v>
      </c>
    </row>
    <row r="12" spans="1:12" ht="15.75" x14ac:dyDescent="0.25">
      <c r="A12" s="49"/>
      <c r="B12" s="52"/>
      <c r="C12" s="1">
        <v>2020</v>
      </c>
      <c r="D12" s="2">
        <v>5885000000</v>
      </c>
      <c r="E12" s="2">
        <v>302</v>
      </c>
      <c r="F12" s="2">
        <f>961.71*1000000000</f>
        <v>961710000000</v>
      </c>
      <c r="G12" s="24">
        <f t="shared" si="1"/>
        <v>1.8480311112497529</v>
      </c>
    </row>
    <row r="13" spans="1:12" ht="15.75" x14ac:dyDescent="0.25">
      <c r="A13" s="49"/>
      <c r="B13" s="52"/>
      <c r="C13" s="1">
        <v>2021</v>
      </c>
      <c r="D13" s="2">
        <v>5885000000</v>
      </c>
      <c r="E13" s="2">
        <v>290</v>
      </c>
      <c r="F13" s="2">
        <f>1026.45*1000000000</f>
        <v>1026450000000</v>
      </c>
      <c r="G13" s="24">
        <f t="shared" si="1"/>
        <v>1.6626723172098008</v>
      </c>
    </row>
    <row r="14" spans="1:12" ht="15.75" x14ac:dyDescent="0.25">
      <c r="A14" s="50"/>
      <c r="B14" s="53"/>
      <c r="C14" s="1">
        <v>2022</v>
      </c>
      <c r="D14" s="2">
        <v>5885000000</v>
      </c>
      <c r="E14" s="2">
        <v>306</v>
      </c>
      <c r="F14" s="2">
        <f>941.45*1000000000</f>
        <v>941450000000</v>
      </c>
      <c r="G14" s="24">
        <f t="shared" si="1"/>
        <v>1.9128047161293749</v>
      </c>
    </row>
    <row r="15" spans="1:12" ht="15.75" x14ac:dyDescent="0.25">
      <c r="A15" s="48">
        <v>6</v>
      </c>
      <c r="B15" s="51" t="s">
        <v>10</v>
      </c>
      <c r="C15" s="1">
        <v>2019</v>
      </c>
      <c r="D15" s="2">
        <v>595000000</v>
      </c>
      <c r="E15" s="2">
        <v>1670</v>
      </c>
      <c r="F15" s="2">
        <f>1131295*1000000</f>
        <v>1131295000000</v>
      </c>
      <c r="G15" s="24">
        <f t="shared" si="1"/>
        <v>0.87832970180191727</v>
      </c>
    </row>
    <row r="16" spans="1:12" ht="15.75" x14ac:dyDescent="0.25">
      <c r="A16" s="49"/>
      <c r="B16" s="52"/>
      <c r="C16" s="1">
        <v>2020</v>
      </c>
      <c r="D16" s="2">
        <v>595000000</v>
      </c>
      <c r="E16" s="2">
        <v>1785</v>
      </c>
      <c r="F16" s="2">
        <f>1260715*1000000</f>
        <v>1260715000000</v>
      </c>
      <c r="G16" s="24">
        <f t="shared" si="1"/>
        <v>0.84243861618208715</v>
      </c>
    </row>
    <row r="17" spans="1:7" ht="15.75" x14ac:dyDescent="0.25">
      <c r="A17" s="49"/>
      <c r="B17" s="52"/>
      <c r="C17" s="1">
        <v>2021</v>
      </c>
      <c r="D17" s="2">
        <v>595000000</v>
      </c>
      <c r="E17" s="2">
        <v>1880</v>
      </c>
      <c r="F17" s="2">
        <f>1387367*1000000</f>
        <v>1387367000000</v>
      </c>
      <c r="G17" s="24">
        <f t="shared" si="1"/>
        <v>0.80627548442481334</v>
      </c>
    </row>
    <row r="18" spans="1:7" ht="15.75" x14ac:dyDescent="0.25">
      <c r="A18" s="50"/>
      <c r="B18" s="53"/>
      <c r="C18" s="1">
        <v>2022</v>
      </c>
      <c r="D18" s="2">
        <v>595000000</v>
      </c>
      <c r="E18" s="2">
        <v>1980</v>
      </c>
      <c r="F18" s="2">
        <f>1550043*1000000</f>
        <v>1550043000000</v>
      </c>
      <c r="G18" s="24">
        <f t="shared" si="1"/>
        <v>0.76004343105320304</v>
      </c>
    </row>
    <row r="19" spans="1:7" ht="15.75" x14ac:dyDescent="0.25">
      <c r="A19" s="48">
        <v>7</v>
      </c>
      <c r="B19" s="51" t="s">
        <v>11</v>
      </c>
      <c r="C19" s="1">
        <v>2019</v>
      </c>
      <c r="D19" s="2">
        <f>12000*1000000</f>
        <v>12000000000</v>
      </c>
      <c r="E19" s="2">
        <v>545</v>
      </c>
      <c r="F19" s="2">
        <f>766299*1000000</f>
        <v>766299000000</v>
      </c>
      <c r="G19" s="24">
        <f t="shared" si="1"/>
        <v>8.5345276452142045</v>
      </c>
    </row>
    <row r="20" spans="1:7" ht="15.75" x14ac:dyDescent="0.25">
      <c r="A20" s="49"/>
      <c r="B20" s="52"/>
      <c r="C20" s="1">
        <v>2020</v>
      </c>
      <c r="D20" s="2">
        <v>12000000000</v>
      </c>
      <c r="E20" s="2">
        <v>500</v>
      </c>
      <c r="F20" s="2">
        <f>894746*1000000</f>
        <v>894746000000</v>
      </c>
      <c r="G20" s="24">
        <f t="shared" si="1"/>
        <v>6.7058137169654852</v>
      </c>
    </row>
    <row r="21" spans="1:7" ht="15.75" x14ac:dyDescent="0.25">
      <c r="A21" s="49"/>
      <c r="B21" s="52"/>
      <c r="C21" s="1">
        <v>2021</v>
      </c>
      <c r="D21" s="2">
        <v>12000000000</v>
      </c>
      <c r="E21" s="2">
        <v>470</v>
      </c>
      <c r="F21" s="2">
        <f>1001580*1000000</f>
        <v>1001580000000</v>
      </c>
      <c r="G21" s="24">
        <f t="shared" si="1"/>
        <v>5.6311028574851738</v>
      </c>
    </row>
    <row r="22" spans="1:7" ht="15.75" x14ac:dyDescent="0.25">
      <c r="A22" s="50"/>
      <c r="B22" s="53"/>
      <c r="C22" s="1">
        <v>2022</v>
      </c>
      <c r="D22" s="2">
        <v>12000000000</v>
      </c>
      <c r="E22" s="2">
        <v>555</v>
      </c>
      <c r="F22" s="2">
        <f>1185151*1000000</f>
        <v>1185151000000</v>
      </c>
      <c r="G22" s="24">
        <f t="shared" si="1"/>
        <v>5.6195370885228968</v>
      </c>
    </row>
    <row r="23" spans="1:7" ht="15.75" x14ac:dyDescent="0.25">
      <c r="A23" s="48">
        <v>8</v>
      </c>
      <c r="B23" s="51" t="s">
        <v>12</v>
      </c>
      <c r="C23" s="1">
        <v>2019</v>
      </c>
      <c r="D23" s="2">
        <v>7934683000</v>
      </c>
      <c r="E23" s="2">
        <v>623</v>
      </c>
      <c r="F23" s="2">
        <f>558748*1000000</f>
        <v>558748000000</v>
      </c>
      <c r="G23" s="24">
        <f t="shared" ref="G23:G54" si="2">D23*E23/F23</f>
        <v>8.8471144576803855</v>
      </c>
    </row>
    <row r="24" spans="1:7" ht="15.75" x14ac:dyDescent="0.25">
      <c r="A24" s="49"/>
      <c r="B24" s="52"/>
      <c r="C24" s="1">
        <v>2020</v>
      </c>
      <c r="D24" s="2">
        <v>7934683000</v>
      </c>
      <c r="E24" s="2">
        <v>835</v>
      </c>
      <c r="F24" s="2">
        <f>734379*1000000</f>
        <v>734379000000</v>
      </c>
      <c r="G24" s="24">
        <f t="shared" si="2"/>
        <v>9.021854253730023</v>
      </c>
    </row>
    <row r="25" spans="1:7" ht="15.75" x14ac:dyDescent="0.25">
      <c r="A25" s="49"/>
      <c r="B25" s="52"/>
      <c r="C25" s="1">
        <v>2021</v>
      </c>
      <c r="D25" s="2">
        <v>7934683000</v>
      </c>
      <c r="E25" s="2">
        <v>3400</v>
      </c>
      <c r="F25" s="2">
        <f>4696939*1000000</f>
        <v>4696939000000</v>
      </c>
      <c r="G25" s="24">
        <f t="shared" si="2"/>
        <v>5.7437241999523518</v>
      </c>
    </row>
    <row r="26" spans="1:7" ht="15.75" x14ac:dyDescent="0.25">
      <c r="A26" s="50"/>
      <c r="B26" s="53"/>
      <c r="C26" s="1">
        <v>2022</v>
      </c>
      <c r="D26" s="2">
        <v>7934683000</v>
      </c>
      <c r="E26" s="2">
        <v>4250</v>
      </c>
      <c r="F26" s="2">
        <f>5258332*1000000</f>
        <v>5258332000000</v>
      </c>
      <c r="G26" s="24">
        <f t="shared" si="2"/>
        <v>6.4131368559459538</v>
      </c>
    </row>
    <row r="27" spans="1:7" ht="15.75" x14ac:dyDescent="0.25">
      <c r="A27" s="48">
        <v>9</v>
      </c>
      <c r="B27" s="51" t="s">
        <v>13</v>
      </c>
      <c r="C27" s="1">
        <v>2019</v>
      </c>
      <c r="D27" s="2">
        <v>889863981</v>
      </c>
      <c r="E27" s="2">
        <v>910</v>
      </c>
      <c r="F27" s="2">
        <v>109361193193</v>
      </c>
      <c r="G27" s="24">
        <f>D27*E27/F27</f>
        <v>7.404603032091206</v>
      </c>
    </row>
    <row r="28" spans="1:7" ht="15.75" x14ac:dyDescent="0.25">
      <c r="A28" s="49"/>
      <c r="B28" s="52"/>
      <c r="C28" s="1">
        <v>2020</v>
      </c>
      <c r="D28" s="2">
        <v>889863981</v>
      </c>
      <c r="E28" s="2">
        <v>700</v>
      </c>
      <c r="F28" s="2">
        <v>112068982561</v>
      </c>
      <c r="G28" s="24">
        <f t="shared" si="2"/>
        <v>5.5582264821664475</v>
      </c>
    </row>
    <row r="29" spans="1:7" ht="15.75" x14ac:dyDescent="0.25">
      <c r="A29" s="49"/>
      <c r="B29" s="52"/>
      <c r="C29" s="1">
        <v>2021</v>
      </c>
      <c r="D29" s="2">
        <v>889863981</v>
      </c>
      <c r="E29" s="2">
        <v>288</v>
      </c>
      <c r="F29" s="2">
        <v>218832136935</v>
      </c>
      <c r="G29" s="24">
        <f t="shared" si="2"/>
        <v>1.1711297532323757</v>
      </c>
    </row>
    <row r="30" spans="1:7" ht="15.75" x14ac:dyDescent="0.25">
      <c r="A30" s="50"/>
      <c r="B30" s="53"/>
      <c r="C30" s="1">
        <v>2022</v>
      </c>
      <c r="D30" s="2">
        <v>889863981</v>
      </c>
      <c r="E30" s="2">
        <v>268</v>
      </c>
      <c r="F30" s="2">
        <v>204293087838</v>
      </c>
      <c r="G30" s="24">
        <f t="shared" si="2"/>
        <v>1.1673598428210763</v>
      </c>
    </row>
    <row r="31" spans="1:7" ht="15.75" x14ac:dyDescent="0.25">
      <c r="A31" s="48">
        <v>10</v>
      </c>
      <c r="B31" s="51" t="s">
        <v>14</v>
      </c>
      <c r="C31" s="1">
        <v>2019</v>
      </c>
      <c r="D31" s="2">
        <v>800659050</v>
      </c>
      <c r="E31" s="2">
        <v>3830</v>
      </c>
      <c r="F31" s="2">
        <f>1213653*1000000</f>
        <v>1213653000000</v>
      </c>
      <c r="G31" s="24">
        <f t="shared" si="2"/>
        <v>2.5266893926847294</v>
      </c>
    </row>
    <row r="32" spans="1:7" ht="15.75" x14ac:dyDescent="0.25">
      <c r="A32" s="49"/>
      <c r="B32" s="52"/>
      <c r="C32" s="1">
        <v>2020</v>
      </c>
      <c r="D32" s="2">
        <v>800659050</v>
      </c>
      <c r="E32" s="2">
        <v>3740</v>
      </c>
      <c r="F32" s="2">
        <f>1019899*1000000</f>
        <v>1019899000000</v>
      </c>
      <c r="G32" s="24">
        <f t="shared" si="2"/>
        <v>2.9360405755864063</v>
      </c>
    </row>
    <row r="33" spans="1:7" ht="15.75" x14ac:dyDescent="0.25">
      <c r="A33" s="49"/>
      <c r="B33" s="52"/>
      <c r="C33" s="1">
        <v>2021</v>
      </c>
      <c r="D33" s="2">
        <v>800659050</v>
      </c>
      <c r="E33" s="2">
        <v>4400</v>
      </c>
      <c r="F33" s="2">
        <f>1010174*1000000</f>
        <v>1010174000000</v>
      </c>
      <c r="G33" s="24">
        <f t="shared" si="2"/>
        <v>3.4874188209160004</v>
      </c>
    </row>
    <row r="34" spans="1:7" ht="15.75" x14ac:dyDescent="0.25">
      <c r="A34" s="50"/>
      <c r="B34" s="53"/>
      <c r="C34" s="1">
        <v>2022</v>
      </c>
      <c r="D34" s="2">
        <v>800659050</v>
      </c>
      <c r="E34" s="2">
        <v>6800</v>
      </c>
      <c r="F34" s="2">
        <f>1000776*1000000</f>
        <v>1000776000000</v>
      </c>
      <c r="G34" s="24">
        <f t="shared" si="2"/>
        <v>5.4402598983189048</v>
      </c>
    </row>
    <row r="35" spans="1:7" ht="15.75" x14ac:dyDescent="0.25">
      <c r="A35" s="48">
        <v>11</v>
      </c>
      <c r="B35" s="51" t="s">
        <v>15</v>
      </c>
      <c r="C35" s="1">
        <v>2019</v>
      </c>
      <c r="D35" s="2">
        <v>9468359000</v>
      </c>
      <c r="E35" s="2">
        <v>810</v>
      </c>
      <c r="F35" s="2">
        <f>3283591*1000000</f>
        <v>3283591000000</v>
      </c>
      <c r="G35" s="24">
        <f t="shared" si="2"/>
        <v>2.3356656751708722</v>
      </c>
    </row>
    <row r="36" spans="1:7" ht="15.75" x14ac:dyDescent="0.25">
      <c r="A36" s="49"/>
      <c r="B36" s="52"/>
      <c r="C36" s="1">
        <v>2020</v>
      </c>
      <c r="D36" s="2">
        <v>9468359000</v>
      </c>
      <c r="E36" s="2">
        <v>920</v>
      </c>
      <c r="F36" s="2">
        <f>4655596*1000000</f>
        <v>4655596000000</v>
      </c>
      <c r="G36" s="24">
        <f t="shared" si="2"/>
        <v>1.871058029949334</v>
      </c>
    </row>
    <row r="37" spans="1:7" ht="15.75" x14ac:dyDescent="0.25">
      <c r="A37" s="49"/>
      <c r="B37" s="52"/>
      <c r="C37" s="1">
        <v>2021</v>
      </c>
      <c r="D37" s="2">
        <v>9468359000</v>
      </c>
      <c r="E37" s="2">
        <v>905</v>
      </c>
      <c r="F37" s="2">
        <f>5019381*1000000</f>
        <v>5019381000000</v>
      </c>
      <c r="G37" s="24">
        <f t="shared" si="2"/>
        <v>1.7071557020676453</v>
      </c>
    </row>
    <row r="38" spans="1:7" ht="15.75" x14ac:dyDescent="0.25">
      <c r="A38" s="50"/>
      <c r="B38" s="53"/>
      <c r="C38" s="1">
        <v>2022</v>
      </c>
      <c r="D38" s="2">
        <v>9468359000</v>
      </c>
      <c r="E38" s="2">
        <v>815</v>
      </c>
      <c r="F38" s="2">
        <f>5411262*1000000</f>
        <v>5411262000000</v>
      </c>
      <c r="G38" s="24">
        <f t="shared" si="2"/>
        <v>1.4260467493534781</v>
      </c>
    </row>
    <row r="39" spans="1:7" ht="15.75" x14ac:dyDescent="0.25">
      <c r="A39" s="48">
        <v>12</v>
      </c>
      <c r="B39" s="51" t="s">
        <v>16</v>
      </c>
      <c r="C39" s="1">
        <v>2019</v>
      </c>
      <c r="D39" s="2">
        <v>5642275242</v>
      </c>
      <c r="E39" s="2">
        <v>5575</v>
      </c>
      <c r="F39" s="2">
        <f>12265.3*1000000000</f>
        <v>12265300000000</v>
      </c>
      <c r="G39" s="24">
        <f t="shared" si="2"/>
        <v>2.5646078346351087</v>
      </c>
    </row>
    <row r="40" spans="1:7" ht="15.75" x14ac:dyDescent="0.25">
      <c r="A40" s="49"/>
      <c r="B40" s="52"/>
      <c r="C40" s="1">
        <v>2020</v>
      </c>
      <c r="D40" s="2">
        <v>5643957342</v>
      </c>
      <c r="E40" s="2">
        <v>14000</v>
      </c>
      <c r="F40" s="2">
        <f>12399*1000000000</f>
        <v>12399000000000</v>
      </c>
      <c r="G40" s="24">
        <f t="shared" si="2"/>
        <v>6.3727238315993224</v>
      </c>
    </row>
    <row r="41" spans="1:7" ht="15.75" x14ac:dyDescent="0.25">
      <c r="A41" s="49"/>
      <c r="B41" s="52"/>
      <c r="C41" s="1">
        <v>2021</v>
      </c>
      <c r="D41" s="2">
        <v>61241751483</v>
      </c>
      <c r="E41" s="2">
        <v>2280</v>
      </c>
      <c r="F41" s="2">
        <f>33668.9*1000000000</f>
        <v>33668900000000</v>
      </c>
      <c r="G41" s="24">
        <f t="shared" si="2"/>
        <v>4.1471860791781143</v>
      </c>
    </row>
    <row r="42" spans="1:7" ht="15.75" x14ac:dyDescent="0.25">
      <c r="A42" s="50"/>
      <c r="B42" s="53"/>
      <c r="C42" s="1">
        <v>2022</v>
      </c>
      <c r="D42" s="2">
        <v>61241751483</v>
      </c>
      <c r="E42" s="2">
        <v>13000</v>
      </c>
      <c r="F42" s="2">
        <f>39896.6*1000000000</f>
        <v>39896600000000</v>
      </c>
      <c r="G42" s="24">
        <f t="shared" si="2"/>
        <v>19.955153303263938</v>
      </c>
    </row>
    <row r="43" spans="1:7" ht="15.75" x14ac:dyDescent="0.25">
      <c r="A43" s="48">
        <v>13</v>
      </c>
      <c r="B43" s="51" t="s">
        <v>17</v>
      </c>
      <c r="C43" s="1">
        <v>2019</v>
      </c>
      <c r="D43" s="2">
        <v>650000000</v>
      </c>
      <c r="E43" s="2">
        <v>119</v>
      </c>
      <c r="F43" s="2">
        <f>74052*1000000</f>
        <v>74052000000</v>
      </c>
      <c r="G43" s="24">
        <f t="shared" si="2"/>
        <v>1.044536271808999</v>
      </c>
    </row>
    <row r="44" spans="1:7" ht="15.75" x14ac:dyDescent="0.25">
      <c r="A44" s="49"/>
      <c r="B44" s="52"/>
      <c r="C44" s="1">
        <v>2020</v>
      </c>
      <c r="D44" s="2">
        <v>650000000</v>
      </c>
      <c r="E44" s="2">
        <v>104</v>
      </c>
      <c r="F44" s="2">
        <f>56241*1000000</f>
        <v>56241000000</v>
      </c>
      <c r="G44" s="24">
        <f t="shared" si="2"/>
        <v>1.2019700929926567</v>
      </c>
    </row>
    <row r="45" spans="1:7" ht="15.75" x14ac:dyDescent="0.25">
      <c r="A45" s="49"/>
      <c r="B45" s="52"/>
      <c r="C45" s="1">
        <v>2021</v>
      </c>
      <c r="D45" s="2">
        <v>650000000</v>
      </c>
      <c r="E45" s="2">
        <v>133</v>
      </c>
      <c r="F45" s="2">
        <f>43741*1000000</f>
        <v>43741000000</v>
      </c>
      <c r="G45" s="24">
        <f t="shared" si="2"/>
        <v>1.9764065750668709</v>
      </c>
    </row>
    <row r="46" spans="1:7" ht="15.75" x14ac:dyDescent="0.25">
      <c r="A46" s="50"/>
      <c r="B46" s="53"/>
      <c r="C46" s="1">
        <v>2022</v>
      </c>
      <c r="D46" s="2">
        <v>650000000</v>
      </c>
      <c r="E46" s="2">
        <v>111</v>
      </c>
      <c r="F46" s="2">
        <f>41665*1000000</f>
        <v>41665000000</v>
      </c>
      <c r="G46" s="24">
        <f t="shared" si="2"/>
        <v>1.7316692667706708</v>
      </c>
    </row>
    <row r="47" spans="1:7" ht="15.75" x14ac:dyDescent="0.25">
      <c r="A47" s="48">
        <v>14</v>
      </c>
      <c r="B47" s="51" t="s">
        <v>18</v>
      </c>
      <c r="C47" s="1">
        <v>2019</v>
      </c>
      <c r="D47" s="2">
        <v>7379580291</v>
      </c>
      <c r="E47" s="2">
        <v>1510</v>
      </c>
      <c r="F47" s="2">
        <f>2766*1000000000</f>
        <v>2766000000000</v>
      </c>
      <c r="G47" s="24">
        <f t="shared" si="2"/>
        <v>4.0286212000759223</v>
      </c>
    </row>
    <row r="48" spans="1:7" ht="15.75" x14ac:dyDescent="0.25">
      <c r="A48" s="49"/>
      <c r="B48" s="52"/>
      <c r="C48" s="1">
        <v>2020</v>
      </c>
      <c r="D48" s="2">
        <v>7379580291</v>
      </c>
      <c r="E48" s="2">
        <v>1270</v>
      </c>
      <c r="F48" s="2">
        <f>2969*1000000000</f>
        <v>2969000000000</v>
      </c>
      <c r="G48" s="24">
        <f t="shared" si="2"/>
        <v>3.1566409463017853</v>
      </c>
    </row>
    <row r="49" spans="1:7" ht="15.75" x14ac:dyDescent="0.25">
      <c r="A49" s="49"/>
      <c r="B49" s="52"/>
      <c r="C49" s="1">
        <v>2021</v>
      </c>
      <c r="D49" s="2">
        <v>36897901455</v>
      </c>
      <c r="E49" s="2">
        <v>525</v>
      </c>
      <c r="F49" s="2">
        <f>3042*1000000000</f>
        <v>3042000000000</v>
      </c>
      <c r="G49" s="24">
        <f t="shared" si="2"/>
        <v>6.3679810203402365</v>
      </c>
    </row>
    <row r="50" spans="1:7" ht="15.75" x14ac:dyDescent="0.25">
      <c r="A50" s="50"/>
      <c r="B50" s="53"/>
      <c r="C50" s="1">
        <v>2022</v>
      </c>
      <c r="D50" s="2">
        <v>36897901455</v>
      </c>
      <c r="E50" s="2">
        <v>525</v>
      </c>
      <c r="F50" s="2">
        <f>3351*1000000000</f>
        <v>3351000000000</v>
      </c>
      <c r="G50" s="24">
        <f t="shared" si="2"/>
        <v>5.7807813380707254</v>
      </c>
    </row>
    <row r="51" spans="1:7" ht="15.75" x14ac:dyDescent="0.25">
      <c r="A51" s="48">
        <v>15</v>
      </c>
      <c r="B51" s="51" t="s">
        <v>19</v>
      </c>
      <c r="C51" s="1">
        <v>2019</v>
      </c>
      <c r="D51" s="2">
        <v>2419438170</v>
      </c>
      <c r="E51" s="2">
        <v>573</v>
      </c>
      <c r="F51" s="2">
        <v>641567444819</v>
      </c>
      <c r="G51" s="24">
        <f>D51*E51/F51</f>
        <v>2.1608610016069565</v>
      </c>
    </row>
    <row r="52" spans="1:7" ht="15.75" x14ac:dyDescent="0.25">
      <c r="A52" s="49"/>
      <c r="B52" s="52"/>
      <c r="C52" s="1">
        <v>2020</v>
      </c>
      <c r="D52" s="2">
        <v>2419438170</v>
      </c>
      <c r="E52" s="2">
        <v>756</v>
      </c>
      <c r="F52" s="2">
        <v>662560916609</v>
      </c>
      <c r="G52" s="24">
        <f t="shared" si="2"/>
        <v>2.7606446602394632</v>
      </c>
    </row>
    <row r="53" spans="1:7" ht="15.75" x14ac:dyDescent="0.25">
      <c r="A53" s="49"/>
      <c r="B53" s="52"/>
      <c r="C53" s="1">
        <v>2021</v>
      </c>
      <c r="D53" s="2">
        <v>9677752680</v>
      </c>
      <c r="E53" s="2">
        <v>232</v>
      </c>
      <c r="F53" s="2">
        <v>674176387075</v>
      </c>
      <c r="G53" s="24">
        <f t="shared" si="2"/>
        <v>3.3303430152771343</v>
      </c>
    </row>
    <row r="54" spans="1:7" ht="15.75" x14ac:dyDescent="0.25">
      <c r="A54" s="50"/>
      <c r="B54" s="53"/>
      <c r="C54" s="1">
        <v>2022</v>
      </c>
      <c r="D54" s="2">
        <v>9677752680</v>
      </c>
      <c r="E54" s="2">
        <v>103</v>
      </c>
      <c r="F54" s="2">
        <v>668859547083</v>
      </c>
      <c r="G54" s="24">
        <f t="shared" si="2"/>
        <v>1.4903106794053196</v>
      </c>
    </row>
    <row r="55" spans="1:7" ht="15.75" x14ac:dyDescent="0.25">
      <c r="A55" s="48">
        <v>16</v>
      </c>
      <c r="B55" s="51" t="s">
        <v>20</v>
      </c>
      <c r="C55" s="1">
        <v>2019</v>
      </c>
      <c r="D55" s="2">
        <f>11662*1000000</f>
        <v>11662000000</v>
      </c>
      <c r="E55" s="2">
        <v>11150</v>
      </c>
      <c r="F55" s="2">
        <f>26671.1*1000000000</f>
        <v>26671100000000</v>
      </c>
      <c r="G55" s="24">
        <f t="shared" ref="G55:G86" si="3">D55*E55/F55</f>
        <v>4.8753632208645312</v>
      </c>
    </row>
    <row r="56" spans="1:7" ht="15.75" x14ac:dyDescent="0.25">
      <c r="A56" s="49"/>
      <c r="B56" s="52"/>
      <c r="C56" s="1">
        <v>2020</v>
      </c>
      <c r="D56" s="2">
        <f>11662*1000000</f>
        <v>11662000000</v>
      </c>
      <c r="E56" s="2">
        <v>9575</v>
      </c>
      <c r="F56" s="2">
        <f>50659.8*1000000000</f>
        <v>50659800000000</v>
      </c>
      <c r="G56" s="24">
        <f t="shared" si="3"/>
        <v>2.2041865542303758</v>
      </c>
    </row>
    <row r="57" spans="1:7" ht="15.75" x14ac:dyDescent="0.25">
      <c r="A57" s="49"/>
      <c r="B57" s="52"/>
      <c r="C57" s="1">
        <v>2021</v>
      </c>
      <c r="D57" s="2">
        <f>11662*1000000</f>
        <v>11662000000</v>
      </c>
      <c r="E57" s="2">
        <v>8700</v>
      </c>
      <c r="F57" s="2">
        <f>54940.6*1000000000</f>
        <v>54940600000000</v>
      </c>
      <c r="G57" s="24">
        <f t="shared" si="3"/>
        <v>1.8467108113125812</v>
      </c>
    </row>
    <row r="58" spans="1:7" ht="15.75" x14ac:dyDescent="0.25">
      <c r="A58" s="50"/>
      <c r="B58" s="53"/>
      <c r="C58" s="1">
        <v>2022</v>
      </c>
      <c r="D58" s="2">
        <f>11662*1000000</f>
        <v>11662000000</v>
      </c>
      <c r="E58" s="2">
        <v>10000</v>
      </c>
      <c r="F58" s="2">
        <f>57473*1000000000</f>
        <v>57473000000000</v>
      </c>
      <c r="G58" s="24">
        <f t="shared" si="3"/>
        <v>2.0291267203730445</v>
      </c>
    </row>
    <row r="59" spans="1:7" ht="15.75" x14ac:dyDescent="0.25">
      <c r="A59" s="48">
        <v>17</v>
      </c>
      <c r="B59" s="51" t="s">
        <v>21</v>
      </c>
      <c r="C59" s="1">
        <v>2019</v>
      </c>
      <c r="D59" s="2">
        <v>33600000000</v>
      </c>
      <c r="E59" s="2">
        <v>50</v>
      </c>
      <c r="F59" s="2">
        <f>359441*1000000</f>
        <v>359441000000</v>
      </c>
      <c r="G59" s="24">
        <f t="shared" si="3"/>
        <v>4.6739242323496759</v>
      </c>
    </row>
    <row r="60" spans="1:7" ht="15.75" x14ac:dyDescent="0.25">
      <c r="A60" s="49"/>
      <c r="B60" s="52"/>
      <c r="C60" s="1">
        <v>2020</v>
      </c>
      <c r="D60" s="2">
        <v>33600000000</v>
      </c>
      <c r="E60" s="2">
        <v>50</v>
      </c>
      <c r="F60" s="2">
        <f>317896*1000000</f>
        <v>317896000000</v>
      </c>
      <c r="G60" s="24">
        <f t="shared" si="3"/>
        <v>5.284747212924982</v>
      </c>
    </row>
    <row r="61" spans="1:7" ht="15.75" x14ac:dyDescent="0.25">
      <c r="A61" s="49"/>
      <c r="B61" s="52"/>
      <c r="C61" s="1">
        <v>2021</v>
      </c>
      <c r="D61" s="2">
        <v>33600000000</v>
      </c>
      <c r="E61" s="2">
        <v>50</v>
      </c>
      <c r="F61" s="2">
        <f>274358*1000000</f>
        <v>274358000000</v>
      </c>
      <c r="G61" s="24">
        <f t="shared" si="3"/>
        <v>6.1233862325866202</v>
      </c>
    </row>
    <row r="62" spans="1:7" ht="15.75" x14ac:dyDescent="0.25">
      <c r="A62" s="50"/>
      <c r="B62" s="53"/>
      <c r="C62" s="1">
        <v>2022</v>
      </c>
      <c r="D62" s="2">
        <v>33600000000</v>
      </c>
      <c r="E62" s="2">
        <v>50</v>
      </c>
      <c r="F62" s="2">
        <v>226359000000</v>
      </c>
      <c r="G62" s="24">
        <f t="shared" si="3"/>
        <v>7.4218387605529266</v>
      </c>
    </row>
    <row r="63" spans="1:7" ht="15.75" x14ac:dyDescent="0.25">
      <c r="A63" s="48">
        <v>18</v>
      </c>
      <c r="B63" s="51" t="s">
        <v>22</v>
      </c>
      <c r="C63" s="1">
        <v>2019</v>
      </c>
      <c r="D63" s="2">
        <v>500000000</v>
      </c>
      <c r="E63" s="2">
        <v>153</v>
      </c>
      <c r="F63" s="2">
        <v>33568484722</v>
      </c>
      <c r="G63" s="25">
        <f t="shared" si="3"/>
        <v>2.2789232410560278</v>
      </c>
    </row>
    <row r="64" spans="1:7" ht="15.75" x14ac:dyDescent="0.25">
      <c r="A64" s="49"/>
      <c r="B64" s="52"/>
      <c r="C64" s="1">
        <v>2020</v>
      </c>
      <c r="D64" s="2">
        <v>833333000</v>
      </c>
      <c r="E64" s="2">
        <v>147</v>
      </c>
      <c r="F64" s="2">
        <v>69133692905</v>
      </c>
      <c r="G64" s="25">
        <f t="shared" si="3"/>
        <v>1.7719283586996168</v>
      </c>
    </row>
    <row r="65" spans="1:7" ht="15.75" x14ac:dyDescent="0.25">
      <c r="A65" s="49"/>
      <c r="B65" s="52"/>
      <c r="C65" s="1">
        <v>2021</v>
      </c>
      <c r="D65" s="2">
        <v>833333000</v>
      </c>
      <c r="E65" s="2">
        <v>95</v>
      </c>
      <c r="F65" s="2">
        <v>70724745093</v>
      </c>
      <c r="G65" s="25">
        <f t="shared" si="3"/>
        <v>1.119362606339539</v>
      </c>
    </row>
    <row r="66" spans="1:7" ht="15.75" x14ac:dyDescent="0.25">
      <c r="A66" s="50"/>
      <c r="B66" s="53"/>
      <c r="C66" s="1">
        <v>2022</v>
      </c>
      <c r="D66" s="2">
        <v>833333000</v>
      </c>
      <c r="E66" s="2">
        <v>59</v>
      </c>
      <c r="F66" s="2">
        <v>72756417261</v>
      </c>
      <c r="G66" s="25">
        <f t="shared" si="3"/>
        <v>0.67577058974226112</v>
      </c>
    </row>
    <row r="67" spans="1:7" ht="15.75" x14ac:dyDescent="0.25">
      <c r="A67" s="48">
        <v>19</v>
      </c>
      <c r="B67" s="51" t="s">
        <v>23</v>
      </c>
      <c r="C67" s="1">
        <v>2019</v>
      </c>
      <c r="D67" s="2">
        <v>8780400000</v>
      </c>
      <c r="E67" s="2">
        <v>6225</v>
      </c>
      <c r="F67" s="2">
        <f>54202.5*1000000000</f>
        <v>54202500000000</v>
      </c>
      <c r="G67" s="24">
        <f t="shared" si="3"/>
        <v>1.0084034869240348</v>
      </c>
    </row>
    <row r="68" spans="1:7" ht="15.75" x14ac:dyDescent="0.25">
      <c r="A68" s="49"/>
      <c r="B68" s="52"/>
      <c r="C68" s="1">
        <v>2020</v>
      </c>
      <c r="D68" s="2">
        <v>8780400000</v>
      </c>
      <c r="E68" s="2">
        <v>6850</v>
      </c>
      <c r="F68" s="2">
        <f>79654*1000000000</f>
        <v>79654000000000</v>
      </c>
      <c r="G68" s="24">
        <f t="shared" si="3"/>
        <v>0.75508750345243181</v>
      </c>
    </row>
    <row r="69" spans="1:7" ht="15.75" x14ac:dyDescent="0.25">
      <c r="A69" s="49"/>
      <c r="B69" s="52"/>
      <c r="C69" s="1">
        <v>2021</v>
      </c>
      <c r="D69" s="2">
        <v>8780400000</v>
      </c>
      <c r="E69" s="2">
        <v>6325</v>
      </c>
      <c r="F69" s="2">
        <f>86986.5*1000000000</f>
        <v>86986500000000</v>
      </c>
      <c r="G69" s="24">
        <f t="shared" si="3"/>
        <v>0.63844424134779532</v>
      </c>
    </row>
    <row r="70" spans="1:7" ht="15.75" x14ac:dyDescent="0.25">
      <c r="A70" s="50"/>
      <c r="B70" s="53"/>
      <c r="C70" s="1">
        <v>2022</v>
      </c>
      <c r="D70" s="2">
        <v>8780400000</v>
      </c>
      <c r="E70" s="2">
        <v>6725</v>
      </c>
      <c r="F70" s="2">
        <f>93623*1000000000</f>
        <v>93623000000000</v>
      </c>
      <c r="G70" s="24">
        <f t="shared" si="3"/>
        <v>0.63070175063819789</v>
      </c>
    </row>
    <row r="71" spans="1:7" ht="15.75" x14ac:dyDescent="0.25">
      <c r="A71" s="48">
        <v>20</v>
      </c>
      <c r="B71" s="51" t="s">
        <v>24</v>
      </c>
      <c r="C71" s="1">
        <v>2019</v>
      </c>
      <c r="D71" s="2">
        <f>1500000*1000</f>
        <v>1500000000</v>
      </c>
      <c r="E71" s="2">
        <v>940</v>
      </c>
      <c r="F71" s="2">
        <v>435693976887</v>
      </c>
      <c r="G71" s="24">
        <f t="shared" si="3"/>
        <v>3.2362164151874251</v>
      </c>
    </row>
    <row r="72" spans="1:7" ht="15.75" x14ac:dyDescent="0.25">
      <c r="A72" s="49"/>
      <c r="B72" s="52"/>
      <c r="C72" s="1">
        <v>2020</v>
      </c>
      <c r="D72" s="2">
        <f>1500000*1000</f>
        <v>1500000000</v>
      </c>
      <c r="E72" s="2">
        <v>1355</v>
      </c>
      <c r="F72" s="2">
        <v>440900964118</v>
      </c>
      <c r="G72" s="24">
        <f t="shared" si="3"/>
        <v>4.609878783245378</v>
      </c>
    </row>
    <row r="73" spans="1:7" ht="15.75" x14ac:dyDescent="0.25">
      <c r="A73" s="49"/>
      <c r="B73" s="52"/>
      <c r="C73" s="1">
        <v>2021</v>
      </c>
      <c r="D73" s="2">
        <f>1500000*1000</f>
        <v>1500000000</v>
      </c>
      <c r="E73" s="2">
        <v>1185</v>
      </c>
      <c r="F73" s="2">
        <v>585825528987</v>
      </c>
      <c r="G73" s="24">
        <f t="shared" si="3"/>
        <v>3.0341798232549273</v>
      </c>
    </row>
    <row r="74" spans="1:7" ht="15.75" x14ac:dyDescent="0.25">
      <c r="A74" s="50"/>
      <c r="B74" s="53"/>
      <c r="C74" s="1">
        <v>2022</v>
      </c>
      <c r="D74" s="2">
        <f>1500000*1000</f>
        <v>1500000000</v>
      </c>
      <c r="E74" s="2">
        <v>1430</v>
      </c>
      <c r="F74" s="2">
        <v>703505819337</v>
      </c>
      <c r="G74" s="24">
        <f t="shared" si="3"/>
        <v>3.049015290337608</v>
      </c>
    </row>
    <row r="75" spans="1:7" ht="15.75" x14ac:dyDescent="0.25">
      <c r="A75" s="48">
        <v>21</v>
      </c>
      <c r="B75" s="51" t="s">
        <v>25</v>
      </c>
      <c r="C75" s="1">
        <v>2019</v>
      </c>
      <c r="D75" s="2">
        <v>1428571500</v>
      </c>
      <c r="E75" s="2">
        <v>3430</v>
      </c>
      <c r="F75" s="2">
        <f>2702862*1000000</f>
        <v>2702862000000</v>
      </c>
      <c r="G75" s="24">
        <f t="shared" si="3"/>
        <v>1.8128932387225096</v>
      </c>
    </row>
    <row r="76" spans="1:7" ht="15.75" x14ac:dyDescent="0.25">
      <c r="A76" s="49"/>
      <c r="B76" s="52"/>
      <c r="C76" s="1">
        <v>2020</v>
      </c>
      <c r="D76" s="2">
        <v>1428571500</v>
      </c>
      <c r="E76" s="2">
        <v>2720</v>
      </c>
      <c r="F76" s="2">
        <f>2614062*1000000</f>
        <v>2614062000000</v>
      </c>
      <c r="G76" s="24">
        <f t="shared" si="3"/>
        <v>1.4864660746378624</v>
      </c>
    </row>
    <row r="77" spans="1:7" ht="15.75" x14ac:dyDescent="0.25">
      <c r="A77" s="49"/>
      <c r="B77" s="52"/>
      <c r="C77" s="1">
        <v>2021</v>
      </c>
      <c r="D77" s="2">
        <v>1428571500</v>
      </c>
      <c r="E77" s="2">
        <v>2030</v>
      </c>
      <c r="F77" s="2">
        <f>2688443*1000000</f>
        <v>2688443000000</v>
      </c>
      <c r="G77" s="24">
        <f t="shared" si="3"/>
        <v>1.0786913261690874</v>
      </c>
    </row>
    <row r="78" spans="1:7" ht="15.75" x14ac:dyDescent="0.25">
      <c r="A78" s="50"/>
      <c r="B78" s="53"/>
      <c r="C78" s="1">
        <v>2022</v>
      </c>
      <c r="D78" s="2">
        <v>1428571500</v>
      </c>
      <c r="E78" s="2">
        <v>1535</v>
      </c>
      <c r="F78" s="2">
        <f>1533820*1000000</f>
        <v>1533820000000</v>
      </c>
      <c r="G78" s="24">
        <f t="shared" si="3"/>
        <v>1.4296705301143551</v>
      </c>
    </row>
    <row r="79" spans="1:7" ht="15.75" x14ac:dyDescent="0.25">
      <c r="A79" s="48">
        <v>22</v>
      </c>
      <c r="B79" s="51" t="s">
        <v>26</v>
      </c>
      <c r="C79" s="1">
        <v>2019</v>
      </c>
      <c r="D79" s="2">
        <v>2107000000</v>
      </c>
      <c r="E79" s="2">
        <v>9550</v>
      </c>
      <c r="F79" s="2">
        <f>1146007*1000000</f>
        <v>1146007000000</v>
      </c>
      <c r="G79" s="24">
        <f t="shared" si="3"/>
        <v>17.558226084133867</v>
      </c>
    </row>
    <row r="80" spans="1:7" ht="15.75" x14ac:dyDescent="0.25">
      <c r="A80" s="49"/>
      <c r="B80" s="52"/>
      <c r="C80" s="1">
        <v>2020</v>
      </c>
      <c r="D80" s="2">
        <v>2107000000</v>
      </c>
      <c r="E80" s="2">
        <v>9700</v>
      </c>
      <c r="F80" s="2">
        <f>1433406*1000000</f>
        <v>1433406000000</v>
      </c>
      <c r="G80" s="24">
        <f t="shared" si="3"/>
        <v>14.258277138507861</v>
      </c>
    </row>
    <row r="81" spans="1:7" ht="15.75" x14ac:dyDescent="0.25">
      <c r="A81" s="49"/>
      <c r="B81" s="52"/>
      <c r="C81" s="1">
        <v>2021</v>
      </c>
      <c r="D81" s="2">
        <v>2107000000</v>
      </c>
      <c r="E81" s="2">
        <v>7800</v>
      </c>
      <c r="F81" s="2">
        <f>1099157*1000000</f>
        <v>1099157000000</v>
      </c>
      <c r="G81" s="24">
        <f t="shared" si="3"/>
        <v>14.952004126798993</v>
      </c>
    </row>
    <row r="82" spans="1:7" ht="15.75" x14ac:dyDescent="0.25">
      <c r="A82" s="50"/>
      <c r="B82" s="53"/>
      <c r="C82" s="1">
        <v>2022</v>
      </c>
      <c r="D82" s="2">
        <v>2107000000</v>
      </c>
      <c r="E82" s="2">
        <v>8950</v>
      </c>
      <c r="F82" s="2">
        <f>1073275*1000000</f>
        <v>1073275000000</v>
      </c>
      <c r="G82" s="24">
        <f t="shared" si="3"/>
        <v>17.570194032284363</v>
      </c>
    </row>
    <row r="83" spans="1:7" ht="15.75" x14ac:dyDescent="0.25">
      <c r="A83" s="48">
        <v>23</v>
      </c>
      <c r="B83" s="51" t="s">
        <v>27</v>
      </c>
      <c r="C83" s="1">
        <v>2019</v>
      </c>
      <c r="D83" s="2">
        <v>22358699725</v>
      </c>
      <c r="E83" s="2">
        <v>1950</v>
      </c>
      <c r="F83" s="2">
        <f>9911940*1000000</f>
        <v>9911940000000</v>
      </c>
      <c r="G83" s="24">
        <f t="shared" si="3"/>
        <v>4.3986812333155774</v>
      </c>
    </row>
    <row r="84" spans="1:7" ht="15.75" x14ac:dyDescent="0.25">
      <c r="A84" s="49"/>
      <c r="B84" s="52"/>
      <c r="C84" s="1">
        <v>2020</v>
      </c>
      <c r="D84" s="2">
        <v>22358699725</v>
      </c>
      <c r="E84" s="2">
        <v>2710</v>
      </c>
      <c r="F84" s="2">
        <f>11271468*1000000</f>
        <v>11271468000000</v>
      </c>
      <c r="G84" s="24">
        <f t="shared" si="3"/>
        <v>5.3757040568939205</v>
      </c>
    </row>
    <row r="85" spans="1:7" ht="15.75" x14ac:dyDescent="0.25">
      <c r="A85" s="49"/>
      <c r="B85" s="52"/>
      <c r="C85" s="1">
        <v>2021</v>
      </c>
      <c r="D85" s="2">
        <v>22358699725</v>
      </c>
      <c r="E85" s="2">
        <v>2040</v>
      </c>
      <c r="F85" s="2">
        <f>11360031*1000000</f>
        <v>11360031000000</v>
      </c>
      <c r="G85" s="24">
        <f t="shared" si="3"/>
        <v>4.0151076558681922</v>
      </c>
    </row>
    <row r="86" spans="1:7" ht="15.75" x14ac:dyDescent="0.25">
      <c r="A86" s="50"/>
      <c r="B86" s="53"/>
      <c r="C86" s="1">
        <v>2022</v>
      </c>
      <c r="D86" s="2">
        <v>22358699725</v>
      </c>
      <c r="E86" s="2">
        <v>2500</v>
      </c>
      <c r="F86" s="2">
        <f>12834694*1000000</f>
        <v>12834694000000</v>
      </c>
      <c r="G86" s="24">
        <f t="shared" si="3"/>
        <v>4.3551290987147802</v>
      </c>
    </row>
    <row r="87" spans="1:7" ht="15.75" x14ac:dyDescent="0.25">
      <c r="A87" s="48">
        <v>24</v>
      </c>
      <c r="B87" s="51" t="s">
        <v>28</v>
      </c>
      <c r="C87" s="1">
        <v>2019</v>
      </c>
      <c r="D87" s="2">
        <v>807400000</v>
      </c>
      <c r="E87" s="2">
        <v>109</v>
      </c>
      <c r="F87" s="2">
        <v>5845133777</v>
      </c>
      <c r="G87" s="24">
        <f t="shared" ref="G87:G118" si="4">D87*E87/F87</f>
        <v>15.056387647840827</v>
      </c>
    </row>
    <row r="88" spans="1:7" ht="15.75" x14ac:dyDescent="0.25">
      <c r="A88" s="49"/>
      <c r="B88" s="52"/>
      <c r="C88" s="1">
        <v>2020</v>
      </c>
      <c r="D88" s="2">
        <v>807400000</v>
      </c>
      <c r="E88" s="2">
        <v>386</v>
      </c>
      <c r="F88" s="2">
        <v>58549166336</v>
      </c>
      <c r="G88" s="24">
        <f t="shared" si="4"/>
        <v>5.322986124370698</v>
      </c>
    </row>
    <row r="89" spans="1:7" ht="15.75" x14ac:dyDescent="0.25">
      <c r="A89" s="49"/>
      <c r="B89" s="52"/>
      <c r="C89" s="1">
        <v>2021</v>
      </c>
      <c r="D89" s="2">
        <v>807400000</v>
      </c>
      <c r="E89" s="2">
        <v>224</v>
      </c>
      <c r="F89" s="2">
        <v>21840987653</v>
      </c>
      <c r="G89" s="24">
        <f t="shared" si="4"/>
        <v>8.2806511717045925</v>
      </c>
    </row>
    <row r="90" spans="1:7" ht="15.75" x14ac:dyDescent="0.25">
      <c r="A90" s="50"/>
      <c r="B90" s="53"/>
      <c r="C90" s="1">
        <v>2022</v>
      </c>
      <c r="D90" s="2">
        <v>807400000</v>
      </c>
      <c r="E90" s="2">
        <v>101</v>
      </c>
      <c r="F90" s="2">
        <v>24558389638</v>
      </c>
      <c r="G90" s="24">
        <f t="shared" si="4"/>
        <v>3.3205515997603947</v>
      </c>
    </row>
    <row r="91" spans="1:7" ht="15.75" x14ac:dyDescent="0.25">
      <c r="A91" s="48">
        <v>25</v>
      </c>
      <c r="B91" s="51" t="s">
        <v>29</v>
      </c>
      <c r="C91" s="1">
        <v>2019</v>
      </c>
      <c r="D91" s="2">
        <v>410000000</v>
      </c>
      <c r="E91" s="2">
        <v>110</v>
      </c>
      <c r="F91" s="2">
        <v>39964400000</v>
      </c>
      <c r="G91" s="24">
        <f>D91*E91/F91</f>
        <v>1.1285043688883105</v>
      </c>
    </row>
    <row r="92" spans="1:7" ht="15.75" x14ac:dyDescent="0.25">
      <c r="A92" s="49"/>
      <c r="B92" s="52"/>
      <c r="C92" s="1">
        <v>2020</v>
      </c>
      <c r="D92" s="2">
        <v>410000000</v>
      </c>
      <c r="E92" s="2">
        <v>115</v>
      </c>
      <c r="F92" s="2">
        <f>39964889*1000</f>
        <v>39964889000</v>
      </c>
      <c r="G92" s="24">
        <f t="shared" si="4"/>
        <v>1.1797855862930084</v>
      </c>
    </row>
    <row r="93" spans="1:7" ht="15.75" x14ac:dyDescent="0.25">
      <c r="A93" s="49"/>
      <c r="B93" s="52"/>
      <c r="C93" s="1">
        <v>2021</v>
      </c>
      <c r="D93" s="2">
        <v>410000000</v>
      </c>
      <c r="E93" s="2">
        <v>1725</v>
      </c>
      <c r="F93" s="2">
        <f>474221651*1000</f>
        <v>474221651000</v>
      </c>
      <c r="G93" s="24">
        <f t="shared" si="4"/>
        <v>1.4913912060080108</v>
      </c>
    </row>
    <row r="94" spans="1:7" ht="15.75" x14ac:dyDescent="0.25">
      <c r="A94" s="50"/>
      <c r="B94" s="53"/>
      <c r="C94" s="1">
        <v>2022</v>
      </c>
      <c r="D94" s="2">
        <v>13530000000</v>
      </c>
      <c r="E94" s="2">
        <v>950</v>
      </c>
      <c r="F94" s="2">
        <f>7378214603*1000</f>
        <v>7378214603000</v>
      </c>
      <c r="G94" s="24">
        <f t="shared" si="4"/>
        <v>1.7420881190923527</v>
      </c>
    </row>
    <row r="95" spans="1:7" ht="15.75" x14ac:dyDescent="0.25">
      <c r="A95" s="48">
        <v>26</v>
      </c>
      <c r="B95" s="51" t="s">
        <v>30</v>
      </c>
      <c r="C95" s="1">
        <v>2019</v>
      </c>
      <c r="D95" s="2">
        <v>1166666700</v>
      </c>
      <c r="E95" s="2">
        <v>1100</v>
      </c>
      <c r="F95" s="2">
        <f>84.2*1000000000</f>
        <v>84200000000</v>
      </c>
      <c r="G95" s="24">
        <f t="shared" si="4"/>
        <v>15.241488954869359</v>
      </c>
    </row>
    <row r="96" spans="1:7" ht="15.75" x14ac:dyDescent="0.25">
      <c r="A96" s="49"/>
      <c r="B96" s="52"/>
      <c r="C96" s="1">
        <v>2020</v>
      </c>
      <c r="D96" s="2">
        <v>1166666700</v>
      </c>
      <c r="E96" s="2">
        <v>555</v>
      </c>
      <c r="F96" s="2">
        <f>63.7*1000000000</f>
        <v>63700000000</v>
      </c>
      <c r="G96" s="24">
        <f t="shared" si="4"/>
        <v>10.164835455259027</v>
      </c>
    </row>
    <row r="97" spans="1:7" ht="15.75" x14ac:dyDescent="0.25">
      <c r="A97" s="49"/>
      <c r="B97" s="52"/>
      <c r="C97" s="1">
        <v>2021</v>
      </c>
      <c r="D97" s="2">
        <v>1166666700</v>
      </c>
      <c r="E97" s="2">
        <v>282</v>
      </c>
      <c r="F97" s="2">
        <v>65022002998</v>
      </c>
      <c r="G97" s="24">
        <f t="shared" si="4"/>
        <v>5.0598258163489618</v>
      </c>
    </row>
    <row r="98" spans="1:7" ht="15.75" x14ac:dyDescent="0.25">
      <c r="A98" s="50"/>
      <c r="B98" s="53"/>
      <c r="C98" s="1">
        <v>2022</v>
      </c>
      <c r="D98" s="2">
        <v>1166666700</v>
      </c>
      <c r="E98" s="2">
        <v>87</v>
      </c>
      <c r="F98" s="2">
        <v>65219514824</v>
      </c>
      <c r="G98" s="24">
        <f t="shared" si="4"/>
        <v>1.556282704247429</v>
      </c>
    </row>
    <row r="99" spans="1:7" ht="15.75" x14ac:dyDescent="0.25">
      <c r="A99" s="48">
        <v>27</v>
      </c>
      <c r="B99" s="51" t="s">
        <v>31</v>
      </c>
      <c r="C99" s="1">
        <v>2019</v>
      </c>
      <c r="D99" s="2">
        <v>1440000000</v>
      </c>
      <c r="E99" s="2">
        <v>165</v>
      </c>
      <c r="F99" s="2">
        <v>175963488806</v>
      </c>
      <c r="G99" s="25">
        <f t="shared" si="4"/>
        <v>1.3502801155639415</v>
      </c>
    </row>
    <row r="100" spans="1:7" ht="15.75" x14ac:dyDescent="0.25">
      <c r="A100" s="49"/>
      <c r="B100" s="52"/>
      <c r="C100" s="1">
        <v>2020</v>
      </c>
      <c r="D100" s="2">
        <v>1440000000</v>
      </c>
      <c r="E100" s="2">
        <v>130</v>
      </c>
      <c r="F100" s="2">
        <v>120151540897</v>
      </c>
      <c r="G100" s="25">
        <f t="shared" si="4"/>
        <v>1.5580324530375964</v>
      </c>
    </row>
    <row r="101" spans="1:7" ht="15.75" x14ac:dyDescent="0.25">
      <c r="A101" s="49"/>
      <c r="B101" s="52"/>
      <c r="C101" s="1">
        <v>2021</v>
      </c>
      <c r="D101" s="2">
        <v>1440000000</v>
      </c>
      <c r="E101" s="2">
        <v>153</v>
      </c>
      <c r="F101" s="2">
        <v>55731632633</v>
      </c>
      <c r="G101" s="25">
        <f t="shared" si="4"/>
        <v>3.9532306805155999</v>
      </c>
    </row>
    <row r="102" spans="1:7" ht="15.75" x14ac:dyDescent="0.25">
      <c r="A102" s="50"/>
      <c r="B102" s="53"/>
      <c r="C102" s="1">
        <v>2022</v>
      </c>
      <c r="D102" s="2">
        <v>1440000000</v>
      </c>
      <c r="E102" s="2">
        <v>83</v>
      </c>
      <c r="F102" s="2">
        <v>39120716694</v>
      </c>
      <c r="G102" s="25">
        <f t="shared" si="4"/>
        <v>3.0551587521997252</v>
      </c>
    </row>
    <row r="103" spans="1:7" ht="15.75" x14ac:dyDescent="0.25">
      <c r="A103" s="48">
        <v>28</v>
      </c>
      <c r="B103" s="51" t="s">
        <v>32</v>
      </c>
      <c r="C103" s="1">
        <v>2019</v>
      </c>
      <c r="D103" s="2">
        <v>18850000000</v>
      </c>
      <c r="E103" s="2">
        <v>200</v>
      </c>
      <c r="F103" s="2">
        <f>1177121*1000000</f>
        <v>1177121000000</v>
      </c>
      <c r="G103" s="24">
        <f t="shared" si="4"/>
        <v>3.2027293710672056</v>
      </c>
    </row>
    <row r="104" spans="1:7" ht="15.75" x14ac:dyDescent="0.25">
      <c r="A104" s="49"/>
      <c r="B104" s="52"/>
      <c r="C104" s="1">
        <v>2020</v>
      </c>
      <c r="D104" s="2">
        <v>18850000000</v>
      </c>
      <c r="E104" s="2">
        <v>119</v>
      </c>
      <c r="F104" s="2">
        <f>1210228*1000000</f>
        <v>1210228000000</v>
      </c>
      <c r="G104" s="24">
        <f t="shared" si="4"/>
        <v>1.8534937218441483</v>
      </c>
    </row>
    <row r="105" spans="1:7" ht="15.75" x14ac:dyDescent="0.25">
      <c r="A105" s="49"/>
      <c r="B105" s="52"/>
      <c r="C105" s="1">
        <v>2021</v>
      </c>
      <c r="D105" s="2">
        <v>18850000000</v>
      </c>
      <c r="E105" s="2">
        <v>216</v>
      </c>
      <c r="F105" s="2">
        <f>1424812*1000000</f>
        <v>1424812000000</v>
      </c>
      <c r="G105" s="24">
        <f t="shared" si="4"/>
        <v>2.8576401658604786</v>
      </c>
    </row>
    <row r="106" spans="1:7" ht="15.75" x14ac:dyDescent="0.25">
      <c r="A106" s="50"/>
      <c r="B106" s="53"/>
      <c r="C106" s="1">
        <v>2022</v>
      </c>
      <c r="D106" s="2">
        <v>18850000000</v>
      </c>
      <c r="E106" s="2">
        <v>146</v>
      </c>
      <c r="F106" s="2">
        <f>1686092*1000000</f>
        <v>1686092000000</v>
      </c>
      <c r="G106" s="24">
        <f t="shared" si="4"/>
        <v>1.6322359633993875</v>
      </c>
    </row>
    <row r="107" spans="1:7" ht="15.75" x14ac:dyDescent="0.25">
      <c r="A107" s="48">
        <v>29</v>
      </c>
      <c r="B107" s="51" t="s">
        <v>33</v>
      </c>
      <c r="C107" s="1">
        <v>2019</v>
      </c>
      <c r="D107" s="5">
        <v>6186488888</v>
      </c>
      <c r="E107" s="2">
        <v>1300</v>
      </c>
      <c r="F107" s="2">
        <f>3093*1000000000</f>
        <v>3093000000000</v>
      </c>
      <c r="G107" s="24">
        <f t="shared" si="4"/>
        <v>2.6002054815389588</v>
      </c>
    </row>
    <row r="108" spans="1:7" ht="15.75" x14ac:dyDescent="0.25">
      <c r="A108" s="49"/>
      <c r="B108" s="52"/>
      <c r="C108" s="1">
        <v>2020</v>
      </c>
      <c r="D108" s="5">
        <v>6186488888</v>
      </c>
      <c r="E108" s="2">
        <v>1360</v>
      </c>
      <c r="F108" s="2">
        <f>3247*1000000000</f>
        <v>3247000000000</v>
      </c>
      <c r="G108" s="24">
        <f t="shared" si="4"/>
        <v>2.5911995342408378</v>
      </c>
    </row>
    <row r="109" spans="1:7" ht="15.75" x14ac:dyDescent="0.25">
      <c r="A109" s="49"/>
      <c r="B109" s="52"/>
      <c r="C109" s="1">
        <v>2021</v>
      </c>
      <c r="D109" s="5">
        <v>6186488888</v>
      </c>
      <c r="E109" s="2">
        <v>1360</v>
      </c>
      <c r="F109" s="2">
        <f>2870*1000000000</f>
        <v>2870000000000</v>
      </c>
      <c r="G109" s="24">
        <f t="shared" si="4"/>
        <v>2.9315766159163763</v>
      </c>
    </row>
    <row r="110" spans="1:7" ht="15.75" x14ac:dyDescent="0.25">
      <c r="A110" s="50"/>
      <c r="B110" s="53"/>
      <c r="C110" s="1">
        <v>2022</v>
      </c>
      <c r="D110" s="5">
        <v>6186488888</v>
      </c>
      <c r="E110" s="2">
        <v>1320</v>
      </c>
      <c r="F110" s="2">
        <f>2681*1000000000</f>
        <v>2681000000000</v>
      </c>
      <c r="G110" s="24">
        <f t="shared" si="4"/>
        <v>3.0459400716747482</v>
      </c>
    </row>
    <row r="111" spans="1:7" ht="15.75" x14ac:dyDescent="0.25">
      <c r="A111" s="48">
        <v>30</v>
      </c>
      <c r="B111" s="51" t="s">
        <v>40</v>
      </c>
      <c r="C111" s="1">
        <v>2019</v>
      </c>
      <c r="D111" s="2">
        <v>1726003217</v>
      </c>
      <c r="E111" s="2">
        <v>410</v>
      </c>
      <c r="F111" s="2">
        <f>1035.82*1000000000</f>
        <v>1035819999999.9999</v>
      </c>
      <c r="G111" s="24">
        <f t="shared" si="4"/>
        <v>0.68318947208009118</v>
      </c>
    </row>
    <row r="112" spans="1:7" ht="15.75" x14ac:dyDescent="0.25">
      <c r="A112" s="49"/>
      <c r="B112" s="52"/>
      <c r="C112" s="1">
        <v>2020</v>
      </c>
      <c r="D112" s="2">
        <v>1726003217</v>
      </c>
      <c r="E112" s="2">
        <v>324</v>
      </c>
      <c r="F112" s="2">
        <f>961.98*1000000000</f>
        <v>961980000000</v>
      </c>
      <c r="G112" s="24">
        <f t="shared" si="4"/>
        <v>0.58132709859664444</v>
      </c>
    </row>
    <row r="113" spans="1:7" ht="15.75" x14ac:dyDescent="0.25">
      <c r="A113" s="49"/>
      <c r="B113" s="52"/>
      <c r="C113" s="1">
        <v>2021</v>
      </c>
      <c r="D113" s="2">
        <v>1730103217</v>
      </c>
      <c r="E113" s="2">
        <v>360</v>
      </c>
      <c r="F113" s="2">
        <f>992.49*1000000000</f>
        <v>992490000000</v>
      </c>
      <c r="G113" s="24">
        <f t="shared" si="4"/>
        <v>0.62755005906356742</v>
      </c>
    </row>
    <row r="114" spans="1:7" ht="15.75" x14ac:dyDescent="0.25">
      <c r="A114" s="50"/>
      <c r="B114" s="53"/>
      <c r="C114" s="1">
        <v>2022</v>
      </c>
      <c r="D114" s="2">
        <v>1730103217</v>
      </c>
      <c r="E114" s="2">
        <v>378</v>
      </c>
      <c r="F114" s="2">
        <f>1073.97*1000000000</f>
        <v>1073970000000</v>
      </c>
      <c r="G114" s="24">
        <f t="shared" si="4"/>
        <v>0.6089360187211933</v>
      </c>
    </row>
    <row r="115" spans="1:7" ht="15.75" x14ac:dyDescent="0.25">
      <c r="A115" s="48">
        <v>31</v>
      </c>
      <c r="B115" s="51" t="s">
        <v>34</v>
      </c>
      <c r="C115" s="1">
        <v>2019</v>
      </c>
      <c r="D115" s="2">
        <v>690740500</v>
      </c>
      <c r="E115" s="2">
        <v>1610</v>
      </c>
      <c r="F115" s="2">
        <f>380*1000000000</f>
        <v>380000000000</v>
      </c>
      <c r="G115" s="24">
        <f t="shared" si="4"/>
        <v>2.9265584342105262</v>
      </c>
    </row>
    <row r="116" spans="1:7" ht="15.75" x14ac:dyDescent="0.25">
      <c r="A116" s="49"/>
      <c r="B116" s="52"/>
      <c r="C116" s="1">
        <v>2020</v>
      </c>
      <c r="D116" s="2">
        <v>690740500</v>
      </c>
      <c r="E116" s="2">
        <v>1565</v>
      </c>
      <c r="F116" s="2">
        <f>407*1000000000</f>
        <v>407000000000</v>
      </c>
      <c r="G116" s="24">
        <f t="shared" si="4"/>
        <v>2.6560414803439802</v>
      </c>
    </row>
    <row r="117" spans="1:7" ht="15.75" x14ac:dyDescent="0.25">
      <c r="A117" s="49"/>
      <c r="B117" s="52"/>
      <c r="C117" s="1">
        <v>2021</v>
      </c>
      <c r="D117" s="2">
        <v>690740500</v>
      </c>
      <c r="E117" s="2">
        <v>2420</v>
      </c>
      <c r="F117" s="2">
        <f>542*1000000000</f>
        <v>542000000000</v>
      </c>
      <c r="G117" s="24">
        <f t="shared" si="4"/>
        <v>3.0841180996309965</v>
      </c>
    </row>
    <row r="118" spans="1:7" ht="15.75" x14ac:dyDescent="0.25">
      <c r="A118" s="50"/>
      <c r="B118" s="53"/>
      <c r="C118" s="1">
        <v>2022</v>
      </c>
      <c r="D118" s="2">
        <v>690740500</v>
      </c>
      <c r="E118" s="2">
        <v>1950</v>
      </c>
      <c r="F118" s="2">
        <f>591*1000000000</f>
        <v>591000000000</v>
      </c>
      <c r="G118" s="24">
        <f t="shared" si="4"/>
        <v>2.2790930203045687</v>
      </c>
    </row>
    <row r="119" spans="1:7" ht="15.75" x14ac:dyDescent="0.25">
      <c r="A119" s="48">
        <v>32</v>
      </c>
      <c r="B119" s="51" t="s">
        <v>35</v>
      </c>
      <c r="C119" s="1">
        <v>2019</v>
      </c>
      <c r="D119" s="2">
        <f>1310*1000000</f>
        <v>1310000000</v>
      </c>
      <c r="E119" s="2">
        <v>4500</v>
      </c>
      <c r="F119" s="2">
        <f>2148007*1000000</f>
        <v>2148007000000</v>
      </c>
      <c r="G119" s="24">
        <f t="shared" ref="G119:G121" si="5">D119*E119/F119</f>
        <v>2.7444044642312617</v>
      </c>
    </row>
    <row r="120" spans="1:7" ht="15.75" x14ac:dyDescent="0.25">
      <c r="A120" s="49"/>
      <c r="B120" s="52"/>
      <c r="C120" s="1">
        <v>2020</v>
      </c>
      <c r="D120" s="2">
        <f>1310*1000000</f>
        <v>1310000000</v>
      </c>
      <c r="E120" s="2">
        <v>9500</v>
      </c>
      <c r="F120" s="2">
        <f>2673298*1000000</f>
        <v>2673298000000</v>
      </c>
      <c r="G120" s="24">
        <f t="shared" si="5"/>
        <v>4.6552984366127532</v>
      </c>
    </row>
    <row r="121" spans="1:7" ht="15.75" x14ac:dyDescent="0.25">
      <c r="A121" s="49"/>
      <c r="B121" s="52"/>
      <c r="C121" s="1">
        <v>2021</v>
      </c>
      <c r="D121" s="2">
        <f>1310*1000000</f>
        <v>1310000000</v>
      </c>
      <c r="E121" s="2">
        <v>7550</v>
      </c>
      <c r="F121" s="2">
        <f>3300849*1000000</f>
        <v>3300849000000</v>
      </c>
      <c r="G121" s="24">
        <f t="shared" si="5"/>
        <v>2.9963503328992025</v>
      </c>
    </row>
    <row r="122" spans="1:7" ht="15.75" x14ac:dyDescent="0.25">
      <c r="A122" s="50"/>
      <c r="B122" s="53"/>
      <c r="C122" s="1">
        <v>2022</v>
      </c>
      <c r="D122" s="2">
        <f>1310*1000000</f>
        <v>1310000000</v>
      </c>
      <c r="E122" s="2">
        <v>7650</v>
      </c>
      <c r="F122" s="2">
        <f>3928399*1000000</f>
        <v>3928399000000</v>
      </c>
      <c r="G122" s="24">
        <f>D122*E122/F122</f>
        <v>2.5510392401586497</v>
      </c>
    </row>
    <row r="123" spans="1:7" ht="15.75" x14ac:dyDescent="0.25">
      <c r="A123" s="48">
        <v>33</v>
      </c>
      <c r="B123" s="51" t="s">
        <v>36</v>
      </c>
      <c r="C123" s="1">
        <v>2019</v>
      </c>
      <c r="D123" s="2">
        <v>11553528000</v>
      </c>
      <c r="E123" s="2">
        <v>1680</v>
      </c>
      <c r="F123" s="2">
        <f>5655139*1000000</f>
        <v>5655139000000</v>
      </c>
      <c r="G123" s="24">
        <f>D123*E123/F123</f>
        <v>3.4322634757518782</v>
      </c>
    </row>
    <row r="124" spans="1:7" ht="15.75" x14ac:dyDescent="0.25">
      <c r="A124" s="49"/>
      <c r="B124" s="52"/>
      <c r="C124" s="1">
        <v>2020</v>
      </c>
      <c r="D124" s="2">
        <v>11553528000</v>
      </c>
      <c r="E124" s="2">
        <v>1600</v>
      </c>
      <c r="F124" s="2">
        <f>4781737*1000000</f>
        <v>4781737000000</v>
      </c>
      <c r="G124" s="24">
        <f>D124*E124/F124</f>
        <v>3.8658848866008313</v>
      </c>
    </row>
    <row r="125" spans="1:7" ht="15.75" x14ac:dyDescent="0.25">
      <c r="A125" s="49"/>
      <c r="B125" s="52"/>
      <c r="C125" s="1">
        <v>2021</v>
      </c>
      <c r="D125" s="2">
        <v>11553528000</v>
      </c>
      <c r="E125" s="2">
        <v>1525</v>
      </c>
      <c r="F125" s="2">
        <f>5138126*1000000</f>
        <v>5138126000000</v>
      </c>
      <c r="G125" s="24">
        <f>D125*E125/F125</f>
        <v>3.4290965616647004</v>
      </c>
    </row>
    <row r="126" spans="1:7" ht="15.75" x14ac:dyDescent="0.25">
      <c r="A126" s="50"/>
      <c r="B126" s="53"/>
      <c r="C126" s="1">
        <v>2022</v>
      </c>
      <c r="D126" s="2">
        <v>11553528000</v>
      </c>
      <c r="E126" s="2">
        <v>1330</v>
      </c>
      <c r="F126" s="2">
        <f>5822679*1000000</f>
        <v>5822679000000</v>
      </c>
      <c r="G126" s="24">
        <f>D126*E126/F126</f>
        <v>2.6390244490551513</v>
      </c>
    </row>
  </sheetData>
  <mergeCells count="66">
    <mergeCell ref="A119:A122"/>
    <mergeCell ref="B119:B122"/>
    <mergeCell ref="A123:A126"/>
    <mergeCell ref="B123:B126"/>
    <mergeCell ref="D1:G1"/>
    <mergeCell ref="A107:A110"/>
    <mergeCell ref="B107:B110"/>
    <mergeCell ref="A111:A114"/>
    <mergeCell ref="B111:B114"/>
    <mergeCell ref="A115:A118"/>
    <mergeCell ref="B115:B118"/>
    <mergeCell ref="A95:A98"/>
    <mergeCell ref="B95:B98"/>
    <mergeCell ref="A99:A102"/>
    <mergeCell ref="B99:B102"/>
    <mergeCell ref="A103:A106"/>
    <mergeCell ref="B103:B106"/>
    <mergeCell ref="A83:A86"/>
    <mergeCell ref="B83:B86"/>
    <mergeCell ref="A87:A90"/>
    <mergeCell ref="B87:B90"/>
    <mergeCell ref="A91:A94"/>
    <mergeCell ref="B91:B94"/>
    <mergeCell ref="A71:A74"/>
    <mergeCell ref="B71:B74"/>
    <mergeCell ref="A75:A78"/>
    <mergeCell ref="B75:B78"/>
    <mergeCell ref="A79:A82"/>
    <mergeCell ref="B79:B82"/>
    <mergeCell ref="A59:A62"/>
    <mergeCell ref="B59:B62"/>
    <mergeCell ref="A63:A66"/>
    <mergeCell ref="B63:B66"/>
    <mergeCell ref="A67:A70"/>
    <mergeCell ref="B67:B70"/>
    <mergeCell ref="A47:A50"/>
    <mergeCell ref="B47:B50"/>
    <mergeCell ref="A51:A54"/>
    <mergeCell ref="B51:B54"/>
    <mergeCell ref="A55:A58"/>
    <mergeCell ref="B55:B58"/>
    <mergeCell ref="A35:A38"/>
    <mergeCell ref="B35:B38"/>
    <mergeCell ref="A39:A42"/>
    <mergeCell ref="B39:B42"/>
    <mergeCell ref="A43:A46"/>
    <mergeCell ref="B43:B46"/>
    <mergeCell ref="A23:A26"/>
    <mergeCell ref="B23:B26"/>
    <mergeCell ref="A27:A30"/>
    <mergeCell ref="B27:B30"/>
    <mergeCell ref="A31:A34"/>
    <mergeCell ref="B31:B34"/>
    <mergeCell ref="A11:A14"/>
    <mergeCell ref="B11:B14"/>
    <mergeCell ref="A15:A18"/>
    <mergeCell ref="B15:B18"/>
    <mergeCell ref="A19:A22"/>
    <mergeCell ref="B19:B22"/>
    <mergeCell ref="C1:C2"/>
    <mergeCell ref="A3:A6"/>
    <mergeCell ref="B3:B6"/>
    <mergeCell ref="A7:A10"/>
    <mergeCell ref="B7:B10"/>
    <mergeCell ref="A1:A2"/>
    <mergeCell ref="B1:B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4"/>
  <sheetViews>
    <sheetView topLeftCell="A6" workbookViewId="0">
      <selection activeCell="B3" sqref="B3:B6"/>
    </sheetView>
  </sheetViews>
  <sheetFormatPr defaultRowHeight="15" x14ac:dyDescent="0.25"/>
  <cols>
    <col min="4" max="4" width="23" customWidth="1"/>
    <col min="5" max="5" width="23.7109375" bestFit="1" customWidth="1"/>
    <col min="6" max="6" width="23.28515625" bestFit="1" customWidth="1"/>
    <col min="7" max="7" width="24.85546875" bestFit="1" customWidth="1"/>
    <col min="8" max="8" width="7.7109375" customWidth="1"/>
    <col min="9" max="9" width="16.140625" customWidth="1"/>
    <col min="11" max="11" width="19.42578125" bestFit="1" customWidth="1"/>
  </cols>
  <sheetData>
    <row r="1" spans="1:12" ht="15.75" x14ac:dyDescent="0.25">
      <c r="A1" s="56" t="s">
        <v>2</v>
      </c>
      <c r="B1" s="56" t="s">
        <v>1</v>
      </c>
      <c r="C1" s="56" t="s">
        <v>0</v>
      </c>
      <c r="D1" s="58" t="s">
        <v>45</v>
      </c>
      <c r="E1" s="59"/>
      <c r="F1" s="59"/>
      <c r="G1" s="59"/>
      <c r="H1" s="59"/>
      <c r="I1" s="59"/>
    </row>
    <row r="2" spans="1:12" ht="15.75" x14ac:dyDescent="0.25">
      <c r="A2" s="56"/>
      <c r="B2" s="56"/>
      <c r="C2" s="56"/>
      <c r="D2" s="12" t="s">
        <v>4</v>
      </c>
      <c r="E2" s="12" t="s">
        <v>43</v>
      </c>
      <c r="F2" s="13" t="s">
        <v>47</v>
      </c>
      <c r="G2" s="14" t="s">
        <v>44</v>
      </c>
      <c r="H2" s="6" t="s">
        <v>46</v>
      </c>
      <c r="I2" s="8" t="s">
        <v>42</v>
      </c>
    </row>
    <row r="3" spans="1:12" ht="15.75" x14ac:dyDescent="0.25">
      <c r="A3" s="48">
        <v>1</v>
      </c>
      <c r="B3" s="51" t="s">
        <v>7</v>
      </c>
      <c r="C3" s="1">
        <v>2019</v>
      </c>
      <c r="D3" s="2">
        <v>83885000000</v>
      </c>
      <c r="E3" s="2">
        <f>184462*1000000</f>
        <v>184462000000</v>
      </c>
      <c r="F3" s="2">
        <f t="shared" ref="F3:F8" si="0">D3-E3</f>
        <v>-100577000000</v>
      </c>
      <c r="G3" s="2">
        <f>822375*1000000</f>
        <v>822375000000</v>
      </c>
      <c r="H3" s="7">
        <v>-1</v>
      </c>
      <c r="I3" s="24">
        <f t="shared" ref="I3:I34" si="1">F3/G3*H3</f>
        <v>0.12230065359477124</v>
      </c>
      <c r="K3" s="3"/>
    </row>
    <row r="4" spans="1:12" ht="15.75" x14ac:dyDescent="0.25">
      <c r="A4" s="49"/>
      <c r="B4" s="52"/>
      <c r="C4" s="1">
        <v>2020</v>
      </c>
      <c r="D4" s="2">
        <v>135789000000</v>
      </c>
      <c r="E4" s="2">
        <f>230679*1000000</f>
        <v>230679000000</v>
      </c>
      <c r="F4" s="2">
        <f t="shared" si="0"/>
        <v>-94890000000</v>
      </c>
      <c r="G4" s="2">
        <f>958791*1000000</f>
        <v>958791000000</v>
      </c>
      <c r="H4" s="7">
        <v>-1</v>
      </c>
      <c r="I4" s="24">
        <f t="shared" si="1"/>
        <v>9.8968388314032985E-2</v>
      </c>
    </row>
    <row r="5" spans="1:12" ht="15.75" x14ac:dyDescent="0.25">
      <c r="A5" s="49"/>
      <c r="B5" s="52"/>
      <c r="C5" s="1">
        <v>2021</v>
      </c>
      <c r="D5" s="2">
        <v>265758000000</v>
      </c>
      <c r="E5" s="2">
        <f>308341*1000000</f>
        <v>308341000000</v>
      </c>
      <c r="F5" s="2">
        <f t="shared" si="0"/>
        <v>-42583000000</v>
      </c>
      <c r="G5" s="2">
        <f>1304108*1000000</f>
        <v>1304108000000</v>
      </c>
      <c r="H5" s="7">
        <v>-1</v>
      </c>
      <c r="I5" s="24">
        <f t="shared" si="1"/>
        <v>3.2652970459501822E-2</v>
      </c>
      <c r="K5" s="3"/>
    </row>
    <row r="6" spans="1:12" ht="15.75" x14ac:dyDescent="0.25">
      <c r="A6" s="50"/>
      <c r="B6" s="53"/>
      <c r="C6" s="1">
        <v>2022</v>
      </c>
      <c r="D6" s="2">
        <f>364972*1000000</f>
        <v>364972000000</v>
      </c>
      <c r="E6" s="2">
        <f>312748*1000000</f>
        <v>312748000000</v>
      </c>
      <c r="F6" s="2">
        <f t="shared" si="0"/>
        <v>52224000000</v>
      </c>
      <c r="G6" s="2">
        <f>1645582*1000000</f>
        <v>1645582000000</v>
      </c>
      <c r="H6" s="7">
        <v>-1</v>
      </c>
      <c r="I6" s="24">
        <f t="shared" si="1"/>
        <v>-3.1735884325424076E-2</v>
      </c>
    </row>
    <row r="7" spans="1:12" ht="15.75" x14ac:dyDescent="0.25">
      <c r="A7" s="48">
        <v>2</v>
      </c>
      <c r="B7" s="51" t="s">
        <v>3</v>
      </c>
      <c r="C7" s="1">
        <v>2019</v>
      </c>
      <c r="D7" s="2">
        <v>1134776000000</v>
      </c>
      <c r="E7" s="2">
        <f>14162*1000000</f>
        <v>14162000000</v>
      </c>
      <c r="F7" s="2">
        <f t="shared" si="0"/>
        <v>1120614000000</v>
      </c>
      <c r="G7" s="2">
        <f>1868966*1000000</f>
        <v>1868966000000</v>
      </c>
      <c r="H7" s="7">
        <v>-1</v>
      </c>
      <c r="I7" s="24">
        <f t="shared" si="1"/>
        <v>-0.59959036172942681</v>
      </c>
      <c r="K7" s="3"/>
      <c r="L7" s="3"/>
    </row>
    <row r="8" spans="1:12" ht="15.75" x14ac:dyDescent="0.25">
      <c r="A8" s="49"/>
      <c r="B8" s="52"/>
      <c r="C8" s="1">
        <v>2020</v>
      </c>
      <c r="D8" s="2">
        <v>1204972000000</v>
      </c>
      <c r="E8" s="2">
        <f>-58485*1000000</f>
        <v>-58485000000</v>
      </c>
      <c r="F8" s="2">
        <f t="shared" si="0"/>
        <v>1263457000000</v>
      </c>
      <c r="G8" s="2">
        <f>2011557*1000000</f>
        <v>2011557000000</v>
      </c>
      <c r="H8" s="7">
        <v>-1</v>
      </c>
      <c r="I8" s="24">
        <f t="shared" si="1"/>
        <v>-0.62809902975655174</v>
      </c>
    </row>
    <row r="9" spans="1:12" ht="15.75" x14ac:dyDescent="0.25">
      <c r="A9" s="49"/>
      <c r="B9" s="52"/>
      <c r="C9" s="1">
        <v>2021</v>
      </c>
      <c r="D9" s="2">
        <v>5762000000</v>
      </c>
      <c r="E9" s="2">
        <f>-84864*1000000</f>
        <v>-84864000000</v>
      </c>
      <c r="F9" s="2">
        <f t="shared" ref="F9:F40" si="2">D9-E9</f>
        <v>90626000000</v>
      </c>
      <c r="G9" s="2">
        <f>1761634*1000000</f>
        <v>1761634000000</v>
      </c>
      <c r="H9" s="7">
        <v>-1</v>
      </c>
      <c r="I9" s="24">
        <f t="shared" si="1"/>
        <v>-5.1444284113499175E-2</v>
      </c>
    </row>
    <row r="10" spans="1:12" ht="15.75" x14ac:dyDescent="0.25">
      <c r="A10" s="50"/>
      <c r="B10" s="53"/>
      <c r="C10" s="1">
        <v>2022</v>
      </c>
      <c r="D10" s="2">
        <v>-62395000000</v>
      </c>
      <c r="E10" s="2">
        <f>-41789*1000000</f>
        <v>-41789000000</v>
      </c>
      <c r="F10" s="2">
        <f t="shared" si="2"/>
        <v>-20606000000</v>
      </c>
      <c r="G10" s="2">
        <f>1826350*1000000</f>
        <v>1826350000000</v>
      </c>
      <c r="H10" s="7">
        <v>-1</v>
      </c>
      <c r="I10" s="24">
        <f t="shared" si="1"/>
        <v>1.1282612861718729E-2</v>
      </c>
    </row>
    <row r="11" spans="1:12" ht="15.75" x14ac:dyDescent="0.25">
      <c r="A11" s="48">
        <v>3</v>
      </c>
      <c r="B11" s="51" t="s">
        <v>6</v>
      </c>
      <c r="C11" s="1">
        <v>2019</v>
      </c>
      <c r="D11" s="2">
        <f>-7.38*1000000000</f>
        <v>-7380000000</v>
      </c>
      <c r="E11" s="2">
        <v>33552221386</v>
      </c>
      <c r="F11" s="2">
        <f t="shared" si="2"/>
        <v>-40932221386</v>
      </c>
      <c r="G11" s="2">
        <f>1103.45*1000000000</f>
        <v>1103450000000</v>
      </c>
      <c r="H11" s="7">
        <v>-1</v>
      </c>
      <c r="I11" s="24">
        <f t="shared" si="1"/>
        <v>3.7094767670488013E-2</v>
      </c>
    </row>
    <row r="12" spans="1:12" ht="15.75" x14ac:dyDescent="0.25">
      <c r="A12" s="49"/>
      <c r="B12" s="52"/>
      <c r="C12" s="1">
        <v>2020</v>
      </c>
      <c r="D12" s="2">
        <f>-10.5*1000000000</f>
        <v>-10500000000</v>
      </c>
      <c r="E12" s="2">
        <v>30788406788</v>
      </c>
      <c r="F12" s="2">
        <f t="shared" si="2"/>
        <v>-41288406788</v>
      </c>
      <c r="G12" s="2">
        <f>1105.87*1000000000</f>
        <v>1105870000000</v>
      </c>
      <c r="H12" s="7">
        <v>-1</v>
      </c>
      <c r="I12" s="24">
        <f t="shared" si="1"/>
        <v>3.7335678504706704E-2</v>
      </c>
    </row>
    <row r="13" spans="1:12" ht="15.75" x14ac:dyDescent="0.25">
      <c r="A13" s="49"/>
      <c r="B13" s="52"/>
      <c r="C13" s="1">
        <v>2021</v>
      </c>
      <c r="D13" s="2">
        <f>-8.39*1000000000</f>
        <v>-8390000000.000001</v>
      </c>
      <c r="E13" s="2">
        <v>41924240191</v>
      </c>
      <c r="F13" s="2">
        <f t="shared" si="2"/>
        <v>-50314240191</v>
      </c>
      <c r="G13" s="2">
        <f>1089.2*1000000000</f>
        <v>1089200000000</v>
      </c>
      <c r="H13" s="7">
        <v>-1</v>
      </c>
      <c r="I13" s="24">
        <f t="shared" si="1"/>
        <v>4.6193757061145792E-2</v>
      </c>
    </row>
    <row r="14" spans="1:12" ht="15.75" x14ac:dyDescent="0.25">
      <c r="A14" s="50"/>
      <c r="B14" s="53"/>
      <c r="C14" s="1">
        <v>2022</v>
      </c>
      <c r="D14" s="2">
        <f>-16.12*1000000000</f>
        <v>-16120000000.000002</v>
      </c>
      <c r="E14" s="2">
        <v>1440523783</v>
      </c>
      <c r="F14" s="2">
        <f t="shared" si="2"/>
        <v>-17560523783</v>
      </c>
      <c r="G14" s="2">
        <f>1023.32*1000000000</f>
        <v>1023320000000</v>
      </c>
      <c r="H14" s="7">
        <v>-1</v>
      </c>
      <c r="I14" s="24">
        <f t="shared" si="1"/>
        <v>1.7160344548137436E-2</v>
      </c>
    </row>
    <row r="15" spans="1:12" ht="15.75" x14ac:dyDescent="0.25">
      <c r="A15" s="48">
        <v>4</v>
      </c>
      <c r="B15" s="51" t="s">
        <v>8</v>
      </c>
      <c r="C15" s="1">
        <v>2019</v>
      </c>
      <c r="D15" s="2">
        <v>64000000000</v>
      </c>
      <c r="E15" s="2">
        <f>271140*1000000</f>
        <v>271140000000</v>
      </c>
      <c r="F15" s="2">
        <f t="shared" si="2"/>
        <v>-207140000000</v>
      </c>
      <c r="G15" s="2">
        <f>2999.8*1000000000</f>
        <v>2999800000000</v>
      </c>
      <c r="H15" s="7">
        <v>-1</v>
      </c>
      <c r="I15" s="24">
        <f t="shared" si="1"/>
        <v>6.9051270084672309E-2</v>
      </c>
    </row>
    <row r="16" spans="1:12" ht="15.75" x14ac:dyDescent="0.25">
      <c r="A16" s="49"/>
      <c r="B16" s="52"/>
      <c r="C16" s="1">
        <v>2020</v>
      </c>
      <c r="D16" s="2">
        <v>67100000000</v>
      </c>
      <c r="E16" s="2">
        <f>193682*1000000</f>
        <v>193682000000</v>
      </c>
      <c r="F16" s="2">
        <f t="shared" si="2"/>
        <v>-126582000000</v>
      </c>
      <c r="G16" s="2">
        <f>2963*1000000000</f>
        <v>2963000000000</v>
      </c>
      <c r="H16" s="7">
        <v>-1</v>
      </c>
      <c r="I16" s="24">
        <f t="shared" si="1"/>
        <v>4.2720890988862642E-2</v>
      </c>
    </row>
    <row r="17" spans="1:9" ht="15.75" x14ac:dyDescent="0.25">
      <c r="A17" s="49"/>
      <c r="B17" s="52"/>
      <c r="C17" s="1">
        <v>2021</v>
      </c>
      <c r="D17" s="2">
        <v>91700000000</v>
      </c>
      <c r="E17" s="2">
        <f>190973*1000000</f>
        <v>190973000000</v>
      </c>
      <c r="F17" s="2">
        <f t="shared" si="2"/>
        <v>-99273000000</v>
      </c>
      <c r="G17" s="2">
        <f>2993.2*1000000000</f>
        <v>2993200000000</v>
      </c>
      <c r="H17" s="7">
        <v>-1</v>
      </c>
      <c r="I17" s="24">
        <f t="shared" si="1"/>
        <v>3.3166176667112121E-2</v>
      </c>
    </row>
    <row r="18" spans="1:9" ht="15.75" x14ac:dyDescent="0.25">
      <c r="A18" s="50"/>
      <c r="B18" s="53"/>
      <c r="C18" s="1">
        <v>2022</v>
      </c>
      <c r="D18" s="2">
        <f>93.1*1000000000</f>
        <v>93100000000</v>
      </c>
      <c r="E18" s="2">
        <f>93996*1000000</f>
        <v>93996000000</v>
      </c>
      <c r="F18" s="2">
        <f t="shared" si="2"/>
        <v>-896000000</v>
      </c>
      <c r="G18" s="2">
        <f>3173.6*1000000000</f>
        <v>3173600000000</v>
      </c>
      <c r="H18" s="7">
        <v>-1</v>
      </c>
      <c r="I18" s="24">
        <f t="shared" si="1"/>
        <v>2.8232921603226619E-4</v>
      </c>
    </row>
    <row r="19" spans="1:9" ht="15.75" x14ac:dyDescent="0.25">
      <c r="A19" s="48">
        <v>5</v>
      </c>
      <c r="B19" s="51" t="s">
        <v>9</v>
      </c>
      <c r="C19" s="1">
        <v>2019</v>
      </c>
      <c r="D19" s="2">
        <f>76.76*1000000000</f>
        <v>76760000000</v>
      </c>
      <c r="E19" s="2">
        <v>158440399914</v>
      </c>
      <c r="F19" s="2">
        <f t="shared" si="2"/>
        <v>-81680399914</v>
      </c>
      <c r="G19" s="2">
        <f>1057.53*1000000000</f>
        <v>1057530000000</v>
      </c>
      <c r="H19" s="7">
        <v>-1</v>
      </c>
      <c r="I19" s="24">
        <f t="shared" si="1"/>
        <v>7.7236957735477951E-2</v>
      </c>
    </row>
    <row r="20" spans="1:9" ht="15.75" x14ac:dyDescent="0.25">
      <c r="A20" s="49"/>
      <c r="B20" s="52"/>
      <c r="C20" s="1">
        <v>2020</v>
      </c>
      <c r="D20" s="2">
        <f>44.05*1000000000</f>
        <v>44050000000</v>
      </c>
      <c r="E20" s="2">
        <v>202642422392</v>
      </c>
      <c r="F20" s="2">
        <f t="shared" si="2"/>
        <v>-158592422392</v>
      </c>
      <c r="G20" s="2">
        <f>1086.87*1000000000</f>
        <v>1086869999999.9999</v>
      </c>
      <c r="H20" s="7">
        <v>-1</v>
      </c>
      <c r="I20" s="24">
        <f t="shared" si="1"/>
        <v>0.14591664356546782</v>
      </c>
    </row>
    <row r="21" spans="1:9" ht="15.75" x14ac:dyDescent="0.25">
      <c r="A21" s="49"/>
      <c r="B21" s="52"/>
      <c r="C21" s="1">
        <v>2021</v>
      </c>
      <c r="D21" s="2">
        <f>99.28*1000000000</f>
        <v>99280000000</v>
      </c>
      <c r="E21" s="2">
        <v>218469033697</v>
      </c>
      <c r="F21" s="2">
        <f t="shared" si="2"/>
        <v>-119189033697</v>
      </c>
      <c r="G21" s="2">
        <f>1146.24*1000000000</f>
        <v>1146240000000</v>
      </c>
      <c r="H21" s="7">
        <v>-1</v>
      </c>
      <c r="I21" s="24">
        <f t="shared" si="1"/>
        <v>0.1039826159416876</v>
      </c>
    </row>
    <row r="22" spans="1:9" ht="15.75" x14ac:dyDescent="0.25">
      <c r="A22" s="50"/>
      <c r="B22" s="53"/>
      <c r="C22" s="1">
        <v>2022</v>
      </c>
      <c r="D22" s="2">
        <f>121.26*1000000000</f>
        <v>121260000000</v>
      </c>
      <c r="E22" s="2">
        <v>198491016426</v>
      </c>
      <c r="F22" s="2">
        <f t="shared" si="2"/>
        <v>-77231016426</v>
      </c>
      <c r="G22" s="2">
        <f>1074.78*1000000000</f>
        <v>1074780000000</v>
      </c>
      <c r="H22" s="7">
        <v>-1</v>
      </c>
      <c r="I22" s="24">
        <f t="shared" si="1"/>
        <v>7.1857511700999271E-2</v>
      </c>
    </row>
    <row r="23" spans="1:9" ht="15.75" x14ac:dyDescent="0.25">
      <c r="A23" s="48">
        <v>6</v>
      </c>
      <c r="B23" s="51" t="s">
        <v>10</v>
      </c>
      <c r="C23" s="1">
        <v>2019</v>
      </c>
      <c r="D23" s="2">
        <f>215459*1000000</f>
        <v>215459000000</v>
      </c>
      <c r="E23" s="2">
        <v>453147999966</v>
      </c>
      <c r="F23" s="2">
        <f t="shared" si="2"/>
        <v>-237688999966</v>
      </c>
      <c r="G23" s="2">
        <f>1393080*1000000</f>
        <v>1393080000000</v>
      </c>
      <c r="H23" s="7">
        <v>-1</v>
      </c>
      <c r="I23" s="24">
        <f t="shared" si="1"/>
        <v>0.17062121340195824</v>
      </c>
    </row>
    <row r="24" spans="1:9" ht="15.75" x14ac:dyDescent="0.25">
      <c r="A24" s="49"/>
      <c r="B24" s="52"/>
      <c r="C24" s="1">
        <v>2020</v>
      </c>
      <c r="D24" s="2">
        <v>181813000000</v>
      </c>
      <c r="E24" s="2">
        <v>171295450196</v>
      </c>
      <c r="F24" s="2">
        <f t="shared" si="2"/>
        <v>10517549804</v>
      </c>
      <c r="G24" s="2">
        <f>1566674*1000000</f>
        <v>1566674000000</v>
      </c>
      <c r="H24" s="7">
        <v>-1</v>
      </c>
      <c r="I24" s="24">
        <f t="shared" si="1"/>
        <v>-6.7132982381784599E-3</v>
      </c>
    </row>
    <row r="25" spans="1:9" ht="15.75" x14ac:dyDescent="0.25">
      <c r="A25" s="49"/>
      <c r="B25" s="52"/>
      <c r="C25" s="1">
        <v>2021</v>
      </c>
      <c r="D25" s="2">
        <v>187067000000</v>
      </c>
      <c r="E25" s="2">
        <v>-91481686113</v>
      </c>
      <c r="F25" s="2">
        <f t="shared" si="2"/>
        <v>278548686113</v>
      </c>
      <c r="G25" s="2">
        <f>1697387*1000000</f>
        <v>1697387000000</v>
      </c>
      <c r="H25" s="7">
        <v>-1</v>
      </c>
      <c r="I25" s="24">
        <f t="shared" si="1"/>
        <v>-0.16410440642764437</v>
      </c>
    </row>
    <row r="26" spans="1:9" ht="15.75" x14ac:dyDescent="0.25">
      <c r="A26" s="50"/>
      <c r="B26" s="53"/>
      <c r="C26" s="1">
        <v>2022</v>
      </c>
      <c r="D26" s="2">
        <f>220705*1000000</f>
        <v>220705000000</v>
      </c>
      <c r="E26" s="2">
        <v>11867530566</v>
      </c>
      <c r="F26" s="2">
        <f t="shared" si="2"/>
        <v>208837469434</v>
      </c>
      <c r="G26" s="2">
        <f>1718287*1000000</f>
        <v>1718287000000</v>
      </c>
      <c r="H26" s="7">
        <v>-1</v>
      </c>
      <c r="I26" s="24">
        <f t="shared" si="1"/>
        <v>-0.1215381769366817</v>
      </c>
    </row>
    <row r="27" spans="1:9" ht="15.75" x14ac:dyDescent="0.25">
      <c r="A27" s="48">
        <v>7</v>
      </c>
      <c r="B27" s="51" t="s">
        <v>11</v>
      </c>
      <c r="C27" s="1">
        <v>2019</v>
      </c>
      <c r="D27" s="2">
        <f>130756*1000000</f>
        <v>130756000000</v>
      </c>
      <c r="E27" s="2">
        <v>210065429291</v>
      </c>
      <c r="F27" s="2">
        <f t="shared" si="2"/>
        <v>-79309429291</v>
      </c>
      <c r="G27" s="2">
        <f>124144*1000000</f>
        <v>124144000000</v>
      </c>
      <c r="H27" s="7">
        <v>-1</v>
      </c>
      <c r="I27" s="24">
        <f t="shared" si="1"/>
        <v>0.63885028105264852</v>
      </c>
    </row>
    <row r="28" spans="1:9" ht="15.75" x14ac:dyDescent="0.25">
      <c r="A28" s="49"/>
      <c r="B28" s="52"/>
      <c r="C28" s="1">
        <v>2020</v>
      </c>
      <c r="D28" s="2">
        <f>132772*1000000</f>
        <v>132772000000</v>
      </c>
      <c r="E28" s="2">
        <v>226926314731</v>
      </c>
      <c r="F28" s="2">
        <f t="shared" si="2"/>
        <v>-94154314731</v>
      </c>
      <c r="G28" s="2">
        <f>1310940*1000000</f>
        <v>1310940000000</v>
      </c>
      <c r="H28" s="7">
        <v>-1</v>
      </c>
      <c r="I28" s="24">
        <f t="shared" si="1"/>
        <v>7.1821986308297864E-2</v>
      </c>
    </row>
    <row r="29" spans="1:9" ht="15.75" x14ac:dyDescent="0.25">
      <c r="A29" s="49"/>
      <c r="B29" s="52"/>
      <c r="C29" s="1">
        <v>2021</v>
      </c>
      <c r="D29" s="2">
        <f>180712*1000000</f>
        <v>180712000000</v>
      </c>
      <c r="E29" s="2">
        <v>232746845618</v>
      </c>
      <c r="F29" s="2">
        <f t="shared" si="2"/>
        <v>-52034845618</v>
      </c>
      <c r="G29" s="2">
        <f>1348181*1000000</f>
        <v>1348181000000</v>
      </c>
      <c r="H29" s="7">
        <v>-1</v>
      </c>
      <c r="I29" s="24">
        <f t="shared" si="1"/>
        <v>3.8596335075186491E-2</v>
      </c>
    </row>
    <row r="30" spans="1:9" ht="15.75" x14ac:dyDescent="0.25">
      <c r="A30" s="50"/>
      <c r="B30" s="53"/>
      <c r="C30" s="1">
        <v>2022</v>
      </c>
      <c r="D30" s="2">
        <f>195559*1000000</f>
        <v>195559000000</v>
      </c>
      <c r="E30" s="2">
        <v>190077226164</v>
      </c>
      <c r="F30" s="2">
        <f t="shared" si="2"/>
        <v>5481773836</v>
      </c>
      <c r="G30" s="2">
        <f>1693524*1000000</f>
        <v>1693524000000</v>
      </c>
      <c r="H30" s="7">
        <v>-1</v>
      </c>
      <c r="I30" s="24">
        <f t="shared" si="1"/>
        <v>-3.2369035431443548E-3</v>
      </c>
    </row>
    <row r="31" spans="1:9" ht="15.75" x14ac:dyDescent="0.25">
      <c r="A31" s="48">
        <v>8</v>
      </c>
      <c r="B31" s="51" t="s">
        <v>12</v>
      </c>
      <c r="C31" s="1">
        <v>2019</v>
      </c>
      <c r="D31" s="2">
        <v>108005000000</v>
      </c>
      <c r="E31" s="2">
        <v>83527000000</v>
      </c>
      <c r="F31" s="2">
        <f t="shared" si="2"/>
        <v>24478000000</v>
      </c>
      <c r="G31" s="2">
        <f>815291*1000000</f>
        <v>815291000000</v>
      </c>
      <c r="H31" s="7">
        <v>-1</v>
      </c>
      <c r="I31" s="24">
        <f t="shared" si="1"/>
        <v>-3.0023635732517592E-2</v>
      </c>
    </row>
    <row r="32" spans="1:9" ht="15.75" x14ac:dyDescent="0.25">
      <c r="A32" s="49"/>
      <c r="B32" s="52"/>
      <c r="C32" s="1">
        <v>2020</v>
      </c>
      <c r="D32" s="2">
        <v>177007000000</v>
      </c>
      <c r="E32" s="2">
        <f>198885*1000000</f>
        <v>198885000000</v>
      </c>
      <c r="F32" s="2">
        <f t="shared" si="2"/>
        <v>-21878000000</v>
      </c>
      <c r="G32" s="2">
        <f>1086782*1000000</f>
        <v>1086782000000</v>
      </c>
      <c r="H32" s="7">
        <v>-1</v>
      </c>
      <c r="I32" s="24">
        <f t="shared" si="1"/>
        <v>2.0130992232112788E-2</v>
      </c>
    </row>
    <row r="33" spans="1:9" ht="15.75" x14ac:dyDescent="0.25">
      <c r="A33" s="49"/>
      <c r="B33" s="52"/>
      <c r="C33" s="1">
        <v>2021</v>
      </c>
      <c r="D33" s="2">
        <v>790229000000</v>
      </c>
      <c r="E33" s="2">
        <f>725649*1000000</f>
        <v>725649000000</v>
      </c>
      <c r="F33" s="2">
        <f t="shared" si="2"/>
        <v>64580000000</v>
      </c>
      <c r="G33" s="2">
        <f>5603779*1000000</f>
        <v>5603779000000</v>
      </c>
      <c r="H33" s="7">
        <v>-1</v>
      </c>
      <c r="I33" s="24">
        <f t="shared" si="1"/>
        <v>-1.1524365968036927E-2</v>
      </c>
    </row>
    <row r="34" spans="1:9" ht="15.75" x14ac:dyDescent="0.25">
      <c r="A34" s="50"/>
      <c r="B34" s="53"/>
      <c r="C34" s="1">
        <v>2022</v>
      </c>
      <c r="D34" s="2">
        <f>1060582*1000000</f>
        <v>1060582000000</v>
      </c>
      <c r="E34" s="2">
        <f>485962*1000000</f>
        <v>485962000000</v>
      </c>
      <c r="F34" s="2">
        <f t="shared" si="2"/>
        <v>574620000000</v>
      </c>
      <c r="G34" s="2">
        <f>6223251*1000000</f>
        <v>6223251000000</v>
      </c>
      <c r="H34" s="7">
        <v>-1</v>
      </c>
      <c r="I34" s="24">
        <f t="shared" si="1"/>
        <v>-9.2334376357309067E-2</v>
      </c>
    </row>
    <row r="35" spans="1:9" ht="15.75" x14ac:dyDescent="0.25">
      <c r="A35" s="48">
        <v>9</v>
      </c>
      <c r="B35" s="51" t="s">
        <v>13</v>
      </c>
      <c r="C35" s="1">
        <v>2019</v>
      </c>
      <c r="D35" s="2">
        <v>7957208221</v>
      </c>
      <c r="E35" s="2">
        <v>-9593332513</v>
      </c>
      <c r="F35" s="2">
        <f t="shared" si="2"/>
        <v>17550540734</v>
      </c>
      <c r="G35" s="2">
        <v>250442587742</v>
      </c>
      <c r="H35" s="7">
        <v>-1</v>
      </c>
      <c r="I35" s="24">
        <f t="shared" ref="I35:I40" si="3">F35/G35*H35</f>
        <v>-7.0078100103645916E-2</v>
      </c>
    </row>
    <row r="36" spans="1:9" ht="15.75" x14ac:dyDescent="0.25">
      <c r="A36" s="49"/>
      <c r="B36" s="52"/>
      <c r="C36" s="1">
        <v>2020</v>
      </c>
      <c r="D36" s="2">
        <v>2738128648</v>
      </c>
      <c r="E36" s="2">
        <v>-32719704184</v>
      </c>
      <c r="F36" s="2">
        <f t="shared" si="2"/>
        <v>35457832832</v>
      </c>
      <c r="G36" s="2">
        <v>263754414443</v>
      </c>
      <c r="H36" s="7">
        <v>-1</v>
      </c>
      <c r="I36" s="24">
        <f t="shared" si="3"/>
        <v>-0.13443503081031008</v>
      </c>
    </row>
    <row r="37" spans="1:9" ht="15.75" x14ac:dyDescent="0.25">
      <c r="A37" s="49"/>
      <c r="B37" s="52"/>
      <c r="C37" s="1">
        <v>2021</v>
      </c>
      <c r="D37" s="2">
        <v>8532631708</v>
      </c>
      <c r="E37" s="2">
        <v>-26103284502</v>
      </c>
      <c r="F37" s="2">
        <f t="shared" si="2"/>
        <v>34635916210</v>
      </c>
      <c r="G37" s="2">
        <v>370684311428</v>
      </c>
      <c r="H37" s="7">
        <v>-1</v>
      </c>
      <c r="I37" s="24">
        <f t="shared" si="3"/>
        <v>-9.343777209391696E-2</v>
      </c>
    </row>
    <row r="38" spans="1:9" ht="15.75" x14ac:dyDescent="0.25">
      <c r="A38" s="50"/>
      <c r="B38" s="53"/>
      <c r="C38" s="1">
        <v>2022</v>
      </c>
      <c r="D38" s="2">
        <v>6620432696</v>
      </c>
      <c r="E38" s="2">
        <v>-77748378471</v>
      </c>
      <c r="F38" s="2">
        <f t="shared" si="2"/>
        <v>84368811167</v>
      </c>
      <c r="G38" s="2">
        <v>485054412584</v>
      </c>
      <c r="H38" s="7">
        <v>-1</v>
      </c>
      <c r="I38" s="24">
        <f t="shared" si="3"/>
        <v>-0.17393679755957134</v>
      </c>
    </row>
    <row r="39" spans="1:9" ht="15.75" x14ac:dyDescent="0.25">
      <c r="A39" s="48">
        <v>10</v>
      </c>
      <c r="B39" s="51" t="s">
        <v>14</v>
      </c>
      <c r="C39" s="1">
        <v>2019</v>
      </c>
      <c r="D39" s="2">
        <f>317900*1000000</f>
        <v>317900000000</v>
      </c>
      <c r="E39" s="2">
        <f>274365*1000000</f>
        <v>274365000000</v>
      </c>
      <c r="F39" s="2">
        <f t="shared" si="2"/>
        <v>43535000000</v>
      </c>
      <c r="G39" s="2">
        <f>1425984*1000000</f>
        <v>1425984000000</v>
      </c>
      <c r="H39" s="7">
        <v>-1</v>
      </c>
      <c r="I39" s="24">
        <f t="shared" si="3"/>
        <v>-3.0529795565728646E-2</v>
      </c>
    </row>
    <row r="40" spans="1:9" ht="15.75" x14ac:dyDescent="0.25">
      <c r="A40" s="49"/>
      <c r="B40" s="52"/>
      <c r="C40" s="1">
        <v>2020</v>
      </c>
      <c r="D40" s="2">
        <f>124038*1000000</f>
        <v>124038000000</v>
      </c>
      <c r="E40" s="2">
        <f>246906*1000000</f>
        <v>246906000000</v>
      </c>
      <c r="F40" s="2">
        <f t="shared" si="2"/>
        <v>-122868000000</v>
      </c>
      <c r="G40" s="2">
        <f>1225581*1000000</f>
        <v>1225581000000</v>
      </c>
      <c r="H40" s="7">
        <v>-1</v>
      </c>
      <c r="I40" s="24">
        <f t="shared" si="3"/>
        <v>0.10025285966411032</v>
      </c>
    </row>
    <row r="41" spans="1:9" ht="15.75" x14ac:dyDescent="0.25">
      <c r="A41" s="49"/>
      <c r="B41" s="52"/>
      <c r="C41" s="1">
        <v>2021</v>
      </c>
      <c r="D41" s="2">
        <f>187993*1000000</f>
        <v>187993000000</v>
      </c>
      <c r="E41" s="2">
        <f>335399*1000000</f>
        <v>335399000000</v>
      </c>
      <c r="F41" s="2">
        <f t="shared" ref="F41:F72" si="4">D41-E41</f>
        <v>-147406000000</v>
      </c>
      <c r="G41" s="2">
        <f>1308722*1000000</f>
        <v>1308722000000</v>
      </c>
      <c r="H41" s="7">
        <v>-1</v>
      </c>
      <c r="I41" s="24">
        <f t="shared" ref="I41:I72" si="5">F41/G41*H41</f>
        <v>0.11263354631464895</v>
      </c>
    </row>
    <row r="42" spans="1:9" ht="15.75" x14ac:dyDescent="0.25">
      <c r="A42" s="50"/>
      <c r="B42" s="53"/>
      <c r="C42" s="1">
        <v>2022</v>
      </c>
      <c r="D42" s="2">
        <f>230066*1000000</f>
        <v>230066000000</v>
      </c>
      <c r="E42" s="2">
        <f>196829*1000000</f>
        <v>196829000000</v>
      </c>
      <c r="F42" s="2">
        <f t="shared" si="4"/>
        <v>33237000000</v>
      </c>
      <c r="G42" s="2">
        <f>1307186*1000000</f>
        <v>1307186000000</v>
      </c>
      <c r="H42" s="7">
        <v>-1</v>
      </c>
      <c r="I42" s="24">
        <f t="shared" si="5"/>
        <v>-2.5426373905473285E-2</v>
      </c>
    </row>
    <row r="43" spans="1:9" ht="15.75" x14ac:dyDescent="0.25">
      <c r="A43" s="48">
        <v>11</v>
      </c>
      <c r="B43" s="51" t="s">
        <v>15</v>
      </c>
      <c r="C43" s="1">
        <v>2019</v>
      </c>
      <c r="D43" s="2">
        <f>366863*1000000</f>
        <v>366863000000</v>
      </c>
      <c r="E43" s="2">
        <f>433254*1000000</f>
        <v>433254000000</v>
      </c>
      <c r="F43" s="2">
        <f t="shared" si="4"/>
        <v>-66391000000</v>
      </c>
      <c r="G43" s="2">
        <f>5570651*1000000</f>
        <v>5570651000000</v>
      </c>
      <c r="H43" s="7">
        <v>-1</v>
      </c>
      <c r="I43" s="24">
        <f t="shared" si="5"/>
        <v>1.1917996657841247E-2</v>
      </c>
    </row>
    <row r="44" spans="1:9" ht="15.75" x14ac:dyDescent="0.25">
      <c r="A44" s="49"/>
      <c r="B44" s="52"/>
      <c r="C44" s="1">
        <v>2020</v>
      </c>
      <c r="D44" s="2">
        <f>205589*1000000</f>
        <v>205589000000</v>
      </c>
      <c r="E44" s="2">
        <f>523739*1000000</f>
        <v>523739000000</v>
      </c>
      <c r="F44" s="2">
        <f t="shared" si="4"/>
        <v>-318150000000</v>
      </c>
      <c r="G44" s="2">
        <f>5680638*1000000</f>
        <v>5680638000000</v>
      </c>
      <c r="H44" s="7">
        <v>-1</v>
      </c>
      <c r="I44" s="24">
        <f t="shared" si="5"/>
        <v>5.6006033125152489E-2</v>
      </c>
    </row>
    <row r="45" spans="1:9" ht="15.75" x14ac:dyDescent="0.25">
      <c r="A45" s="49"/>
      <c r="B45" s="52"/>
      <c r="C45" s="1">
        <v>2021</v>
      </c>
      <c r="D45" s="2">
        <f>351470*1000000</f>
        <v>351470000000</v>
      </c>
      <c r="E45" s="2">
        <f>570500*1000000</f>
        <v>570500000000</v>
      </c>
      <c r="F45" s="2">
        <f t="shared" si="4"/>
        <v>-219030000000</v>
      </c>
      <c r="G45" s="2">
        <f>6297287*1000000</f>
        <v>6297287000000</v>
      </c>
      <c r="H45" s="7">
        <v>-1</v>
      </c>
      <c r="I45" s="24">
        <f t="shared" si="5"/>
        <v>3.4781644857539443E-2</v>
      </c>
    </row>
    <row r="46" spans="1:9" ht="15.75" x14ac:dyDescent="0.25">
      <c r="A46" s="50"/>
      <c r="B46" s="53"/>
      <c r="C46" s="1">
        <v>2022</v>
      </c>
      <c r="D46" s="2">
        <f>382105*1000000</f>
        <v>382105000000</v>
      </c>
      <c r="E46" s="2">
        <f>-99776*1000000</f>
        <v>-99776000000</v>
      </c>
      <c r="F46" s="2">
        <f t="shared" si="4"/>
        <v>481881000000</v>
      </c>
      <c r="G46" s="2">
        <f>6878297*1000000</f>
        <v>6878297000000</v>
      </c>
      <c r="H46" s="7">
        <v>-1</v>
      </c>
      <c r="I46" s="24">
        <f t="shared" si="5"/>
        <v>-7.005818446048491E-2</v>
      </c>
    </row>
    <row r="47" spans="1:9" ht="15.75" x14ac:dyDescent="0.25">
      <c r="A47" s="48">
        <v>12</v>
      </c>
      <c r="B47" s="51" t="s">
        <v>16</v>
      </c>
      <c r="C47" s="1">
        <v>2019</v>
      </c>
      <c r="D47" s="2">
        <f>-2343.1*1000000000</f>
        <v>-2343100000000</v>
      </c>
      <c r="E47" s="2">
        <f>-1602098413*1000</f>
        <v>-1602098413000</v>
      </c>
      <c r="F47" s="2">
        <f t="shared" si="4"/>
        <v>-741001587000</v>
      </c>
      <c r="G47" s="2">
        <f>17540.6*1000000000</f>
        <v>17540599999999.998</v>
      </c>
      <c r="H47" s="7">
        <v>-1</v>
      </c>
      <c r="I47" s="24">
        <f t="shared" si="5"/>
        <v>4.2244939568771886E-2</v>
      </c>
    </row>
    <row r="48" spans="1:9" ht="15.75" x14ac:dyDescent="0.25">
      <c r="A48" s="49"/>
      <c r="B48" s="52"/>
      <c r="C48" s="1">
        <v>2020</v>
      </c>
      <c r="D48" s="2">
        <f>1717.4*1000000000</f>
        <v>1717400000000</v>
      </c>
      <c r="E48" s="2">
        <f>1812827233*1000</f>
        <v>1812827233000</v>
      </c>
      <c r="F48" s="2">
        <f t="shared" si="4"/>
        <v>-95427233000</v>
      </c>
      <c r="G48" s="2">
        <f>17884.1*1000000000</f>
        <v>17884100000000</v>
      </c>
      <c r="H48" s="7">
        <v>-1</v>
      </c>
      <c r="I48" s="24">
        <f t="shared" si="5"/>
        <v>5.3358700186198916E-3</v>
      </c>
    </row>
    <row r="49" spans="1:12" ht="15.75" x14ac:dyDescent="0.25">
      <c r="A49" s="49"/>
      <c r="B49" s="52"/>
      <c r="C49" s="1">
        <v>2021</v>
      </c>
      <c r="D49" s="2">
        <f>6019.9*1000000000</f>
        <v>6019900000000</v>
      </c>
      <c r="E49" s="2">
        <f>1606868880*1000</f>
        <v>1606868880000</v>
      </c>
      <c r="F49" s="2">
        <f t="shared" si="4"/>
        <v>4413031120000</v>
      </c>
      <c r="G49" s="2">
        <f>38168.5*1000000000</f>
        <v>38168500000000</v>
      </c>
      <c r="H49" s="7">
        <v>-1</v>
      </c>
      <c r="I49" s="24">
        <f t="shared" si="5"/>
        <v>-0.1156197157341787</v>
      </c>
    </row>
    <row r="50" spans="1:12" ht="15.75" x14ac:dyDescent="0.25">
      <c r="A50" s="50"/>
      <c r="B50" s="53"/>
      <c r="C50" s="1">
        <v>2022</v>
      </c>
      <c r="D50" s="2">
        <f>5462.1*1000000000</f>
        <v>5462100000000</v>
      </c>
      <c r="E50" s="2">
        <f>-810999249*1000</f>
        <v>-810999249000</v>
      </c>
      <c r="F50" s="2">
        <f t="shared" si="4"/>
        <v>6273099249000</v>
      </c>
      <c r="G50" s="2">
        <f>44469*1000000000</f>
        <v>44469000000000</v>
      </c>
      <c r="H50" s="7">
        <v>-1</v>
      </c>
      <c r="I50" s="24">
        <f t="shared" si="5"/>
        <v>-0.14106679369898131</v>
      </c>
    </row>
    <row r="51" spans="1:12" ht="15.75" x14ac:dyDescent="0.25">
      <c r="A51" s="48">
        <v>13</v>
      </c>
      <c r="B51" s="51" t="s">
        <v>17</v>
      </c>
      <c r="C51" s="1">
        <v>2019</v>
      </c>
      <c r="D51" s="2">
        <f>1828*1000000</f>
        <v>1828000000</v>
      </c>
      <c r="E51" s="2">
        <v>-1076283500</v>
      </c>
      <c r="F51" s="2">
        <f t="shared" si="4"/>
        <v>2904283500</v>
      </c>
      <c r="G51" s="2">
        <f>102297*1000000</f>
        <v>102297000000</v>
      </c>
      <c r="H51" s="7">
        <v>-1</v>
      </c>
      <c r="I51" s="24">
        <f t="shared" si="5"/>
        <v>-2.8390700607055924E-2</v>
      </c>
    </row>
    <row r="52" spans="1:12" ht="15.75" x14ac:dyDescent="0.25">
      <c r="A52" s="49"/>
      <c r="B52" s="52"/>
      <c r="C52" s="1">
        <v>2020</v>
      </c>
      <c r="D52" s="2">
        <f>-17389*1000000</f>
        <v>-17389000000</v>
      </c>
      <c r="E52" s="2">
        <v>-847378589</v>
      </c>
      <c r="F52" s="2">
        <f t="shared" si="4"/>
        <v>-16541621411</v>
      </c>
      <c r="G52" s="2">
        <f>106495*1000000</f>
        <v>106495000000</v>
      </c>
      <c r="H52" s="7">
        <v>-1</v>
      </c>
      <c r="I52" s="24">
        <f t="shared" si="5"/>
        <v>0.15532768121508053</v>
      </c>
    </row>
    <row r="53" spans="1:12" ht="15.75" x14ac:dyDescent="0.25">
      <c r="A53" s="49"/>
      <c r="B53" s="52"/>
      <c r="C53" s="1">
        <v>2021</v>
      </c>
      <c r="D53" s="2">
        <f>-14659*1000000</f>
        <v>-14659000000</v>
      </c>
      <c r="E53" s="2">
        <v>-6942843388</v>
      </c>
      <c r="F53" s="2">
        <f t="shared" si="4"/>
        <v>-7716156612</v>
      </c>
      <c r="G53" s="2">
        <f>113192*1000000</f>
        <v>113192000000</v>
      </c>
      <c r="H53" s="7">
        <v>-1</v>
      </c>
      <c r="I53" s="24">
        <f t="shared" si="5"/>
        <v>6.8168745247013926E-2</v>
      </c>
    </row>
    <row r="54" spans="1:12" ht="15.75" x14ac:dyDescent="0.25">
      <c r="A54" s="50"/>
      <c r="B54" s="53"/>
      <c r="C54" s="1">
        <v>2022</v>
      </c>
      <c r="D54" s="2">
        <f>-22068*1000000</f>
        <v>-22068000000</v>
      </c>
      <c r="E54" s="2">
        <v>-9710407546</v>
      </c>
      <c r="F54" s="2">
        <f t="shared" si="4"/>
        <v>-12357592454</v>
      </c>
      <c r="G54" s="2">
        <f>118587*1000000</f>
        <v>118587000000</v>
      </c>
      <c r="H54" s="7">
        <v>-1</v>
      </c>
      <c r="I54" s="24">
        <f t="shared" si="5"/>
        <v>0.10420697423832292</v>
      </c>
    </row>
    <row r="55" spans="1:12" ht="15.75" x14ac:dyDescent="0.25">
      <c r="A55" s="48">
        <v>14</v>
      </c>
      <c r="B55" s="51" t="s">
        <v>18</v>
      </c>
      <c r="C55" s="1">
        <v>2019</v>
      </c>
      <c r="D55" s="2">
        <v>436000000000</v>
      </c>
      <c r="E55" s="2">
        <f>475*1000000000</f>
        <v>475000000000</v>
      </c>
      <c r="F55" s="2">
        <f t="shared" si="4"/>
        <v>-39000000000</v>
      </c>
      <c r="G55" s="2">
        <f>5063*1000000000</f>
        <v>5063000000000</v>
      </c>
      <c r="H55" s="7">
        <v>-1</v>
      </c>
      <c r="I55" s="24">
        <f t="shared" si="5"/>
        <v>7.7029429192178554E-3</v>
      </c>
    </row>
    <row r="56" spans="1:12" ht="15.75" x14ac:dyDescent="0.25">
      <c r="A56" s="49"/>
      <c r="B56" s="52"/>
      <c r="C56" s="1">
        <v>2020</v>
      </c>
      <c r="D56" s="2">
        <v>245000000000</v>
      </c>
      <c r="E56" s="2">
        <f>874*1000000000</f>
        <v>874000000000</v>
      </c>
      <c r="F56" s="2">
        <f t="shared" si="4"/>
        <v>-629000000000</v>
      </c>
      <c r="G56" s="2">
        <f>6571*1000000000</f>
        <v>6571000000000</v>
      </c>
      <c r="H56" s="7">
        <v>-1</v>
      </c>
      <c r="I56" s="24">
        <f t="shared" si="5"/>
        <v>9.5723634150053263E-2</v>
      </c>
    </row>
    <row r="57" spans="1:12" ht="15.75" x14ac:dyDescent="0.25">
      <c r="A57" s="49"/>
      <c r="B57" s="52"/>
      <c r="C57" s="1">
        <v>2021</v>
      </c>
      <c r="D57" s="2">
        <v>493000000000</v>
      </c>
      <c r="E57" s="2">
        <f>710*1000000000</f>
        <v>710000000000</v>
      </c>
      <c r="F57" s="2">
        <f t="shared" si="4"/>
        <v>-217000000000</v>
      </c>
      <c r="G57" s="2">
        <f>6767*1000000000</f>
        <v>6767000000000</v>
      </c>
      <c r="H57" s="7">
        <v>-1</v>
      </c>
      <c r="I57" s="24">
        <f t="shared" si="5"/>
        <v>3.2067385843061916E-2</v>
      </c>
    </row>
    <row r="58" spans="1:12" ht="15.75" x14ac:dyDescent="0.25">
      <c r="A58" s="50"/>
      <c r="B58" s="53"/>
      <c r="C58" s="1">
        <v>2022</v>
      </c>
      <c r="D58" s="2">
        <v>522000000000</v>
      </c>
      <c r="E58" s="2">
        <f>622*1000000000</f>
        <v>622000000000</v>
      </c>
      <c r="F58" s="2">
        <f t="shared" si="4"/>
        <v>-100000000000</v>
      </c>
      <c r="G58" s="2">
        <f>7327*1000000000</f>
        <v>7327000000000</v>
      </c>
      <c r="H58" s="7">
        <v>-1</v>
      </c>
      <c r="I58" s="24">
        <f t="shared" si="5"/>
        <v>1.3648150675583458E-2</v>
      </c>
    </row>
    <row r="59" spans="1:12" ht="15.75" x14ac:dyDescent="0.25">
      <c r="A59" s="48">
        <v>15</v>
      </c>
      <c r="B59" s="51" t="s">
        <v>19</v>
      </c>
      <c r="C59" s="1">
        <v>2019</v>
      </c>
      <c r="D59" s="2">
        <v>103723133280</v>
      </c>
      <c r="E59" s="2">
        <v>105224199992</v>
      </c>
      <c r="F59" s="2">
        <f t="shared" si="4"/>
        <v>-1501066712</v>
      </c>
      <c r="G59" s="2">
        <v>848676035300</v>
      </c>
      <c r="H59" s="7">
        <v>-1</v>
      </c>
      <c r="I59" s="24">
        <f t="shared" si="5"/>
        <v>1.7687157991557818E-3</v>
      </c>
      <c r="L59" s="3"/>
    </row>
    <row r="60" spans="1:12" ht="15.75" x14ac:dyDescent="0.25">
      <c r="A60" s="49"/>
      <c r="B60" s="52"/>
      <c r="C60" s="1">
        <v>2020</v>
      </c>
      <c r="D60" s="2">
        <v>38038419405</v>
      </c>
      <c r="E60" s="2">
        <v>78181287748</v>
      </c>
      <c r="F60" s="2">
        <f t="shared" si="4"/>
        <v>-40142868343</v>
      </c>
      <c r="G60" s="2">
        <v>906924214166</v>
      </c>
      <c r="H60" s="7">
        <v>-1</v>
      </c>
      <c r="I60" s="24">
        <f t="shared" si="5"/>
        <v>4.4262649200424151E-2</v>
      </c>
    </row>
    <row r="61" spans="1:12" ht="15.75" x14ac:dyDescent="0.25">
      <c r="A61" s="49"/>
      <c r="B61" s="52"/>
      <c r="C61" s="1">
        <v>2021</v>
      </c>
      <c r="D61" s="2">
        <v>12533087704</v>
      </c>
      <c r="E61" s="2">
        <v>13844364441</v>
      </c>
      <c r="F61" s="2">
        <f t="shared" si="4"/>
        <v>-1311276737</v>
      </c>
      <c r="G61" s="2">
        <v>987563580363</v>
      </c>
      <c r="H61" s="7">
        <v>-1</v>
      </c>
      <c r="I61" s="24">
        <f t="shared" si="5"/>
        <v>1.3277896867339037E-3</v>
      </c>
    </row>
    <row r="62" spans="1:12" ht="15.75" x14ac:dyDescent="0.25">
      <c r="A62" s="50"/>
      <c r="B62" s="53"/>
      <c r="C62" s="1">
        <v>2022</v>
      </c>
      <c r="D62" s="2">
        <v>90572477</v>
      </c>
      <c r="E62" s="2">
        <v>208500977805</v>
      </c>
      <c r="F62" s="2">
        <f t="shared" si="4"/>
        <v>-208410405328</v>
      </c>
      <c r="G62" s="2">
        <v>811603660216</v>
      </c>
      <c r="H62" s="7">
        <v>-1</v>
      </c>
      <c r="I62" s="24">
        <f t="shared" si="5"/>
        <v>0.25678839998396963</v>
      </c>
    </row>
    <row r="63" spans="1:12" ht="15.75" x14ac:dyDescent="0.25">
      <c r="A63" s="48">
        <v>16</v>
      </c>
      <c r="B63" s="51" t="s">
        <v>20</v>
      </c>
      <c r="C63" s="1">
        <v>2019</v>
      </c>
      <c r="D63" s="2">
        <f>5360*1000000000</f>
        <v>5360000000000</v>
      </c>
      <c r="E63" s="2">
        <f>7398161*1000000</f>
        <v>7398161000000</v>
      </c>
      <c r="F63" s="2">
        <f t="shared" si="4"/>
        <v>-2038161000000</v>
      </c>
      <c r="G63" s="2">
        <f>38709.3*1000000000</f>
        <v>38709300000000</v>
      </c>
      <c r="H63" s="7">
        <v>-1</v>
      </c>
      <c r="I63" s="24">
        <f t="shared" si="5"/>
        <v>5.2653005866807198E-2</v>
      </c>
    </row>
    <row r="64" spans="1:12" ht="15.75" x14ac:dyDescent="0.25">
      <c r="A64" s="49"/>
      <c r="B64" s="52"/>
      <c r="C64" s="1">
        <v>2020</v>
      </c>
      <c r="D64" s="2">
        <f>7418.6*1000000000</f>
        <v>7418600000000</v>
      </c>
      <c r="E64" s="2">
        <f>9336780*1000000</f>
        <v>9336780000000</v>
      </c>
      <c r="F64" s="2">
        <f t="shared" si="4"/>
        <v>-1918180000000</v>
      </c>
      <c r="G64" s="2">
        <f>103502.6*1000000000</f>
        <v>103502600000000</v>
      </c>
      <c r="H64" s="7">
        <v>-1</v>
      </c>
      <c r="I64" s="24">
        <f t="shared" si="5"/>
        <v>1.8532674541509104E-2</v>
      </c>
    </row>
    <row r="65" spans="1:9" ht="15.75" x14ac:dyDescent="0.25">
      <c r="A65" s="49"/>
      <c r="B65" s="52"/>
      <c r="C65" s="1">
        <v>2021</v>
      </c>
      <c r="D65" s="2">
        <f>7911.9*1000000000</f>
        <v>7911900000000</v>
      </c>
      <c r="E65" s="2">
        <f>7989039*1000000</f>
        <v>7989039000000</v>
      </c>
      <c r="F65" s="2">
        <f t="shared" si="4"/>
        <v>-77139000000</v>
      </c>
      <c r="G65" s="2">
        <f>118015.3*1000000000</f>
        <v>118015300000000</v>
      </c>
      <c r="H65" s="7">
        <v>-1</v>
      </c>
      <c r="I65" s="24">
        <f t="shared" si="5"/>
        <v>6.5363558792800593E-4</v>
      </c>
    </row>
    <row r="66" spans="1:9" ht="15.75" x14ac:dyDescent="0.25">
      <c r="A66" s="50"/>
      <c r="B66" s="53"/>
      <c r="C66" s="1">
        <v>2022</v>
      </c>
      <c r="D66" s="2">
        <f>5722.2*1000000000</f>
        <v>5722200000000</v>
      </c>
      <c r="E66" s="2">
        <f>8804494*1000000</f>
        <v>8804494000000</v>
      </c>
      <c r="F66" s="2">
        <f t="shared" si="4"/>
        <v>-3082294000000</v>
      </c>
      <c r="G66" s="2">
        <f>115305.5*1000000000</f>
        <v>115305500000000</v>
      </c>
      <c r="H66" s="7">
        <v>-1</v>
      </c>
      <c r="I66" s="24">
        <f t="shared" si="5"/>
        <v>2.6731543595058346E-2</v>
      </c>
    </row>
    <row r="67" spans="1:9" ht="15.75" x14ac:dyDescent="0.25">
      <c r="A67" s="48">
        <v>17</v>
      </c>
      <c r="B67" s="51" t="s">
        <v>21</v>
      </c>
      <c r="C67" s="1">
        <v>2019</v>
      </c>
      <c r="D67" s="2">
        <f>85544*1000000</f>
        <v>85544000000</v>
      </c>
      <c r="E67" s="2">
        <v>624782809</v>
      </c>
      <c r="F67" s="2">
        <f t="shared" si="4"/>
        <v>84919217191</v>
      </c>
      <c r="G67" s="2">
        <v>384481206140</v>
      </c>
      <c r="H67" s="7">
        <v>-1</v>
      </c>
      <c r="I67" s="24">
        <f t="shared" si="5"/>
        <v>-0.2208670172556591</v>
      </c>
    </row>
    <row r="68" spans="1:9" ht="15.75" x14ac:dyDescent="0.25">
      <c r="A68" s="49"/>
      <c r="B68" s="52"/>
      <c r="C68" s="1">
        <v>2020</v>
      </c>
      <c r="D68" s="2">
        <f>-41519*1000000</f>
        <v>-41519000000</v>
      </c>
      <c r="E68" s="2">
        <v>511826630</v>
      </c>
      <c r="F68" s="2">
        <f t="shared" si="4"/>
        <v>-42030826630</v>
      </c>
      <c r="G68" s="2">
        <v>343139482249</v>
      </c>
      <c r="H68" s="7">
        <v>-1</v>
      </c>
      <c r="I68" s="24">
        <f t="shared" si="5"/>
        <v>0.12248904251566198</v>
      </c>
    </row>
    <row r="69" spans="1:9" ht="15.75" x14ac:dyDescent="0.25">
      <c r="A69" s="49"/>
      <c r="B69" s="52"/>
      <c r="C69" s="1">
        <v>2021</v>
      </c>
      <c r="D69" s="2">
        <f>-43767*1000000</f>
        <v>-43767000000</v>
      </c>
      <c r="E69" s="2">
        <v>1566983551</v>
      </c>
      <c r="F69" s="2">
        <f t="shared" si="4"/>
        <v>-45333983551</v>
      </c>
      <c r="G69" s="2">
        <v>299295229177</v>
      </c>
      <c r="H69" s="7">
        <v>-1</v>
      </c>
      <c r="I69" s="24">
        <f t="shared" si="5"/>
        <v>0.15146911521329318</v>
      </c>
    </row>
    <row r="70" spans="1:9" ht="15.75" x14ac:dyDescent="0.25">
      <c r="A70" s="50"/>
      <c r="B70" s="53"/>
      <c r="C70" s="1">
        <v>2022</v>
      </c>
      <c r="D70" s="2">
        <v>-48105040530</v>
      </c>
      <c r="E70" s="2">
        <v>-2565050172</v>
      </c>
      <c r="F70" s="2">
        <f t="shared" si="4"/>
        <v>-45539990358</v>
      </c>
      <c r="G70" s="2">
        <v>251669253000</v>
      </c>
      <c r="H70" s="7">
        <v>-1</v>
      </c>
      <c r="I70" s="24">
        <f t="shared" si="5"/>
        <v>0.18095174446280093</v>
      </c>
    </row>
    <row r="71" spans="1:9" ht="15.75" x14ac:dyDescent="0.25">
      <c r="A71" s="48">
        <v>18</v>
      </c>
      <c r="B71" s="51" t="s">
        <v>22</v>
      </c>
      <c r="C71" s="1">
        <v>2019</v>
      </c>
      <c r="D71" s="4">
        <v>4694444802</v>
      </c>
      <c r="E71" s="2">
        <v>1289423927</v>
      </c>
      <c r="F71" s="2">
        <f t="shared" si="4"/>
        <v>3405020875</v>
      </c>
      <c r="G71" s="4">
        <v>95848982883</v>
      </c>
      <c r="H71" s="7">
        <v>-1</v>
      </c>
      <c r="I71" s="24">
        <f t="shared" si="5"/>
        <v>-3.5524851412939956E-2</v>
      </c>
    </row>
    <row r="72" spans="1:9" ht="15.75" x14ac:dyDescent="0.25">
      <c r="A72" s="49"/>
      <c r="B72" s="52"/>
      <c r="C72" s="1">
        <v>2020</v>
      </c>
      <c r="D72" s="4">
        <v>-1087117567</v>
      </c>
      <c r="E72" s="2">
        <v>-39547433819</v>
      </c>
      <c r="F72" s="2">
        <f t="shared" si="4"/>
        <v>38460316252</v>
      </c>
      <c r="G72" s="2">
        <v>132538615751</v>
      </c>
      <c r="H72" s="7">
        <v>-1</v>
      </c>
      <c r="I72" s="24">
        <f t="shared" si="5"/>
        <v>-0.2901819672257277</v>
      </c>
    </row>
    <row r="73" spans="1:9" ht="15.75" x14ac:dyDescent="0.25">
      <c r="A73" s="49"/>
      <c r="B73" s="52"/>
      <c r="C73" s="1">
        <v>2021</v>
      </c>
      <c r="D73" s="4">
        <v>1599675921</v>
      </c>
      <c r="E73" s="2">
        <v>8025011161</v>
      </c>
      <c r="F73" s="2">
        <f t="shared" ref="F73:F104" si="6">D73-E73</f>
        <v>-6425335240</v>
      </c>
      <c r="G73" s="2">
        <v>129081871599</v>
      </c>
      <c r="H73" s="7">
        <v>-1</v>
      </c>
      <c r="I73" s="24">
        <f t="shared" ref="I73:I104" si="7">F73/G73*H73</f>
        <v>4.9777208529797744E-2</v>
      </c>
    </row>
    <row r="74" spans="1:9" ht="15.75" x14ac:dyDescent="0.25">
      <c r="A74" s="50"/>
      <c r="B74" s="53"/>
      <c r="C74" s="1">
        <v>2022</v>
      </c>
      <c r="D74" s="4">
        <v>2035931112</v>
      </c>
      <c r="E74" s="2">
        <v>7627218415</v>
      </c>
      <c r="F74" s="2">
        <f t="shared" si="6"/>
        <v>-5591287303</v>
      </c>
      <c r="G74" s="2">
        <v>125635186707</v>
      </c>
      <c r="H74" s="7">
        <v>-1</v>
      </c>
      <c r="I74" s="24">
        <f t="shared" si="7"/>
        <v>4.4504150863720338E-2</v>
      </c>
    </row>
    <row r="75" spans="1:9" ht="15.75" x14ac:dyDescent="0.25">
      <c r="A75" s="48">
        <v>19</v>
      </c>
      <c r="B75" s="51" t="s">
        <v>23</v>
      </c>
      <c r="C75" s="1">
        <v>2019</v>
      </c>
      <c r="D75" s="2">
        <f>5902.7*1000000000</f>
        <v>5902700000000</v>
      </c>
      <c r="E75" s="2">
        <f>13344494*1000000</f>
        <v>13344494000000</v>
      </c>
      <c r="F75" s="2">
        <f t="shared" si="6"/>
        <v>-7441794000000</v>
      </c>
      <c r="G75" s="2">
        <f>96198.6*1000000000</f>
        <v>96198600000000</v>
      </c>
      <c r="H75" s="7">
        <v>-1</v>
      </c>
      <c r="I75" s="24">
        <f t="shared" si="7"/>
        <v>7.7358651789111277E-2</v>
      </c>
    </row>
    <row r="76" spans="1:9" ht="15.75" x14ac:dyDescent="0.25">
      <c r="A76" s="49"/>
      <c r="B76" s="52"/>
      <c r="C76" s="1">
        <v>2020</v>
      </c>
      <c r="D76" s="2">
        <f>8752.1*1000000000</f>
        <v>8752100000000</v>
      </c>
      <c r="E76" s="2">
        <f>13855497*1000000</f>
        <v>13855497000000</v>
      </c>
      <c r="F76" s="2">
        <f t="shared" si="6"/>
        <v>-5103397000000</v>
      </c>
      <c r="G76" s="2">
        <f>163011.8*1000000000</f>
        <v>163011800000000</v>
      </c>
      <c r="H76" s="7">
        <v>-1</v>
      </c>
      <c r="I76" s="24">
        <f t="shared" si="7"/>
        <v>3.1306917658721636E-2</v>
      </c>
    </row>
    <row r="77" spans="1:9" ht="15.75" x14ac:dyDescent="0.25">
      <c r="A77" s="49"/>
      <c r="B77" s="52"/>
      <c r="C77" s="1">
        <v>2021</v>
      </c>
      <c r="D77" s="2">
        <f>11229.7*1000000000</f>
        <v>11229700000000</v>
      </c>
      <c r="E77" s="2">
        <f>14692641*1000000</f>
        <v>14692641000000</v>
      </c>
      <c r="F77" s="2">
        <f t="shared" si="6"/>
        <v>-3462941000000</v>
      </c>
      <c r="G77" s="2">
        <f>179271.8*1000000000</f>
        <v>179271800000000</v>
      </c>
      <c r="H77" s="7">
        <v>-1</v>
      </c>
      <c r="I77" s="24">
        <f t="shared" si="7"/>
        <v>1.9316707926176901E-2</v>
      </c>
    </row>
    <row r="78" spans="1:9" ht="15.75" x14ac:dyDescent="0.25">
      <c r="A78" s="50"/>
      <c r="B78" s="53"/>
      <c r="C78" s="1">
        <v>2022</v>
      </c>
      <c r="D78" s="2">
        <f>9192.9*1000000000</f>
        <v>9192900000000</v>
      </c>
      <c r="E78" s="2">
        <f>13587686*1000000</f>
        <v>13587686000000</v>
      </c>
      <c r="F78" s="2">
        <f t="shared" si="6"/>
        <v>-4394786000000</v>
      </c>
      <c r="G78" s="2">
        <f>180433.3*1000000000</f>
        <v>180433300000000</v>
      </c>
      <c r="H78" s="7">
        <v>-1</v>
      </c>
      <c r="I78" s="24">
        <f t="shared" si="7"/>
        <v>2.4356845438175768E-2</v>
      </c>
    </row>
    <row r="79" spans="1:9" ht="15.75" x14ac:dyDescent="0.25">
      <c r="A79" s="48">
        <v>20</v>
      </c>
      <c r="B79" s="51" t="s">
        <v>24</v>
      </c>
      <c r="C79" s="1">
        <v>2019</v>
      </c>
      <c r="D79" s="2">
        <v>98047666143</v>
      </c>
      <c r="E79" s="2">
        <v>201156380130</v>
      </c>
      <c r="F79" s="2">
        <f t="shared" si="6"/>
        <v>-103108713987</v>
      </c>
      <c r="G79" s="2">
        <v>666313386673</v>
      </c>
      <c r="H79" s="7">
        <v>-1</v>
      </c>
      <c r="I79" s="24">
        <f t="shared" si="7"/>
        <v>0.15474507348837288</v>
      </c>
    </row>
    <row r="80" spans="1:9" ht="15.75" x14ac:dyDescent="0.25">
      <c r="A80" s="49"/>
      <c r="B80" s="52"/>
      <c r="C80" s="1">
        <v>2020</v>
      </c>
      <c r="D80" s="2">
        <v>121000016429</v>
      </c>
      <c r="E80" s="2">
        <v>212500750913</v>
      </c>
      <c r="F80" s="2">
        <f t="shared" si="6"/>
        <v>-91500734484</v>
      </c>
      <c r="G80" s="2">
        <v>674806910037</v>
      </c>
      <c r="H80" s="7">
        <v>-1</v>
      </c>
      <c r="I80" s="24">
        <f t="shared" si="7"/>
        <v>0.13559543200140461</v>
      </c>
    </row>
    <row r="81" spans="1:9" ht="15.75" x14ac:dyDescent="0.25">
      <c r="A81" s="49"/>
      <c r="B81" s="52"/>
      <c r="C81" s="1">
        <v>2021</v>
      </c>
      <c r="D81" s="2">
        <v>144700268968</v>
      </c>
      <c r="E81" s="2">
        <v>97933973535</v>
      </c>
      <c r="F81" s="2">
        <f t="shared" si="6"/>
        <v>46766295433</v>
      </c>
      <c r="G81" s="2">
        <v>767726284113</v>
      </c>
      <c r="H81" s="7">
        <v>-1</v>
      </c>
      <c r="I81" s="24">
        <f t="shared" si="7"/>
        <v>-6.0915324121059489E-2</v>
      </c>
    </row>
    <row r="82" spans="1:9" ht="15.75" x14ac:dyDescent="0.25">
      <c r="A82" s="50"/>
      <c r="B82" s="53"/>
      <c r="C82" s="1">
        <v>2022</v>
      </c>
      <c r="D82" s="2">
        <v>117370750383</v>
      </c>
      <c r="E82" s="2">
        <v>64694068640</v>
      </c>
      <c r="F82" s="2">
        <f t="shared" si="6"/>
        <v>52676681743</v>
      </c>
      <c r="G82" s="2">
        <v>860100358989</v>
      </c>
      <c r="H82" s="7">
        <v>-1</v>
      </c>
      <c r="I82" s="24">
        <f t="shared" si="7"/>
        <v>-6.1244808460396996E-2</v>
      </c>
    </row>
    <row r="83" spans="1:9" ht="15.75" x14ac:dyDescent="0.25">
      <c r="A83" s="48">
        <v>21</v>
      </c>
      <c r="B83" s="51" t="s">
        <v>25</v>
      </c>
      <c r="C83" s="1">
        <v>2019</v>
      </c>
      <c r="D83" s="2">
        <f>515603*1000000</f>
        <v>515603000000</v>
      </c>
      <c r="E83" s="2">
        <f>17397*1000000</f>
        <v>17397000000</v>
      </c>
      <c r="F83" s="2">
        <f t="shared" si="6"/>
        <v>498206000000</v>
      </c>
      <c r="G83" s="2">
        <f>4695765*1000000</f>
        <v>4695765000000</v>
      </c>
      <c r="H83" s="7">
        <v>-1</v>
      </c>
      <c r="I83" s="24">
        <f t="shared" si="7"/>
        <v>-0.10609687665375077</v>
      </c>
    </row>
    <row r="84" spans="1:9" ht="15.75" x14ac:dyDescent="0.25">
      <c r="A84" s="49"/>
      <c r="B84" s="52"/>
      <c r="C84" s="1">
        <v>2020</v>
      </c>
      <c r="D84" s="2">
        <f>113697*1000000</f>
        <v>113697000000</v>
      </c>
      <c r="E84" s="2">
        <f>-71183*1000000</f>
        <v>-71183000000</v>
      </c>
      <c r="F84" s="2">
        <f t="shared" si="6"/>
        <v>184880000000</v>
      </c>
      <c r="G84" s="2">
        <f>5254478*1000000</f>
        <v>5254478000000</v>
      </c>
      <c r="H84" s="7">
        <v>-1</v>
      </c>
      <c r="I84" s="24">
        <f t="shared" si="7"/>
        <v>-3.5185226772288324E-2</v>
      </c>
    </row>
    <row r="85" spans="1:9" ht="15.75" x14ac:dyDescent="0.25">
      <c r="A85" s="49"/>
      <c r="B85" s="52"/>
      <c r="C85" s="1">
        <v>2021</v>
      </c>
      <c r="D85" s="2">
        <f>100650*1000000</f>
        <v>100650000000</v>
      </c>
      <c r="E85" s="2">
        <f>591719*1000000</f>
        <v>591719000000</v>
      </c>
      <c r="F85" s="2">
        <f t="shared" si="6"/>
        <v>-491069000000</v>
      </c>
      <c r="G85" s="2">
        <f>5346062*1000000</f>
        <v>5346062000000</v>
      </c>
      <c r="H85" s="7">
        <v>-1</v>
      </c>
      <c r="I85" s="24">
        <f t="shared" si="7"/>
        <v>9.1856211170016355E-2</v>
      </c>
    </row>
    <row r="86" spans="1:9" ht="15.75" x14ac:dyDescent="0.25">
      <c r="A86" s="50"/>
      <c r="B86" s="53"/>
      <c r="C86" s="1">
        <v>2022</v>
      </c>
      <c r="D86" s="2">
        <f>-950289*1000000</f>
        <v>-950289000000</v>
      </c>
      <c r="E86" s="2">
        <f>240474*1000000</f>
        <v>240474000000</v>
      </c>
      <c r="F86" s="2">
        <f t="shared" si="6"/>
        <v>-1190763000000</v>
      </c>
      <c r="G86" s="2">
        <f>4676372*1000000</f>
        <v>4676372000000</v>
      </c>
      <c r="H86" s="7">
        <v>-1</v>
      </c>
      <c r="I86" s="24">
        <f t="shared" si="7"/>
        <v>0.2546339341694801</v>
      </c>
    </row>
    <row r="87" spans="1:9" ht="15.75" x14ac:dyDescent="0.25">
      <c r="A87" s="48">
        <v>22</v>
      </c>
      <c r="B87" s="51" t="s">
        <v>26</v>
      </c>
      <c r="C87" s="1">
        <v>2019</v>
      </c>
      <c r="D87" s="2">
        <f>1206059000000</f>
        <v>1206059000000</v>
      </c>
      <c r="E87" s="2">
        <f>1012211*1000000</f>
        <v>1012211000000</v>
      </c>
      <c r="F87" s="2">
        <f t="shared" si="6"/>
        <v>193848000000</v>
      </c>
      <c r="G87" s="2">
        <f>2896950*1000000</f>
        <v>2896950000000</v>
      </c>
      <c r="H87" s="7">
        <v>-1</v>
      </c>
      <c r="I87" s="24">
        <f t="shared" si="7"/>
        <v>-6.6914513540102527E-2</v>
      </c>
    </row>
    <row r="88" spans="1:9" ht="15.75" x14ac:dyDescent="0.25">
      <c r="A88" s="49"/>
      <c r="B88" s="52"/>
      <c r="C88" s="1">
        <v>2020</v>
      </c>
      <c r="D88" s="2">
        <f>285617*1000000</f>
        <v>285617000000</v>
      </c>
      <c r="E88" s="2">
        <f>547502*1000000</f>
        <v>547502000000</v>
      </c>
      <c r="F88" s="2">
        <f t="shared" si="6"/>
        <v>-261885000000</v>
      </c>
      <c r="G88" s="2">
        <f>2907425*1000000</f>
        <v>2907425000000</v>
      </c>
      <c r="H88" s="7">
        <v>-1</v>
      </c>
      <c r="I88" s="24">
        <f t="shared" si="7"/>
        <v>9.0074550504312234E-2</v>
      </c>
    </row>
    <row r="89" spans="1:9" ht="15.75" x14ac:dyDescent="0.25">
      <c r="A89" s="49"/>
      <c r="B89" s="52"/>
      <c r="C89" s="1">
        <v>2021</v>
      </c>
      <c r="D89" s="2">
        <f>665850*1000000</f>
        <v>665850000000</v>
      </c>
      <c r="E89" s="2">
        <f>168005*1000000</f>
        <v>168005000000</v>
      </c>
      <c r="F89" s="2">
        <f t="shared" si="6"/>
        <v>497845000000</v>
      </c>
      <c r="G89" s="2">
        <f>2922017*1000000</f>
        <v>2922017000000</v>
      </c>
      <c r="H89" s="7">
        <v>-1</v>
      </c>
      <c r="I89" s="24">
        <f t="shared" si="7"/>
        <v>-0.17037717439700042</v>
      </c>
    </row>
    <row r="90" spans="1:9" ht="15.75" x14ac:dyDescent="0.25">
      <c r="A90" s="50"/>
      <c r="B90" s="53"/>
      <c r="C90" s="1">
        <v>2022</v>
      </c>
      <c r="D90" s="2">
        <f>924906*1000000</f>
        <v>924906000000</v>
      </c>
      <c r="E90" s="2">
        <f>1490060*1000000</f>
        <v>1490060000000</v>
      </c>
      <c r="F90" s="2">
        <f t="shared" si="6"/>
        <v>-565154000000</v>
      </c>
      <c r="G90" s="2">
        <f>3374502*1000000</f>
        <v>3374502000000</v>
      </c>
      <c r="H90" s="7">
        <v>-1</v>
      </c>
      <c r="I90" s="24">
        <f t="shared" si="7"/>
        <v>0.16747774930937959</v>
      </c>
    </row>
    <row r="91" spans="1:9" ht="15.75" x14ac:dyDescent="0.25">
      <c r="A91" s="48">
        <v>23</v>
      </c>
      <c r="B91" s="51" t="s">
        <v>27</v>
      </c>
      <c r="C91" s="1">
        <v>2019</v>
      </c>
      <c r="D91" s="2">
        <f>2051404*1000000</f>
        <v>2051404000000</v>
      </c>
      <c r="E91" s="2">
        <v>3303864262119</v>
      </c>
      <c r="F91" s="2">
        <f t="shared" si="6"/>
        <v>-1252460262119</v>
      </c>
      <c r="G91" s="2">
        <v>19037919000000</v>
      </c>
      <c r="H91" s="7">
        <v>-1</v>
      </c>
      <c r="I91" s="24">
        <f t="shared" si="7"/>
        <v>6.5787666294777281E-2</v>
      </c>
    </row>
    <row r="92" spans="1:9" ht="15.75" x14ac:dyDescent="0.25">
      <c r="A92" s="49"/>
      <c r="B92" s="52"/>
      <c r="C92" s="1">
        <v>2020</v>
      </c>
      <c r="D92" s="2">
        <f>2098169*1000000</f>
        <v>2098169000000</v>
      </c>
      <c r="E92" s="2">
        <v>3715832449186</v>
      </c>
      <c r="F92" s="2">
        <f t="shared" si="6"/>
        <v>-1617663449186</v>
      </c>
      <c r="G92" s="2">
        <f>19777501*1000000</f>
        <v>19777501000000</v>
      </c>
      <c r="H92" s="7">
        <v>-1</v>
      </c>
      <c r="I92" s="24">
        <f t="shared" si="7"/>
        <v>8.1793116793977161E-2</v>
      </c>
    </row>
    <row r="93" spans="1:9" ht="15.75" x14ac:dyDescent="0.25">
      <c r="A93" s="49"/>
      <c r="B93" s="52"/>
      <c r="C93" s="1">
        <v>2021</v>
      </c>
      <c r="D93" s="2">
        <f>1211053*1000000</f>
        <v>1211053000000</v>
      </c>
      <c r="E93" s="2">
        <v>1041955003348</v>
      </c>
      <c r="F93" s="2">
        <f t="shared" si="6"/>
        <v>169097996652</v>
      </c>
      <c r="G93" s="2">
        <f>19917653*1000000</f>
        <v>19917653000000</v>
      </c>
      <c r="H93" s="7">
        <v>-1</v>
      </c>
      <c r="I93" s="24">
        <f t="shared" si="7"/>
        <v>-8.4898555393047564E-3</v>
      </c>
    </row>
    <row r="94" spans="1:9" ht="15.75" x14ac:dyDescent="0.25">
      <c r="A94" s="50"/>
      <c r="B94" s="53"/>
      <c r="C94" s="1">
        <v>2022</v>
      </c>
      <c r="D94" s="2">
        <f>1970065*1000000</f>
        <v>1970065000000</v>
      </c>
      <c r="E94" s="2">
        <v>1619570638186</v>
      </c>
      <c r="F94" s="2">
        <f t="shared" si="6"/>
        <v>350494361814</v>
      </c>
      <c r="G94" s="2">
        <f>22276160*1000000</f>
        <v>22276160000000</v>
      </c>
      <c r="H94" s="7">
        <v>-1</v>
      </c>
      <c r="I94" s="24">
        <f t="shared" si="7"/>
        <v>-1.5734056579500236E-2</v>
      </c>
    </row>
    <row r="95" spans="1:9" ht="15.75" x14ac:dyDescent="0.25">
      <c r="A95" s="48">
        <v>24</v>
      </c>
      <c r="B95" s="51" t="s">
        <v>28</v>
      </c>
      <c r="C95" s="1">
        <v>2019</v>
      </c>
      <c r="D95" s="2">
        <v>2570452159</v>
      </c>
      <c r="E95" s="2">
        <v>398424477</v>
      </c>
      <c r="F95" s="2">
        <f t="shared" si="6"/>
        <v>2172027682</v>
      </c>
      <c r="G95" s="2">
        <v>18385253544</v>
      </c>
      <c r="H95" s="7">
        <v>-1</v>
      </c>
      <c r="I95" s="24">
        <f t="shared" si="7"/>
        <v>-0.11813966431313307</v>
      </c>
    </row>
    <row r="96" spans="1:9" ht="15.75" x14ac:dyDescent="0.25">
      <c r="A96" s="49"/>
      <c r="B96" s="52"/>
      <c r="C96" s="1">
        <v>2020</v>
      </c>
      <c r="D96" s="2">
        <v>1049938752</v>
      </c>
      <c r="E96" s="2">
        <v>-1489409414</v>
      </c>
      <c r="F96" s="2">
        <f t="shared" si="6"/>
        <v>2539348166</v>
      </c>
      <c r="G96" s="2">
        <v>57761107871</v>
      </c>
      <c r="H96" s="7">
        <v>-1</v>
      </c>
      <c r="I96" s="24">
        <f t="shared" si="7"/>
        <v>-4.3962940802160851E-2</v>
      </c>
    </row>
    <row r="97" spans="1:9" ht="15.75" x14ac:dyDescent="0.25">
      <c r="A97" s="49"/>
      <c r="B97" s="52"/>
      <c r="C97" s="1">
        <v>2021</v>
      </c>
      <c r="D97" s="2">
        <v>532665673</v>
      </c>
      <c r="E97" s="2">
        <v>-6035284193</v>
      </c>
      <c r="F97" s="2">
        <f t="shared" si="6"/>
        <v>6567949866</v>
      </c>
      <c r="G97" s="2">
        <v>29309437617</v>
      </c>
      <c r="H97" s="7">
        <v>-1</v>
      </c>
      <c r="I97" s="24">
        <f t="shared" si="7"/>
        <v>-0.224089931435275</v>
      </c>
    </row>
    <row r="98" spans="1:9" ht="15.75" x14ac:dyDescent="0.25">
      <c r="A98" s="50"/>
      <c r="B98" s="53"/>
      <c r="C98" s="1">
        <v>2022</v>
      </c>
      <c r="D98" s="2">
        <v>1032151378</v>
      </c>
      <c r="E98" s="2">
        <v>-10670763425</v>
      </c>
      <c r="F98" s="2">
        <f t="shared" si="6"/>
        <v>11702914803</v>
      </c>
      <c r="G98" s="2">
        <v>38767195615</v>
      </c>
      <c r="H98" s="7">
        <v>-1</v>
      </c>
      <c r="I98" s="24">
        <f t="shared" si="7"/>
        <v>-0.30187674443162066</v>
      </c>
    </row>
    <row r="99" spans="1:9" ht="15.75" x14ac:dyDescent="0.25">
      <c r="A99" s="48">
        <v>25</v>
      </c>
      <c r="B99" s="51" t="s">
        <v>29</v>
      </c>
      <c r="C99" s="1">
        <v>2019</v>
      </c>
      <c r="D99" s="2">
        <v>-1236402757</v>
      </c>
      <c r="E99" s="2">
        <v>16313635640</v>
      </c>
      <c r="F99" s="2">
        <f t="shared" si="6"/>
        <v>-17550038397</v>
      </c>
      <c r="G99" s="2">
        <v>119708956000</v>
      </c>
      <c r="H99" s="7">
        <v>-1</v>
      </c>
      <c r="I99" s="24">
        <f t="shared" si="7"/>
        <v>0.14660589302107022</v>
      </c>
    </row>
    <row r="100" spans="1:9" ht="15.75" x14ac:dyDescent="0.25">
      <c r="A100" s="49"/>
      <c r="B100" s="52"/>
      <c r="C100" s="1">
        <v>2020</v>
      </c>
      <c r="D100" s="2">
        <f>244178*1000</f>
        <v>244178000</v>
      </c>
      <c r="E100" s="2">
        <v>-5703910044</v>
      </c>
      <c r="F100" s="2">
        <f t="shared" si="6"/>
        <v>5948088044</v>
      </c>
      <c r="G100" s="2">
        <v>98919212000</v>
      </c>
      <c r="H100" s="7">
        <v>-1</v>
      </c>
      <c r="I100" s="24">
        <f t="shared" si="7"/>
        <v>-6.013076654917146E-2</v>
      </c>
    </row>
    <row r="101" spans="1:9" ht="15.75" x14ac:dyDescent="0.25">
      <c r="A101" s="49"/>
      <c r="B101" s="52"/>
      <c r="C101" s="1">
        <v>2021</v>
      </c>
      <c r="D101" s="2">
        <f>1680076*1000</f>
        <v>1680076000</v>
      </c>
      <c r="E101" s="2">
        <v>359693319000</v>
      </c>
      <c r="F101" s="2">
        <f t="shared" si="6"/>
        <v>-358013243000</v>
      </c>
      <c r="G101" s="2">
        <v>13296259876000</v>
      </c>
      <c r="H101" s="7">
        <v>-1</v>
      </c>
      <c r="I101" s="24">
        <f t="shared" si="7"/>
        <v>2.6925860831452358E-2</v>
      </c>
    </row>
    <row r="102" spans="1:9" ht="15.75" x14ac:dyDescent="0.25">
      <c r="A102" s="50"/>
      <c r="B102" s="53"/>
      <c r="C102" s="1">
        <v>2022</v>
      </c>
      <c r="D102" s="2">
        <f>288311135*1000</f>
        <v>288311135000</v>
      </c>
      <c r="E102" s="2">
        <v>604773985000</v>
      </c>
      <c r="F102" s="2">
        <f t="shared" si="6"/>
        <v>-316462850000</v>
      </c>
      <c r="G102" s="2">
        <f>15938444031*1000</f>
        <v>15938444031000</v>
      </c>
      <c r="H102" s="7">
        <v>-1</v>
      </c>
      <c r="I102" s="24">
        <f t="shared" si="7"/>
        <v>1.985531645275318E-2</v>
      </c>
    </row>
    <row r="103" spans="1:9" ht="15.75" x14ac:dyDescent="0.25">
      <c r="A103" s="48">
        <v>26</v>
      </c>
      <c r="B103" s="51" t="s">
        <v>30</v>
      </c>
      <c r="C103" s="1">
        <v>2019</v>
      </c>
      <c r="D103" s="2">
        <f>-103*1000000000</f>
        <v>-103000000000</v>
      </c>
      <c r="E103" s="2">
        <v>-12699138614</v>
      </c>
      <c r="F103" s="2">
        <f t="shared" si="6"/>
        <v>-90300861386</v>
      </c>
      <c r="G103" s="2">
        <f>124.7*1000000000</f>
        <v>124700000000</v>
      </c>
      <c r="H103" s="7">
        <v>-1</v>
      </c>
      <c r="I103" s="24">
        <f t="shared" si="7"/>
        <v>0.72414483870088209</v>
      </c>
    </row>
    <row r="104" spans="1:9" ht="15.75" x14ac:dyDescent="0.25">
      <c r="A104" s="49"/>
      <c r="B104" s="52"/>
      <c r="C104" s="1">
        <v>2020</v>
      </c>
      <c r="D104" s="2">
        <f>15.9*1000000000</f>
        <v>15900000000</v>
      </c>
      <c r="E104" s="2">
        <v>12397869678</v>
      </c>
      <c r="F104" s="2">
        <f t="shared" si="6"/>
        <v>3502130322</v>
      </c>
      <c r="G104" s="2">
        <f>103.4*1000000000</f>
        <v>103400000000</v>
      </c>
      <c r="H104" s="7">
        <v>-1</v>
      </c>
      <c r="I104" s="24">
        <f t="shared" si="7"/>
        <v>-3.3869732321083174E-2</v>
      </c>
    </row>
    <row r="105" spans="1:9" ht="15.75" x14ac:dyDescent="0.25">
      <c r="A105" s="49"/>
      <c r="B105" s="52"/>
      <c r="C105" s="1">
        <v>2021</v>
      </c>
      <c r="D105" s="2">
        <v>2543475734</v>
      </c>
      <c r="E105" s="2">
        <v>-2917458371</v>
      </c>
      <c r="F105" s="2">
        <f t="shared" ref="F105:F134" si="8">D105-E105</f>
        <v>5460934105</v>
      </c>
      <c r="G105" s="2">
        <v>109000000000</v>
      </c>
      <c r="H105" s="7">
        <v>-1</v>
      </c>
      <c r="I105" s="24">
        <f t="shared" ref="I105:I134" si="9">F105/G105*H105</f>
        <v>-5.0100312889908259E-2</v>
      </c>
    </row>
    <row r="106" spans="1:9" ht="15.75" x14ac:dyDescent="0.25">
      <c r="A106" s="50"/>
      <c r="B106" s="53"/>
      <c r="C106" s="1">
        <v>2022</v>
      </c>
      <c r="D106" s="2">
        <v>3726879993</v>
      </c>
      <c r="E106" s="2">
        <v>6652026935</v>
      </c>
      <c r="F106" s="2">
        <f t="shared" si="8"/>
        <v>-2925146942</v>
      </c>
      <c r="G106" s="2">
        <v>106800000000</v>
      </c>
      <c r="H106" s="7">
        <v>-1</v>
      </c>
      <c r="I106" s="24">
        <f t="shared" si="9"/>
        <v>2.7389016310861422E-2</v>
      </c>
    </row>
    <row r="107" spans="1:9" ht="15.75" x14ac:dyDescent="0.25">
      <c r="A107" s="48">
        <v>27</v>
      </c>
      <c r="B107" s="51" t="s">
        <v>31</v>
      </c>
      <c r="C107" s="1">
        <v>2019</v>
      </c>
      <c r="D107" s="2">
        <f>-25762*1000000</f>
        <v>-25762000000</v>
      </c>
      <c r="E107" s="2">
        <v>57339523786</v>
      </c>
      <c r="F107" s="2">
        <f t="shared" si="8"/>
        <v>-83101523786</v>
      </c>
      <c r="G107" s="4">
        <f>763492*1000000</f>
        <v>763492000000</v>
      </c>
      <c r="H107" s="7">
        <v>-1</v>
      </c>
      <c r="I107" s="24">
        <f t="shared" si="9"/>
        <v>0.10884400070465702</v>
      </c>
    </row>
    <row r="108" spans="1:9" ht="15.75" x14ac:dyDescent="0.25">
      <c r="A108" s="49"/>
      <c r="B108" s="52"/>
      <c r="C108" s="1">
        <v>2020</v>
      </c>
      <c r="D108" s="2">
        <f>-52305*1000000</f>
        <v>-52305000000</v>
      </c>
      <c r="E108" s="2">
        <v>-27550576454</v>
      </c>
      <c r="F108" s="2">
        <f t="shared" si="8"/>
        <v>-24754423546</v>
      </c>
      <c r="G108" s="2">
        <f>765376*1000000</f>
        <v>765376000000</v>
      </c>
      <c r="H108" s="7">
        <v>-1</v>
      </c>
      <c r="I108" s="24">
        <f t="shared" si="9"/>
        <v>3.2342826984384149E-2</v>
      </c>
    </row>
    <row r="109" spans="1:9" ht="15.75" x14ac:dyDescent="0.25">
      <c r="A109" s="49"/>
      <c r="B109" s="52"/>
      <c r="C109" s="1">
        <v>2021</v>
      </c>
      <c r="D109" s="2">
        <v>-21784386527</v>
      </c>
      <c r="E109" s="2">
        <v>48155002081</v>
      </c>
      <c r="F109" s="2">
        <f t="shared" si="8"/>
        <v>-69939388608</v>
      </c>
      <c r="G109" s="2">
        <v>707397000000</v>
      </c>
      <c r="H109" s="7">
        <v>-1</v>
      </c>
      <c r="I109" s="24">
        <f t="shared" si="9"/>
        <v>9.8868653115577257E-2</v>
      </c>
    </row>
    <row r="110" spans="1:9" ht="15.75" x14ac:dyDescent="0.25">
      <c r="A110" s="50"/>
      <c r="B110" s="53"/>
      <c r="C110" s="1">
        <v>2022</v>
      </c>
      <c r="D110" s="2">
        <v>-12501927525</v>
      </c>
      <c r="E110" s="2">
        <v>-6921667743</v>
      </c>
      <c r="F110" s="2">
        <f t="shared" si="8"/>
        <v>-5580259782</v>
      </c>
      <c r="G110" s="2">
        <v>705621000000</v>
      </c>
      <c r="H110" s="7">
        <v>-1</v>
      </c>
      <c r="I110" s="24">
        <f t="shared" si="9"/>
        <v>7.9082960711203323E-3</v>
      </c>
    </row>
    <row r="111" spans="1:9" ht="15.75" x14ac:dyDescent="0.25">
      <c r="A111" s="48">
        <v>28</v>
      </c>
      <c r="B111" s="51" t="s">
        <v>32</v>
      </c>
      <c r="C111" s="1">
        <v>2019</v>
      </c>
      <c r="D111" s="2">
        <f>-160988*1000000</f>
        <v>-160988000000</v>
      </c>
      <c r="E111" s="2">
        <v>68517135164</v>
      </c>
      <c r="F111" s="2">
        <f t="shared" si="8"/>
        <v>-229505135164</v>
      </c>
      <c r="G111" s="2">
        <f>3255607*1000000</f>
        <v>3255607000000</v>
      </c>
      <c r="H111" s="7">
        <v>-1</v>
      </c>
      <c r="I111" s="24">
        <f t="shared" si="9"/>
        <v>7.0495343929411633E-2</v>
      </c>
    </row>
    <row r="112" spans="1:9" ht="15.75" x14ac:dyDescent="0.25">
      <c r="A112" s="49"/>
      <c r="B112" s="52"/>
      <c r="C112" s="1">
        <v>2020</v>
      </c>
      <c r="D112" s="2">
        <f>26501*1000000</f>
        <v>26501000000</v>
      </c>
      <c r="E112" s="2">
        <v>279405793342</v>
      </c>
      <c r="F112" s="2">
        <f t="shared" si="8"/>
        <v>-252904793342</v>
      </c>
      <c r="G112" s="2">
        <f>3401723*1000000</f>
        <v>3401723000000</v>
      </c>
      <c r="H112" s="7">
        <v>-1</v>
      </c>
      <c r="I112" s="24">
        <f t="shared" si="9"/>
        <v>7.4346086774849093E-2</v>
      </c>
    </row>
    <row r="113" spans="1:9" ht="15.75" x14ac:dyDescent="0.25">
      <c r="A113" s="49"/>
      <c r="B113" s="52"/>
      <c r="C113" s="1">
        <v>2021</v>
      </c>
      <c r="D113" s="2">
        <v>213841959820</v>
      </c>
      <c r="E113" s="2">
        <v>369004599899</v>
      </c>
      <c r="F113" s="2">
        <f t="shared" si="8"/>
        <v>-155162640079</v>
      </c>
      <c r="G113" s="2">
        <f>3731908*1000000</f>
        <v>3731908000000</v>
      </c>
      <c r="H113" s="7">
        <v>-1</v>
      </c>
      <c r="I113" s="24">
        <f t="shared" si="9"/>
        <v>4.1577295067027377E-2</v>
      </c>
    </row>
    <row r="114" spans="1:9" ht="15.75" x14ac:dyDescent="0.25">
      <c r="A114" s="50"/>
      <c r="B114" s="53"/>
      <c r="C114" s="1">
        <v>2022</v>
      </c>
      <c r="D114" s="2">
        <v>257682130697</v>
      </c>
      <c r="E114" s="2">
        <v>534655519938</v>
      </c>
      <c r="F114" s="2">
        <f t="shared" si="8"/>
        <v>-276973389241</v>
      </c>
      <c r="G114" s="2">
        <f>4140857*1000000</f>
        <v>4140857000000</v>
      </c>
      <c r="H114" s="7">
        <v>-1</v>
      </c>
      <c r="I114" s="24">
        <f t="shared" si="9"/>
        <v>6.6887938714377246E-2</v>
      </c>
    </row>
    <row r="115" spans="1:9" ht="15.75" x14ac:dyDescent="0.25">
      <c r="A115" s="48">
        <v>29</v>
      </c>
      <c r="B115" s="51" t="s">
        <v>33</v>
      </c>
      <c r="C115" s="1">
        <v>2019</v>
      </c>
      <c r="D115" s="2">
        <v>237000000000</v>
      </c>
      <c r="E115" s="5">
        <v>479788528325</v>
      </c>
      <c r="F115" s="2">
        <f t="shared" si="8"/>
        <v>-242788528325</v>
      </c>
      <c r="G115" s="2">
        <f>4682*1000000000</f>
        <v>4682000000000</v>
      </c>
      <c r="H115" s="7">
        <v>-1</v>
      </c>
      <c r="I115" s="24">
        <f t="shared" si="9"/>
        <v>5.185573009931653E-2</v>
      </c>
    </row>
    <row r="116" spans="1:9" ht="15.75" x14ac:dyDescent="0.25">
      <c r="A116" s="49"/>
      <c r="B116" s="52"/>
      <c r="C116" s="1">
        <v>2020</v>
      </c>
      <c r="D116" s="2">
        <v>169000000000</v>
      </c>
      <c r="E116" s="5">
        <v>486591578118</v>
      </c>
      <c r="F116" s="2">
        <f t="shared" si="8"/>
        <v>-317591578118</v>
      </c>
      <c r="G116" s="2">
        <f>4452*1000000000</f>
        <v>4452000000000</v>
      </c>
      <c r="H116" s="7">
        <v>-1</v>
      </c>
      <c r="I116" s="24">
        <f t="shared" si="9"/>
        <v>7.1336832461365685E-2</v>
      </c>
    </row>
    <row r="117" spans="1:9" ht="15.75" x14ac:dyDescent="0.25">
      <c r="A117" s="49"/>
      <c r="B117" s="52"/>
      <c r="C117" s="1">
        <v>2021</v>
      </c>
      <c r="D117" s="2">
        <f>284*1000000000</f>
        <v>284000000000</v>
      </c>
      <c r="E117" s="5">
        <v>643601152274</v>
      </c>
      <c r="F117" s="2">
        <f t="shared" si="8"/>
        <v>-359601152274</v>
      </c>
      <c r="G117" s="2">
        <f>4191*1000000000</f>
        <v>4191000000000</v>
      </c>
      <c r="H117" s="7">
        <v>-1</v>
      </c>
      <c r="I117" s="24">
        <f t="shared" si="9"/>
        <v>8.5803185939871157E-2</v>
      </c>
    </row>
    <row r="118" spans="1:9" ht="15.75" x14ac:dyDescent="0.25">
      <c r="A118" s="50"/>
      <c r="B118" s="53"/>
      <c r="C118" s="1">
        <v>2022</v>
      </c>
      <c r="D118" s="2">
        <v>432000000000</v>
      </c>
      <c r="E118" s="5">
        <v>726581686414</v>
      </c>
      <c r="F118" s="2">
        <f t="shared" si="8"/>
        <v>-294581686414</v>
      </c>
      <c r="G118" s="2">
        <f>4130*1000000000</f>
        <v>4130000000000</v>
      </c>
      <c r="H118" s="7">
        <v>-1</v>
      </c>
      <c r="I118" s="24">
        <f t="shared" si="9"/>
        <v>7.132728484600484E-2</v>
      </c>
    </row>
    <row r="119" spans="1:9" ht="15.75" x14ac:dyDescent="0.25">
      <c r="A119" s="48">
        <v>30</v>
      </c>
      <c r="B119" s="51" t="s">
        <v>40</v>
      </c>
      <c r="C119" s="1">
        <v>2019</v>
      </c>
      <c r="D119" s="2">
        <f>0.98*1000000000</f>
        <v>980000000</v>
      </c>
      <c r="E119" s="2">
        <v>-40492304852</v>
      </c>
      <c r="F119" s="2">
        <f t="shared" si="8"/>
        <v>41472304852</v>
      </c>
      <c r="G119" s="2">
        <f>1820.38*1000000000</f>
        <v>1820380000000</v>
      </c>
      <c r="H119" s="7">
        <v>-1</v>
      </c>
      <c r="I119" s="24">
        <f t="shared" si="9"/>
        <v>-2.2782223959832561E-2</v>
      </c>
    </row>
    <row r="120" spans="1:9" ht="15.75" x14ac:dyDescent="0.25">
      <c r="A120" s="49"/>
      <c r="B120" s="52"/>
      <c r="C120" s="1">
        <v>2020</v>
      </c>
      <c r="D120" s="2">
        <f>5.42*1000000000</f>
        <v>5420000000</v>
      </c>
      <c r="E120" s="2">
        <v>19707485134</v>
      </c>
      <c r="F120" s="2">
        <f t="shared" si="8"/>
        <v>-14287485134</v>
      </c>
      <c r="G120" s="2">
        <f>1768.66*1000000000</f>
        <v>1768660000000</v>
      </c>
      <c r="H120" s="7">
        <v>-1</v>
      </c>
      <c r="I120" s="24">
        <f t="shared" si="9"/>
        <v>8.0781411543202203E-3</v>
      </c>
    </row>
    <row r="121" spans="1:9" ht="15.75" x14ac:dyDescent="0.25">
      <c r="A121" s="49"/>
      <c r="B121" s="52"/>
      <c r="C121" s="1">
        <v>2021</v>
      </c>
      <c r="D121" s="2">
        <f>29.71*1000000000</f>
        <v>29710000000</v>
      </c>
      <c r="E121" s="2">
        <v>-44970462418</v>
      </c>
      <c r="F121" s="2">
        <f t="shared" si="8"/>
        <v>74680462418</v>
      </c>
      <c r="G121" s="2">
        <f>1970.43*1000000000</f>
        <v>1970430000000</v>
      </c>
      <c r="H121" s="7">
        <v>-1</v>
      </c>
      <c r="I121" s="24">
        <f t="shared" si="9"/>
        <v>-3.79005914536421E-2</v>
      </c>
    </row>
    <row r="122" spans="1:9" ht="15.75" x14ac:dyDescent="0.25">
      <c r="A122" s="50"/>
      <c r="B122" s="53"/>
      <c r="C122" s="1">
        <v>2022</v>
      </c>
      <c r="D122" s="2">
        <f>86.64*1000000000</f>
        <v>86640000000</v>
      </c>
      <c r="E122" s="2">
        <v>102191880734</v>
      </c>
      <c r="F122" s="2">
        <f t="shared" si="8"/>
        <v>-15551880734</v>
      </c>
      <c r="G122" s="2">
        <f>2042.2*1000000000</f>
        <v>2042200000000</v>
      </c>
      <c r="H122" s="7">
        <v>-1</v>
      </c>
      <c r="I122" s="24">
        <f t="shared" si="9"/>
        <v>7.6152584144549996E-3</v>
      </c>
    </row>
    <row r="123" spans="1:9" ht="15.75" x14ac:dyDescent="0.25">
      <c r="A123" s="48">
        <v>31</v>
      </c>
      <c r="B123" s="51" t="s">
        <v>34</v>
      </c>
      <c r="C123" s="1">
        <v>2019</v>
      </c>
      <c r="D123" s="2">
        <f>45*1000000000</f>
        <v>45000000000</v>
      </c>
      <c r="E123" s="2">
        <v>55384490788</v>
      </c>
      <c r="F123" s="2">
        <f t="shared" si="8"/>
        <v>-10384490788</v>
      </c>
      <c r="G123" s="2">
        <f>791*1000000000</f>
        <v>791000000000</v>
      </c>
      <c r="H123" s="7">
        <v>-1</v>
      </c>
      <c r="I123" s="24">
        <f t="shared" si="9"/>
        <v>1.3128306938053098E-2</v>
      </c>
    </row>
    <row r="124" spans="1:9" ht="15.75" x14ac:dyDescent="0.25">
      <c r="A124" s="49"/>
      <c r="B124" s="52"/>
      <c r="C124" s="1">
        <v>2020</v>
      </c>
      <c r="D124" s="2">
        <f>43*1000000000</f>
        <v>43000000000</v>
      </c>
      <c r="E124" s="2">
        <v>99975050847</v>
      </c>
      <c r="F124" s="2">
        <f t="shared" si="8"/>
        <v>-56975050847</v>
      </c>
      <c r="G124" s="2">
        <f>774*1000000000</f>
        <v>774000000000</v>
      </c>
      <c r="H124" s="7">
        <v>-1</v>
      </c>
      <c r="I124" s="24">
        <f t="shared" si="9"/>
        <v>7.3611176804909556E-2</v>
      </c>
    </row>
    <row r="125" spans="1:9" ht="15.75" x14ac:dyDescent="0.25">
      <c r="A125" s="49"/>
      <c r="B125" s="52"/>
      <c r="C125" s="1">
        <v>2021</v>
      </c>
      <c r="D125" s="2">
        <f>85*1000000000</f>
        <v>85000000000</v>
      </c>
      <c r="E125" s="2">
        <v>127778774118</v>
      </c>
      <c r="F125" s="2">
        <f t="shared" si="8"/>
        <v>-42778774118</v>
      </c>
      <c r="G125" s="2">
        <f>889*1000000000</f>
        <v>889000000000</v>
      </c>
      <c r="H125" s="7">
        <v>-1</v>
      </c>
      <c r="I125" s="24">
        <f t="shared" si="9"/>
        <v>4.8120105869516309E-2</v>
      </c>
    </row>
    <row r="126" spans="1:9" ht="15.75" x14ac:dyDescent="0.25">
      <c r="A126" s="50"/>
      <c r="B126" s="53"/>
      <c r="C126" s="1">
        <v>2022</v>
      </c>
      <c r="D126" s="2">
        <f>75*1000000000</f>
        <v>75000000000</v>
      </c>
      <c r="E126" s="2">
        <v>16414344843</v>
      </c>
      <c r="F126" s="2">
        <f t="shared" si="8"/>
        <v>58585655157</v>
      </c>
      <c r="G126" s="2">
        <f>1033*1000000000</f>
        <v>1033000000000</v>
      </c>
      <c r="H126" s="7">
        <v>-1</v>
      </c>
      <c r="I126" s="24">
        <f t="shared" si="9"/>
        <v>-5.671409018102614E-2</v>
      </c>
    </row>
    <row r="127" spans="1:9" ht="15.75" x14ac:dyDescent="0.25">
      <c r="A127" s="48">
        <v>32</v>
      </c>
      <c r="B127" s="51" t="s">
        <v>35</v>
      </c>
      <c r="C127" s="1">
        <v>2019</v>
      </c>
      <c r="D127" s="2">
        <f>482591*1000000</f>
        <v>482591000000</v>
      </c>
      <c r="E127" s="2">
        <v>499922010752</v>
      </c>
      <c r="F127" s="2">
        <f t="shared" si="8"/>
        <v>-17331010752</v>
      </c>
      <c r="G127" s="2">
        <f>2881563*1000000</f>
        <v>2881563000000</v>
      </c>
      <c r="H127" s="7">
        <v>-1</v>
      </c>
      <c r="I127" s="24">
        <f t="shared" si="9"/>
        <v>6.0144479756298929E-3</v>
      </c>
    </row>
    <row r="128" spans="1:9" ht="15.75" x14ac:dyDescent="0.25">
      <c r="A128" s="49"/>
      <c r="B128" s="52"/>
      <c r="C128" s="1">
        <v>2020</v>
      </c>
      <c r="D128" s="2">
        <f>628629*1000000</f>
        <v>628629000000</v>
      </c>
      <c r="E128" s="2">
        <v>926245668352</v>
      </c>
      <c r="F128" s="2">
        <f t="shared" si="8"/>
        <v>-297616668352</v>
      </c>
      <c r="G128" s="2">
        <f>3448995*1000000</f>
        <v>3448995000000</v>
      </c>
      <c r="H128" s="7">
        <v>-1</v>
      </c>
      <c r="I128" s="24">
        <f t="shared" si="9"/>
        <v>8.6290837867842668E-2</v>
      </c>
    </row>
    <row r="129" spans="1:9" ht="15.75" x14ac:dyDescent="0.25">
      <c r="A129" s="49"/>
      <c r="B129" s="52"/>
      <c r="C129" s="1">
        <v>2021</v>
      </c>
      <c r="D129" s="2">
        <f>617574*1000000</f>
        <v>617574000000</v>
      </c>
      <c r="E129" s="2">
        <v>624883019222</v>
      </c>
      <c r="F129" s="2">
        <f t="shared" si="8"/>
        <v>-7309019222</v>
      </c>
      <c r="G129" s="2">
        <f>3919244*1000000</f>
        <v>3919244000000</v>
      </c>
      <c r="H129" s="7">
        <v>-1</v>
      </c>
      <c r="I129" s="24">
        <f t="shared" si="9"/>
        <v>1.8649053802212876E-3</v>
      </c>
    </row>
    <row r="130" spans="1:9" ht="15.75" x14ac:dyDescent="0.25">
      <c r="A130" s="50"/>
      <c r="B130" s="53"/>
      <c r="C130" s="1">
        <v>2022</v>
      </c>
      <c r="D130" s="2">
        <f>624524*1000000</f>
        <v>624524000000</v>
      </c>
      <c r="E130" s="2">
        <v>677186311780</v>
      </c>
      <c r="F130" s="2">
        <f t="shared" si="8"/>
        <v>-52662311780</v>
      </c>
      <c r="G130" s="2">
        <f>4590738*1000000</f>
        <v>4590738000000</v>
      </c>
      <c r="H130" s="7">
        <v>-1</v>
      </c>
      <c r="I130" s="24">
        <f t="shared" si="9"/>
        <v>1.147142611492967E-2</v>
      </c>
    </row>
    <row r="131" spans="1:9" ht="15.75" x14ac:dyDescent="0.25">
      <c r="A131" s="48">
        <v>33</v>
      </c>
      <c r="B131" s="51" t="s">
        <v>36</v>
      </c>
      <c r="C131" s="1">
        <v>2019</v>
      </c>
      <c r="D131" s="2">
        <f>1035865*1000000</f>
        <v>1035865000000</v>
      </c>
      <c r="E131" s="2">
        <f>1096817*1000000</f>
        <v>1096817000000</v>
      </c>
      <c r="F131" s="2">
        <f t="shared" si="8"/>
        <v>-60952000000</v>
      </c>
      <c r="G131" s="2">
        <f>6608422*1000000</f>
        <v>6608422000000</v>
      </c>
      <c r="H131" s="7">
        <v>-1</v>
      </c>
      <c r="I131" s="24">
        <f t="shared" si="9"/>
        <v>9.2233819208276946E-3</v>
      </c>
    </row>
    <row r="132" spans="1:9" ht="15.75" x14ac:dyDescent="0.25">
      <c r="A132" s="49"/>
      <c r="B132" s="52"/>
      <c r="C132" s="1">
        <v>2020</v>
      </c>
      <c r="D132" s="2">
        <f>1109666*1000000</f>
        <v>1109666000000</v>
      </c>
      <c r="E132" s="2">
        <f>1217063*1000000</f>
        <v>1217063000000</v>
      </c>
      <c r="F132" s="2">
        <f t="shared" si="8"/>
        <v>-107397000000</v>
      </c>
      <c r="G132" s="2">
        <f>8754116*1000000</f>
        <v>8754116000000</v>
      </c>
      <c r="H132" s="7">
        <v>-1</v>
      </c>
      <c r="I132" s="24">
        <f t="shared" si="9"/>
        <v>1.2268171909076827E-2</v>
      </c>
    </row>
    <row r="133" spans="1:9" ht="15.75" x14ac:dyDescent="0.25">
      <c r="A133" s="49"/>
      <c r="B133" s="52"/>
      <c r="C133" s="1">
        <v>2021</v>
      </c>
      <c r="D133" s="2">
        <f>1276793*1000000</f>
        <v>1276793000000</v>
      </c>
      <c r="E133" s="2">
        <f>1414447*1000000</f>
        <v>1414447000000</v>
      </c>
      <c r="F133" s="2">
        <f t="shared" si="8"/>
        <v>-137654000000</v>
      </c>
      <c r="G133" s="2">
        <f>7406856*1000000</f>
        <v>7406856000000</v>
      </c>
      <c r="H133" s="7">
        <v>-1</v>
      </c>
      <c r="I133" s="24">
        <f t="shared" si="9"/>
        <v>1.8584673443091105E-2</v>
      </c>
    </row>
    <row r="134" spans="1:9" ht="15.75" x14ac:dyDescent="0.25">
      <c r="A134" s="50"/>
      <c r="B134" s="53"/>
      <c r="C134" s="1">
        <v>2022</v>
      </c>
      <c r="D134" s="2">
        <f>965486*1000000</f>
        <v>965486000000</v>
      </c>
      <c r="E134" s="2">
        <f>259846*1000000</f>
        <v>259846000000</v>
      </c>
      <c r="F134" s="2">
        <f t="shared" si="8"/>
        <v>705640000000</v>
      </c>
      <c r="G134" s="2">
        <f>7376375*1000000</f>
        <v>7376375000000</v>
      </c>
      <c r="H134" s="7">
        <v>-1</v>
      </c>
      <c r="I134" s="24">
        <f t="shared" si="9"/>
        <v>-9.5662164681161135E-2</v>
      </c>
    </row>
  </sheetData>
  <mergeCells count="70">
    <mergeCell ref="A1:A2"/>
    <mergeCell ref="B1:B2"/>
    <mergeCell ref="C1:C2"/>
    <mergeCell ref="A3:A6"/>
    <mergeCell ref="B3:B6"/>
    <mergeCell ref="A7:A10"/>
    <mergeCell ref="B7:B10"/>
    <mergeCell ref="A11:A14"/>
    <mergeCell ref="B11:B14"/>
    <mergeCell ref="A15:A18"/>
    <mergeCell ref="B15:B18"/>
    <mergeCell ref="A19:A22"/>
    <mergeCell ref="B19:B22"/>
    <mergeCell ref="A23:A26"/>
    <mergeCell ref="B23:B26"/>
    <mergeCell ref="A27:A30"/>
    <mergeCell ref="B27:B30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  <mergeCell ref="A55:A58"/>
    <mergeCell ref="B55:B58"/>
    <mergeCell ref="A59:A62"/>
    <mergeCell ref="B59:B62"/>
    <mergeCell ref="A63:A66"/>
    <mergeCell ref="B63:B66"/>
    <mergeCell ref="A67:A70"/>
    <mergeCell ref="B67:B70"/>
    <mergeCell ref="A71:A74"/>
    <mergeCell ref="B71:B74"/>
    <mergeCell ref="A75:A78"/>
    <mergeCell ref="B75:B78"/>
    <mergeCell ref="A79:A82"/>
    <mergeCell ref="B79:B82"/>
    <mergeCell ref="A83:A86"/>
    <mergeCell ref="B83:B86"/>
    <mergeCell ref="A87:A90"/>
    <mergeCell ref="B87:B90"/>
    <mergeCell ref="B111:B114"/>
    <mergeCell ref="A91:A94"/>
    <mergeCell ref="B91:B94"/>
    <mergeCell ref="A95:A98"/>
    <mergeCell ref="B95:B98"/>
    <mergeCell ref="A99:A102"/>
    <mergeCell ref="B99:B102"/>
    <mergeCell ref="A127:A130"/>
    <mergeCell ref="B127:B130"/>
    <mergeCell ref="A131:A134"/>
    <mergeCell ref="B131:B134"/>
    <mergeCell ref="D1:I1"/>
    <mergeCell ref="A115:A118"/>
    <mergeCell ref="B115:B118"/>
    <mergeCell ref="A119:A122"/>
    <mergeCell ref="B119:B122"/>
    <mergeCell ref="A123:A126"/>
    <mergeCell ref="B123:B126"/>
    <mergeCell ref="A103:A106"/>
    <mergeCell ref="B103:B106"/>
    <mergeCell ref="A107:A110"/>
    <mergeCell ref="B107:B110"/>
    <mergeCell ref="A111:A1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workbookViewId="0">
      <selection activeCell="E2" sqref="E2"/>
    </sheetView>
  </sheetViews>
  <sheetFormatPr defaultRowHeight="15" x14ac:dyDescent="0.25"/>
  <cols>
    <col min="4" max="5" width="23.7109375" bestFit="1" customWidth="1"/>
    <col min="6" max="6" width="10.140625" bestFit="1" customWidth="1"/>
  </cols>
  <sheetData>
    <row r="1" spans="1:10" ht="15.75" x14ac:dyDescent="0.25">
      <c r="A1" s="56" t="s">
        <v>2</v>
      </c>
      <c r="B1" s="56" t="s">
        <v>1</v>
      </c>
      <c r="C1" s="56" t="s">
        <v>0</v>
      </c>
      <c r="D1" s="64" t="s">
        <v>59</v>
      </c>
      <c r="E1" s="64"/>
      <c r="F1" s="64"/>
    </row>
    <row r="2" spans="1:10" ht="15.75" x14ac:dyDescent="0.25">
      <c r="A2" s="56"/>
      <c r="B2" s="56"/>
      <c r="C2" s="56"/>
      <c r="D2" s="17" t="s">
        <v>60</v>
      </c>
      <c r="E2" s="16" t="s">
        <v>4</v>
      </c>
      <c r="F2" s="16" t="s">
        <v>58</v>
      </c>
    </row>
    <row r="3" spans="1:10" ht="15.75" x14ac:dyDescent="0.25">
      <c r="A3" s="48">
        <v>1</v>
      </c>
      <c r="B3" s="51" t="s">
        <v>7</v>
      </c>
      <c r="C3" s="1">
        <v>2019</v>
      </c>
      <c r="D3" s="2">
        <f>184462*1000000</f>
        <v>184462000000</v>
      </c>
      <c r="E3" s="2">
        <v>83885000000</v>
      </c>
      <c r="F3" s="24">
        <f t="shared" ref="F3:F34" si="0">D3/E3</f>
        <v>2.1989867079930856</v>
      </c>
    </row>
    <row r="4" spans="1:10" ht="15.75" x14ac:dyDescent="0.25">
      <c r="A4" s="49"/>
      <c r="B4" s="52"/>
      <c r="C4" s="1">
        <v>2020</v>
      </c>
      <c r="D4" s="2">
        <f>230679*1000000</f>
        <v>230679000000</v>
      </c>
      <c r="E4" s="2">
        <v>135789000000</v>
      </c>
      <c r="F4" s="24">
        <f t="shared" si="0"/>
        <v>1.6988047632724301</v>
      </c>
      <c r="J4" s="3"/>
    </row>
    <row r="5" spans="1:10" ht="15.75" x14ac:dyDescent="0.25">
      <c r="A5" s="49"/>
      <c r="B5" s="52"/>
      <c r="C5" s="1">
        <v>2021</v>
      </c>
      <c r="D5" s="2">
        <f>308341*1000000</f>
        <v>308341000000</v>
      </c>
      <c r="E5" s="2">
        <v>265758000000</v>
      </c>
      <c r="F5" s="24">
        <f t="shared" si="0"/>
        <v>1.1602322413624426</v>
      </c>
    </row>
    <row r="6" spans="1:10" ht="15.75" x14ac:dyDescent="0.25">
      <c r="A6" s="50"/>
      <c r="B6" s="53"/>
      <c r="C6" s="1">
        <v>2022</v>
      </c>
      <c r="D6" s="2">
        <f>312748*1000000</f>
        <v>312748000000</v>
      </c>
      <c r="E6" s="2">
        <f>364972*1000000</f>
        <v>364972000000</v>
      </c>
      <c r="F6" s="24">
        <f t="shared" si="0"/>
        <v>0.85690957114518373</v>
      </c>
    </row>
    <row r="7" spans="1:10" ht="15.75" x14ac:dyDescent="0.25">
      <c r="A7" s="48">
        <v>2</v>
      </c>
      <c r="B7" s="51" t="s">
        <v>3</v>
      </c>
      <c r="C7" s="1">
        <v>2019</v>
      </c>
      <c r="D7" s="2">
        <f>14162*1000000</f>
        <v>14162000000</v>
      </c>
      <c r="E7" s="2">
        <v>1134776000000</v>
      </c>
      <c r="F7" s="24">
        <f t="shared" si="0"/>
        <v>1.2479996052084288E-2</v>
      </c>
    </row>
    <row r="8" spans="1:10" ht="15.75" x14ac:dyDescent="0.25">
      <c r="A8" s="49"/>
      <c r="B8" s="52"/>
      <c r="C8" s="1">
        <v>2020</v>
      </c>
      <c r="D8" s="2">
        <f>-58485*1000000</f>
        <v>-58485000000</v>
      </c>
      <c r="E8" s="2">
        <v>1204972000000</v>
      </c>
      <c r="F8" s="24">
        <f t="shared" si="0"/>
        <v>-4.8536397526249574E-2</v>
      </c>
    </row>
    <row r="9" spans="1:10" ht="15.75" x14ac:dyDescent="0.25">
      <c r="A9" s="49"/>
      <c r="B9" s="52"/>
      <c r="C9" s="1">
        <v>2021</v>
      </c>
      <c r="D9" s="2">
        <f>-84864*1000000</f>
        <v>-84864000000</v>
      </c>
      <c r="E9" s="2">
        <v>5762000000</v>
      </c>
      <c r="F9" s="24">
        <f t="shared" si="0"/>
        <v>-14.728219368274905</v>
      </c>
    </row>
    <row r="10" spans="1:10" ht="15.75" x14ac:dyDescent="0.25">
      <c r="A10" s="50"/>
      <c r="B10" s="53"/>
      <c r="C10" s="1">
        <v>2022</v>
      </c>
      <c r="D10" s="2">
        <f>-41789*1000000</f>
        <v>-41789000000</v>
      </c>
      <c r="E10" s="2">
        <v>-62395000000</v>
      </c>
      <c r="F10" s="24">
        <f t="shared" si="0"/>
        <v>0.66974917862008176</v>
      </c>
    </row>
    <row r="11" spans="1:10" ht="15.75" x14ac:dyDescent="0.25">
      <c r="A11" s="48">
        <v>3</v>
      </c>
      <c r="B11" s="51" t="s">
        <v>6</v>
      </c>
      <c r="C11" s="1">
        <v>2019</v>
      </c>
      <c r="D11" s="2">
        <v>33552221386</v>
      </c>
      <c r="E11" s="2">
        <f>-7.38*1000000000</f>
        <v>-7380000000</v>
      </c>
      <c r="F11" s="24">
        <f t="shared" si="0"/>
        <v>-4.546371461517615</v>
      </c>
    </row>
    <row r="12" spans="1:10" ht="15.75" x14ac:dyDescent="0.25">
      <c r="A12" s="49"/>
      <c r="B12" s="52"/>
      <c r="C12" s="1">
        <v>2020</v>
      </c>
      <c r="D12" s="2">
        <v>30788406788</v>
      </c>
      <c r="E12" s="2">
        <f>-10.5*1000000000</f>
        <v>-10500000000</v>
      </c>
      <c r="F12" s="24">
        <f t="shared" si="0"/>
        <v>-2.9322292179047618</v>
      </c>
    </row>
    <row r="13" spans="1:10" ht="15.75" x14ac:dyDescent="0.25">
      <c r="A13" s="49"/>
      <c r="B13" s="52"/>
      <c r="C13" s="1">
        <v>2021</v>
      </c>
      <c r="D13" s="2">
        <v>41924240191</v>
      </c>
      <c r="E13" s="2">
        <f>-8.39*1000000000</f>
        <v>-8390000000.000001</v>
      </c>
      <c r="F13" s="24">
        <f t="shared" si="0"/>
        <v>-4.9969297009535154</v>
      </c>
    </row>
    <row r="14" spans="1:10" ht="15.75" x14ac:dyDescent="0.25">
      <c r="A14" s="50"/>
      <c r="B14" s="53"/>
      <c r="C14" s="1">
        <v>2022</v>
      </c>
      <c r="D14" s="2">
        <v>1440523783</v>
      </c>
      <c r="E14" s="2">
        <f>-16.12*1000000000</f>
        <v>-16120000000.000002</v>
      </c>
      <c r="F14" s="24">
        <f t="shared" si="0"/>
        <v>-8.9362517555831258E-2</v>
      </c>
    </row>
    <row r="15" spans="1:10" ht="15.75" x14ac:dyDescent="0.25">
      <c r="A15" s="48">
        <v>4</v>
      </c>
      <c r="B15" s="51" t="s">
        <v>8</v>
      </c>
      <c r="C15" s="1">
        <v>2019</v>
      </c>
      <c r="D15" s="2">
        <f>271140*1000000</f>
        <v>271140000000</v>
      </c>
      <c r="E15" s="2">
        <v>64000000000</v>
      </c>
      <c r="F15" s="24">
        <f t="shared" si="0"/>
        <v>4.2365624999999998</v>
      </c>
    </row>
    <row r="16" spans="1:10" ht="15.75" x14ac:dyDescent="0.25">
      <c r="A16" s="49"/>
      <c r="B16" s="52"/>
      <c r="C16" s="1">
        <v>2020</v>
      </c>
      <c r="D16" s="2">
        <f>193682*1000000</f>
        <v>193682000000</v>
      </c>
      <c r="E16" s="2">
        <v>67100000000</v>
      </c>
      <c r="F16" s="24">
        <f t="shared" si="0"/>
        <v>2.8864679582712371</v>
      </c>
    </row>
    <row r="17" spans="1:6" ht="15.75" x14ac:dyDescent="0.25">
      <c r="A17" s="49"/>
      <c r="B17" s="52"/>
      <c r="C17" s="1">
        <v>2021</v>
      </c>
      <c r="D17" s="2">
        <f>190973*1000000</f>
        <v>190973000000</v>
      </c>
      <c r="E17" s="2">
        <v>91700000000</v>
      </c>
      <c r="F17" s="24">
        <f t="shared" si="0"/>
        <v>2.0825845147219195</v>
      </c>
    </row>
    <row r="18" spans="1:6" ht="15.75" x14ac:dyDescent="0.25">
      <c r="A18" s="50"/>
      <c r="B18" s="53"/>
      <c r="C18" s="1">
        <v>2022</v>
      </c>
      <c r="D18" s="2">
        <f>93996*1000000</f>
        <v>93996000000</v>
      </c>
      <c r="E18" s="2">
        <f>93.1*1000000000</f>
        <v>93100000000</v>
      </c>
      <c r="F18" s="24">
        <f t="shared" si="0"/>
        <v>1.0096240601503759</v>
      </c>
    </row>
    <row r="19" spans="1:6" ht="15.75" x14ac:dyDescent="0.25">
      <c r="A19" s="48">
        <v>5</v>
      </c>
      <c r="B19" s="51" t="s">
        <v>9</v>
      </c>
      <c r="C19" s="1">
        <v>2019</v>
      </c>
      <c r="D19" s="2">
        <v>158440399914</v>
      </c>
      <c r="E19" s="2">
        <f>76.76*1000000000</f>
        <v>76760000000</v>
      </c>
      <c r="F19" s="24">
        <f t="shared" si="0"/>
        <v>2.0641010931995831</v>
      </c>
    </row>
    <row r="20" spans="1:6" ht="15.75" x14ac:dyDescent="0.25">
      <c r="A20" s="49"/>
      <c r="B20" s="52"/>
      <c r="C20" s="1">
        <v>2020</v>
      </c>
      <c r="D20" s="2">
        <v>202642422392</v>
      </c>
      <c r="E20" s="2">
        <f>44.05*1000000000</f>
        <v>44050000000</v>
      </c>
      <c r="F20" s="24">
        <f t="shared" si="0"/>
        <v>4.6002820066288308</v>
      </c>
    </row>
    <row r="21" spans="1:6" ht="15.75" x14ac:dyDescent="0.25">
      <c r="A21" s="49"/>
      <c r="B21" s="52"/>
      <c r="C21" s="1">
        <v>2021</v>
      </c>
      <c r="D21" s="2">
        <v>218469033697</v>
      </c>
      <c r="E21" s="2">
        <f>99.28*1000000000</f>
        <v>99280000000</v>
      </c>
      <c r="F21" s="24">
        <f t="shared" si="0"/>
        <v>2.2005341830882355</v>
      </c>
    </row>
    <row r="22" spans="1:6" ht="15.75" x14ac:dyDescent="0.25">
      <c r="A22" s="50"/>
      <c r="B22" s="53"/>
      <c r="C22" s="1">
        <v>2022</v>
      </c>
      <c r="D22" s="2">
        <v>198491016426</v>
      </c>
      <c r="E22" s="2">
        <f>121.26*1000000000</f>
        <v>121260000000</v>
      </c>
      <c r="F22" s="24">
        <f t="shared" si="0"/>
        <v>1.6369043083127164</v>
      </c>
    </row>
    <row r="23" spans="1:6" ht="15.75" x14ac:dyDescent="0.25">
      <c r="A23" s="48">
        <v>6</v>
      </c>
      <c r="B23" s="51" t="s">
        <v>10</v>
      </c>
      <c r="C23" s="1">
        <v>2019</v>
      </c>
      <c r="D23" s="2">
        <v>453147999966</v>
      </c>
      <c r="E23" s="2">
        <f>215459*1000000</f>
        <v>215459000000</v>
      </c>
      <c r="F23" s="24">
        <f t="shared" si="0"/>
        <v>2.1031750818763664</v>
      </c>
    </row>
    <row r="24" spans="1:6" ht="15.75" x14ac:dyDescent="0.25">
      <c r="A24" s="49"/>
      <c r="B24" s="52"/>
      <c r="C24" s="1">
        <v>2020</v>
      </c>
      <c r="D24" s="2">
        <v>171295450196</v>
      </c>
      <c r="E24" s="2">
        <v>181813000000</v>
      </c>
      <c r="F24" s="24">
        <f t="shared" si="0"/>
        <v>0.94215182740508108</v>
      </c>
    </row>
    <row r="25" spans="1:6" ht="15.75" x14ac:dyDescent="0.25">
      <c r="A25" s="49"/>
      <c r="B25" s="52"/>
      <c r="C25" s="1">
        <v>2021</v>
      </c>
      <c r="D25" s="2">
        <v>-91481686113</v>
      </c>
      <c r="E25" s="2">
        <v>187067000000</v>
      </c>
      <c r="F25" s="24">
        <f t="shared" si="0"/>
        <v>-0.48903166305655194</v>
      </c>
    </row>
    <row r="26" spans="1:6" ht="15.75" x14ac:dyDescent="0.25">
      <c r="A26" s="50"/>
      <c r="B26" s="53"/>
      <c r="C26" s="1">
        <v>2022</v>
      </c>
      <c r="D26" s="2">
        <v>11867530566</v>
      </c>
      <c r="E26" s="2">
        <f>220705*1000000</f>
        <v>220705000000</v>
      </c>
      <c r="F26" s="24">
        <f t="shared" si="0"/>
        <v>5.3771009111710198E-2</v>
      </c>
    </row>
    <row r="27" spans="1:6" ht="15.75" x14ac:dyDescent="0.25">
      <c r="A27" s="48">
        <v>7</v>
      </c>
      <c r="B27" s="51" t="s">
        <v>11</v>
      </c>
      <c r="C27" s="1">
        <v>2019</v>
      </c>
      <c r="D27" s="2">
        <v>210065429291</v>
      </c>
      <c r="E27" s="2">
        <f>130756*1000000</f>
        <v>130756000000</v>
      </c>
      <c r="F27" s="24">
        <f t="shared" si="0"/>
        <v>1.6065452391553734</v>
      </c>
    </row>
    <row r="28" spans="1:6" ht="15.75" x14ac:dyDescent="0.25">
      <c r="A28" s="49"/>
      <c r="B28" s="52"/>
      <c r="C28" s="1">
        <v>2020</v>
      </c>
      <c r="D28" s="2">
        <v>226926314731</v>
      </c>
      <c r="E28" s="2">
        <f>132772*1000000</f>
        <v>132772000000</v>
      </c>
      <c r="F28" s="24">
        <f t="shared" si="0"/>
        <v>1.7091428518889524</v>
      </c>
    </row>
    <row r="29" spans="1:6" ht="15.75" x14ac:dyDescent="0.25">
      <c r="A29" s="49"/>
      <c r="B29" s="52"/>
      <c r="C29" s="1">
        <v>2021</v>
      </c>
      <c r="D29" s="2">
        <v>232746845618</v>
      </c>
      <c r="E29" s="2">
        <f>180712*1000000</f>
        <v>180712000000</v>
      </c>
      <c r="F29" s="24">
        <f t="shared" si="0"/>
        <v>1.2879434991478154</v>
      </c>
    </row>
    <row r="30" spans="1:6" ht="15.75" x14ac:dyDescent="0.25">
      <c r="A30" s="50"/>
      <c r="B30" s="53"/>
      <c r="C30" s="1">
        <v>2022</v>
      </c>
      <c r="D30" s="2">
        <v>190077226164</v>
      </c>
      <c r="E30" s="2">
        <f>195559*1000000</f>
        <v>195559000000</v>
      </c>
      <c r="F30" s="24">
        <f t="shared" si="0"/>
        <v>0.97196869570820055</v>
      </c>
    </row>
    <row r="31" spans="1:6" ht="15.75" x14ac:dyDescent="0.25">
      <c r="A31" s="48">
        <v>8</v>
      </c>
      <c r="B31" s="51" t="s">
        <v>12</v>
      </c>
      <c r="C31" s="1">
        <v>2019</v>
      </c>
      <c r="D31" s="2">
        <v>83527000000</v>
      </c>
      <c r="E31" s="2">
        <v>108005000000</v>
      </c>
      <c r="F31" s="24">
        <f t="shared" si="0"/>
        <v>0.77336234433591033</v>
      </c>
    </row>
    <row r="32" spans="1:6" ht="15.75" x14ac:dyDescent="0.25">
      <c r="A32" s="49"/>
      <c r="B32" s="52"/>
      <c r="C32" s="1">
        <v>2020</v>
      </c>
      <c r="D32" s="2">
        <f>198885*1000000</f>
        <v>198885000000</v>
      </c>
      <c r="E32" s="2">
        <v>177007000000</v>
      </c>
      <c r="F32" s="24">
        <f t="shared" si="0"/>
        <v>1.1235996316529855</v>
      </c>
    </row>
    <row r="33" spans="1:6" ht="15.75" x14ac:dyDescent="0.25">
      <c r="A33" s="49"/>
      <c r="B33" s="52"/>
      <c r="C33" s="1">
        <v>2021</v>
      </c>
      <c r="D33" s="2">
        <f>725649*1000000</f>
        <v>725649000000</v>
      </c>
      <c r="E33" s="2">
        <v>790229000000</v>
      </c>
      <c r="F33" s="24">
        <f t="shared" si="0"/>
        <v>0.91827685392462188</v>
      </c>
    </row>
    <row r="34" spans="1:6" ht="15.75" x14ac:dyDescent="0.25">
      <c r="A34" s="50"/>
      <c r="B34" s="53"/>
      <c r="C34" s="1">
        <v>2022</v>
      </c>
      <c r="D34" s="2">
        <f>485962*1000000</f>
        <v>485962000000</v>
      </c>
      <c r="E34" s="2">
        <f>1060582*1000000</f>
        <v>1060582000000</v>
      </c>
      <c r="F34" s="24">
        <f t="shared" si="0"/>
        <v>0.4582031375226055</v>
      </c>
    </row>
    <row r="35" spans="1:6" ht="15.75" x14ac:dyDescent="0.25">
      <c r="A35" s="48">
        <v>9</v>
      </c>
      <c r="B35" s="51" t="s">
        <v>13</v>
      </c>
      <c r="C35" s="1">
        <v>2019</v>
      </c>
      <c r="D35" s="2">
        <v>-9593332513</v>
      </c>
      <c r="E35" s="2">
        <v>7957208221</v>
      </c>
      <c r="F35" s="24">
        <f t="shared" ref="F35:F66" si="1">D35/E35</f>
        <v>-1.2056153674202061</v>
      </c>
    </row>
    <row r="36" spans="1:6" ht="15.75" x14ac:dyDescent="0.25">
      <c r="A36" s="49"/>
      <c r="B36" s="52"/>
      <c r="C36" s="1">
        <v>2020</v>
      </c>
      <c r="D36" s="2">
        <v>-32719704184</v>
      </c>
      <c r="E36" s="2">
        <v>2738128648</v>
      </c>
      <c r="F36" s="24">
        <f t="shared" si="1"/>
        <v>-11.949659198043641</v>
      </c>
    </row>
    <row r="37" spans="1:6" ht="15.75" x14ac:dyDescent="0.25">
      <c r="A37" s="49"/>
      <c r="B37" s="52"/>
      <c r="C37" s="1">
        <v>2021</v>
      </c>
      <c r="D37" s="2">
        <v>-26103284502</v>
      </c>
      <c r="E37" s="2">
        <v>8532631708</v>
      </c>
      <c r="F37" s="24">
        <f t="shared" si="1"/>
        <v>-3.0592301877422132</v>
      </c>
    </row>
    <row r="38" spans="1:6" ht="15.75" x14ac:dyDescent="0.25">
      <c r="A38" s="50"/>
      <c r="B38" s="53"/>
      <c r="C38" s="1">
        <v>2022</v>
      </c>
      <c r="D38" s="2">
        <v>-77748378471</v>
      </c>
      <c r="E38" s="2">
        <v>6620432696</v>
      </c>
      <c r="F38" s="24">
        <f t="shared" si="1"/>
        <v>-11.743700456010194</v>
      </c>
    </row>
    <row r="39" spans="1:6" ht="15.75" x14ac:dyDescent="0.25">
      <c r="A39" s="48">
        <v>10</v>
      </c>
      <c r="B39" s="51" t="s">
        <v>14</v>
      </c>
      <c r="C39" s="1">
        <v>2019</v>
      </c>
      <c r="D39" s="2">
        <f>274365*1000000</f>
        <v>274365000000</v>
      </c>
      <c r="E39" s="2">
        <f>317900*1000000</f>
        <v>317900000000</v>
      </c>
      <c r="F39" s="24">
        <f t="shared" si="1"/>
        <v>0.86305441962881413</v>
      </c>
    </row>
    <row r="40" spans="1:6" ht="15.75" x14ac:dyDescent="0.25">
      <c r="A40" s="49"/>
      <c r="B40" s="52"/>
      <c r="C40" s="1">
        <v>2020</v>
      </c>
      <c r="D40" s="2">
        <f>246906*1000000</f>
        <v>246906000000</v>
      </c>
      <c r="E40" s="2">
        <f>124038*1000000</f>
        <v>124038000000</v>
      </c>
      <c r="F40" s="24">
        <f t="shared" si="1"/>
        <v>1.9905674067624437</v>
      </c>
    </row>
    <row r="41" spans="1:6" ht="15.75" x14ac:dyDescent="0.25">
      <c r="A41" s="49"/>
      <c r="B41" s="52"/>
      <c r="C41" s="1">
        <v>2021</v>
      </c>
      <c r="D41" s="2">
        <f>335399*1000000</f>
        <v>335399000000</v>
      </c>
      <c r="E41" s="2">
        <f>187993*1000000</f>
        <v>187993000000</v>
      </c>
      <c r="F41" s="24">
        <f t="shared" si="1"/>
        <v>1.7841036634342768</v>
      </c>
    </row>
    <row r="42" spans="1:6" ht="15.75" x14ac:dyDescent="0.25">
      <c r="A42" s="50"/>
      <c r="B42" s="53"/>
      <c r="C42" s="1">
        <v>2022</v>
      </c>
      <c r="D42" s="2">
        <f>196829*1000000</f>
        <v>196829000000</v>
      </c>
      <c r="E42" s="2">
        <f>230066*1000000</f>
        <v>230066000000</v>
      </c>
      <c r="F42" s="24">
        <f t="shared" si="1"/>
        <v>0.85553276016447455</v>
      </c>
    </row>
    <row r="43" spans="1:6" ht="15.75" x14ac:dyDescent="0.25">
      <c r="A43" s="48">
        <v>11</v>
      </c>
      <c r="B43" s="51" t="s">
        <v>15</v>
      </c>
      <c r="C43" s="1">
        <v>2019</v>
      </c>
      <c r="D43" s="2">
        <f>433254*1000000</f>
        <v>433254000000</v>
      </c>
      <c r="E43" s="2">
        <f>366863*1000000</f>
        <v>366863000000</v>
      </c>
      <c r="F43" s="24">
        <f t="shared" si="1"/>
        <v>1.1809694627149645</v>
      </c>
    </row>
    <row r="44" spans="1:6" ht="15.75" x14ac:dyDescent="0.25">
      <c r="A44" s="49"/>
      <c r="B44" s="52"/>
      <c r="C44" s="1">
        <v>2020</v>
      </c>
      <c r="D44" s="2">
        <f>523739*1000000</f>
        <v>523739000000</v>
      </c>
      <c r="E44" s="2">
        <f>205589*1000000</f>
        <v>205589000000</v>
      </c>
      <c r="F44" s="24">
        <f t="shared" si="1"/>
        <v>2.5475049735151201</v>
      </c>
    </row>
    <row r="45" spans="1:6" ht="15.75" x14ac:dyDescent="0.25">
      <c r="A45" s="49"/>
      <c r="B45" s="52"/>
      <c r="C45" s="1">
        <v>2021</v>
      </c>
      <c r="D45" s="2">
        <f>570500*1000000</f>
        <v>570500000000</v>
      </c>
      <c r="E45" s="2">
        <f>351470*1000000</f>
        <v>351470000000</v>
      </c>
      <c r="F45" s="24">
        <f t="shared" si="1"/>
        <v>1.623182632941645</v>
      </c>
    </row>
    <row r="46" spans="1:6" ht="15.75" x14ac:dyDescent="0.25">
      <c r="A46" s="50"/>
      <c r="B46" s="53"/>
      <c r="C46" s="1">
        <v>2022</v>
      </c>
      <c r="D46" s="2">
        <f>-99776*1000000</f>
        <v>-99776000000</v>
      </c>
      <c r="E46" s="2">
        <f>382105*1000000</f>
        <v>382105000000</v>
      </c>
      <c r="F46" s="24">
        <f t="shared" si="1"/>
        <v>-0.2611219429214483</v>
      </c>
    </row>
    <row r="47" spans="1:6" ht="15.75" x14ac:dyDescent="0.25">
      <c r="A47" s="48">
        <v>12</v>
      </c>
      <c r="B47" s="51" t="s">
        <v>16</v>
      </c>
      <c r="C47" s="1">
        <v>2019</v>
      </c>
      <c r="D47" s="2">
        <f>-1602098413*1000</f>
        <v>-1602098413000</v>
      </c>
      <c r="E47" s="2">
        <f>-2343.1*1000000000</f>
        <v>-2343100000000</v>
      </c>
      <c r="F47" s="24">
        <f t="shared" si="1"/>
        <v>0.68375161666168749</v>
      </c>
    </row>
    <row r="48" spans="1:6" ht="15.75" x14ac:dyDescent="0.25">
      <c r="A48" s="49"/>
      <c r="B48" s="52"/>
      <c r="C48" s="1">
        <v>2020</v>
      </c>
      <c r="D48" s="2">
        <f>1812827233*1000</f>
        <v>1812827233000</v>
      </c>
      <c r="E48" s="2">
        <f>1717.4*1000000000</f>
        <v>1717400000000</v>
      </c>
      <c r="F48" s="24">
        <f t="shared" si="1"/>
        <v>1.0555649429369978</v>
      </c>
    </row>
    <row r="49" spans="1:6" ht="15.75" x14ac:dyDescent="0.25">
      <c r="A49" s="49"/>
      <c r="B49" s="52"/>
      <c r="C49" s="1">
        <v>2021</v>
      </c>
      <c r="D49" s="2">
        <f>1606868880*1000</f>
        <v>1606868880000</v>
      </c>
      <c r="E49" s="2">
        <f>6019.9*1000000000</f>
        <v>6019900000000</v>
      </c>
      <c r="F49" s="24">
        <f t="shared" si="1"/>
        <v>0.26692617485340286</v>
      </c>
    </row>
    <row r="50" spans="1:6" ht="15.75" x14ac:dyDescent="0.25">
      <c r="A50" s="50"/>
      <c r="B50" s="53"/>
      <c r="C50" s="1">
        <v>2022</v>
      </c>
      <c r="D50" s="2">
        <f>-810999249*1000</f>
        <v>-810999249000</v>
      </c>
      <c r="E50" s="2">
        <f>5462.1*1000000000</f>
        <v>5462100000000</v>
      </c>
      <c r="F50" s="24">
        <f t="shared" si="1"/>
        <v>-0.14847755423738124</v>
      </c>
    </row>
    <row r="51" spans="1:6" ht="15.75" x14ac:dyDescent="0.25">
      <c r="A51" s="48">
        <v>13</v>
      </c>
      <c r="B51" s="51" t="s">
        <v>17</v>
      </c>
      <c r="C51" s="1">
        <v>2019</v>
      </c>
      <c r="D51" s="2">
        <v>-1076283500</v>
      </c>
      <c r="E51" s="2">
        <f>1828*1000000</f>
        <v>1828000000</v>
      </c>
      <c r="F51" s="24">
        <f t="shared" si="1"/>
        <v>-0.58877653172866518</v>
      </c>
    </row>
    <row r="52" spans="1:6" ht="15.75" x14ac:dyDescent="0.25">
      <c r="A52" s="49"/>
      <c r="B52" s="52"/>
      <c r="C52" s="1">
        <v>2020</v>
      </c>
      <c r="D52" s="2">
        <v>-847378589</v>
      </c>
      <c r="E52" s="2">
        <f>-17389*1000000</f>
        <v>-17389000000</v>
      </c>
      <c r="F52" s="24">
        <f t="shared" si="1"/>
        <v>4.8730725688653748E-2</v>
      </c>
    </row>
    <row r="53" spans="1:6" ht="15.75" x14ac:dyDescent="0.25">
      <c r="A53" s="49"/>
      <c r="B53" s="52"/>
      <c r="C53" s="1">
        <v>2021</v>
      </c>
      <c r="D53" s="2">
        <v>-6942843388</v>
      </c>
      <c r="E53" s="2">
        <f>-14659*1000000</f>
        <v>-14659000000</v>
      </c>
      <c r="F53" s="24">
        <f t="shared" si="1"/>
        <v>0.47362326134115562</v>
      </c>
    </row>
    <row r="54" spans="1:6" ht="15.75" x14ac:dyDescent="0.25">
      <c r="A54" s="50"/>
      <c r="B54" s="53"/>
      <c r="C54" s="1">
        <v>2022</v>
      </c>
      <c r="D54" s="2">
        <v>-9710407546</v>
      </c>
      <c r="E54" s="2">
        <f>-22068*1000000</f>
        <v>-22068000000</v>
      </c>
      <c r="F54" s="24">
        <f t="shared" si="1"/>
        <v>0.44002209289468913</v>
      </c>
    </row>
    <row r="55" spans="1:6" ht="15.75" x14ac:dyDescent="0.25">
      <c r="A55" s="48">
        <v>14</v>
      </c>
      <c r="B55" s="51" t="s">
        <v>18</v>
      </c>
      <c r="C55" s="1">
        <v>2019</v>
      </c>
      <c r="D55" s="2">
        <f>475*1000000000</f>
        <v>475000000000</v>
      </c>
      <c r="E55" s="2">
        <v>436000000000</v>
      </c>
      <c r="F55" s="24">
        <f t="shared" si="1"/>
        <v>1.0894495412844036</v>
      </c>
    </row>
    <row r="56" spans="1:6" ht="15.75" x14ac:dyDescent="0.25">
      <c r="A56" s="49"/>
      <c r="B56" s="52"/>
      <c r="C56" s="1">
        <v>2020</v>
      </c>
      <c r="D56" s="2">
        <f>874*1000000000</f>
        <v>874000000000</v>
      </c>
      <c r="E56" s="2">
        <v>245000000000</v>
      </c>
      <c r="F56" s="24">
        <f t="shared" si="1"/>
        <v>3.5673469387755103</v>
      </c>
    </row>
    <row r="57" spans="1:6" ht="15.75" x14ac:dyDescent="0.25">
      <c r="A57" s="49"/>
      <c r="B57" s="52"/>
      <c r="C57" s="1">
        <v>2021</v>
      </c>
      <c r="D57" s="2">
        <f>710*1000000000</f>
        <v>710000000000</v>
      </c>
      <c r="E57" s="2">
        <v>493000000000</v>
      </c>
      <c r="F57" s="24">
        <f t="shared" si="1"/>
        <v>1.4401622718052738</v>
      </c>
    </row>
    <row r="58" spans="1:6" ht="15.75" x14ac:dyDescent="0.25">
      <c r="A58" s="50"/>
      <c r="B58" s="53"/>
      <c r="C58" s="1">
        <v>2022</v>
      </c>
      <c r="D58" s="2">
        <f>622*1000000000</f>
        <v>622000000000</v>
      </c>
      <c r="E58" s="2">
        <v>522000000000</v>
      </c>
      <c r="F58" s="24">
        <f t="shared" si="1"/>
        <v>1.1915708812260537</v>
      </c>
    </row>
    <row r="59" spans="1:6" ht="15.75" x14ac:dyDescent="0.25">
      <c r="A59" s="48">
        <v>15</v>
      </c>
      <c r="B59" s="51" t="s">
        <v>19</v>
      </c>
      <c r="C59" s="1">
        <v>2019</v>
      </c>
      <c r="D59" s="2">
        <v>105224199992</v>
      </c>
      <c r="E59" s="2">
        <v>103723133280</v>
      </c>
      <c r="F59" s="24">
        <f t="shared" si="1"/>
        <v>1.014471860466728</v>
      </c>
    </row>
    <row r="60" spans="1:6" ht="15.75" x14ac:dyDescent="0.25">
      <c r="A60" s="49"/>
      <c r="B60" s="52"/>
      <c r="C60" s="1">
        <v>2020</v>
      </c>
      <c r="D60" s="2">
        <v>78181287748</v>
      </c>
      <c r="E60" s="2">
        <v>38038419405</v>
      </c>
      <c r="F60" s="24">
        <f t="shared" si="1"/>
        <v>2.0553243002973827</v>
      </c>
    </row>
    <row r="61" spans="1:6" ht="15.75" x14ac:dyDescent="0.25">
      <c r="A61" s="49"/>
      <c r="B61" s="52"/>
      <c r="C61" s="1">
        <v>2021</v>
      </c>
      <c r="D61" s="2">
        <v>13844364441</v>
      </c>
      <c r="E61" s="2">
        <v>12533087704</v>
      </c>
      <c r="F61" s="24">
        <f t="shared" si="1"/>
        <v>1.1046251943630379</v>
      </c>
    </row>
    <row r="62" spans="1:6" ht="15.75" x14ac:dyDescent="0.25">
      <c r="A62" s="50"/>
      <c r="B62" s="53"/>
      <c r="C62" s="1">
        <v>2022</v>
      </c>
      <c r="D62" s="2">
        <v>208500977805</v>
      </c>
      <c r="E62" s="2">
        <v>90572477</v>
      </c>
      <c r="F62" s="24">
        <f t="shared" si="1"/>
        <v>2302.0346214556989</v>
      </c>
    </row>
    <row r="63" spans="1:6" ht="15.75" x14ac:dyDescent="0.25">
      <c r="A63" s="48">
        <v>16</v>
      </c>
      <c r="B63" s="51" t="s">
        <v>20</v>
      </c>
      <c r="C63" s="1">
        <v>2019</v>
      </c>
      <c r="D63" s="2">
        <f>7398161*1000000</f>
        <v>7398161000000</v>
      </c>
      <c r="E63" s="2">
        <f>5360*1000000000</f>
        <v>5360000000000</v>
      </c>
      <c r="F63" s="24">
        <f t="shared" si="1"/>
        <v>1.3802539179104478</v>
      </c>
    </row>
    <row r="64" spans="1:6" ht="15.75" x14ac:dyDescent="0.25">
      <c r="A64" s="49"/>
      <c r="B64" s="52"/>
      <c r="C64" s="1">
        <v>2020</v>
      </c>
      <c r="D64" s="2">
        <f>9336780*1000000</f>
        <v>9336780000000</v>
      </c>
      <c r="E64" s="2">
        <f>7418.6*1000000000</f>
        <v>7418600000000</v>
      </c>
      <c r="F64" s="24">
        <f t="shared" si="1"/>
        <v>1.2585636103847087</v>
      </c>
    </row>
    <row r="65" spans="1:6" ht="15.75" x14ac:dyDescent="0.25">
      <c r="A65" s="49"/>
      <c r="B65" s="52"/>
      <c r="C65" s="1">
        <v>2021</v>
      </c>
      <c r="D65" s="2">
        <f>7989039*1000000</f>
        <v>7989039000000</v>
      </c>
      <c r="E65" s="2">
        <f>7911.9*1000000000</f>
        <v>7911900000000</v>
      </c>
      <c r="F65" s="24">
        <f t="shared" si="1"/>
        <v>1.0097497440564214</v>
      </c>
    </row>
    <row r="66" spans="1:6" ht="15.75" x14ac:dyDescent="0.25">
      <c r="A66" s="50"/>
      <c r="B66" s="53"/>
      <c r="C66" s="1">
        <v>2022</v>
      </c>
      <c r="D66" s="2">
        <f>8804494*1000000</f>
        <v>8804494000000</v>
      </c>
      <c r="E66" s="2">
        <f>5722.2*1000000000</f>
        <v>5722200000000</v>
      </c>
      <c r="F66" s="24">
        <f t="shared" si="1"/>
        <v>1.5386554122540281</v>
      </c>
    </row>
    <row r="67" spans="1:6" ht="15.75" x14ac:dyDescent="0.25">
      <c r="A67" s="48">
        <v>17</v>
      </c>
      <c r="B67" s="51" t="s">
        <v>21</v>
      </c>
      <c r="C67" s="1">
        <v>2019</v>
      </c>
      <c r="D67" s="2">
        <v>624782809</v>
      </c>
      <c r="E67" s="2">
        <f>85544*1000000</f>
        <v>85544000000</v>
      </c>
      <c r="F67" s="24">
        <f t="shared" ref="F67:F98" si="2">D67/E67</f>
        <v>7.3036426751145606E-3</v>
      </c>
    </row>
    <row r="68" spans="1:6" ht="15.75" x14ac:dyDescent="0.25">
      <c r="A68" s="49"/>
      <c r="B68" s="52"/>
      <c r="C68" s="1">
        <v>2020</v>
      </c>
      <c r="D68" s="2">
        <v>511826630</v>
      </c>
      <c r="E68" s="2">
        <f>-41519*1000000</f>
        <v>-41519000000</v>
      </c>
      <c r="F68" s="24">
        <f t="shared" si="2"/>
        <v>-1.2327527878802477E-2</v>
      </c>
    </row>
    <row r="69" spans="1:6" ht="15.75" x14ac:dyDescent="0.25">
      <c r="A69" s="49"/>
      <c r="B69" s="52"/>
      <c r="C69" s="1">
        <v>2021</v>
      </c>
      <c r="D69" s="2">
        <v>1566983551</v>
      </c>
      <c r="E69" s="2">
        <f>-43767*1000000</f>
        <v>-43767000000</v>
      </c>
      <c r="F69" s="24">
        <f t="shared" si="2"/>
        <v>-3.5802854913519318E-2</v>
      </c>
    </row>
    <row r="70" spans="1:6" ht="15.75" x14ac:dyDescent="0.25">
      <c r="A70" s="50"/>
      <c r="B70" s="53"/>
      <c r="C70" s="1">
        <v>2022</v>
      </c>
      <c r="D70" s="2">
        <v>-2565050172</v>
      </c>
      <c r="E70" s="2">
        <v>-48105040530</v>
      </c>
      <c r="F70" s="24">
        <f t="shared" si="2"/>
        <v>5.3321858660535675E-2</v>
      </c>
    </row>
    <row r="71" spans="1:6" ht="15.75" x14ac:dyDescent="0.25">
      <c r="A71" s="48">
        <v>18</v>
      </c>
      <c r="B71" s="51" t="s">
        <v>22</v>
      </c>
      <c r="C71" s="1">
        <v>2019</v>
      </c>
      <c r="D71" s="2">
        <v>1289423927</v>
      </c>
      <c r="E71" s="4">
        <v>4694444802</v>
      </c>
      <c r="F71" s="24">
        <f t="shared" si="2"/>
        <v>0.27467016471269612</v>
      </c>
    </row>
    <row r="72" spans="1:6" ht="15.75" x14ac:dyDescent="0.25">
      <c r="A72" s="49"/>
      <c r="B72" s="52"/>
      <c r="C72" s="1">
        <v>2020</v>
      </c>
      <c r="D72" s="2">
        <v>-39547433819</v>
      </c>
      <c r="E72" s="4">
        <v>-1087117567</v>
      </c>
      <c r="F72" s="24">
        <f t="shared" si="2"/>
        <v>36.378249252410434</v>
      </c>
    </row>
    <row r="73" spans="1:6" ht="15.75" x14ac:dyDescent="0.25">
      <c r="A73" s="49"/>
      <c r="B73" s="52"/>
      <c r="C73" s="1">
        <v>2021</v>
      </c>
      <c r="D73" s="2">
        <v>8025011161</v>
      </c>
      <c r="E73" s="4">
        <v>1599675921</v>
      </c>
      <c r="F73" s="24">
        <f t="shared" si="2"/>
        <v>5.0166480945611482</v>
      </c>
    </row>
    <row r="74" spans="1:6" ht="15.75" x14ac:dyDescent="0.25">
      <c r="A74" s="50"/>
      <c r="B74" s="53"/>
      <c r="C74" s="1">
        <v>2022</v>
      </c>
      <c r="D74" s="2">
        <v>7627218415</v>
      </c>
      <c r="E74" s="4">
        <v>2035931112</v>
      </c>
      <c r="F74" s="24">
        <f t="shared" si="2"/>
        <v>3.7463047595492514</v>
      </c>
    </row>
    <row r="75" spans="1:6" ht="15.75" x14ac:dyDescent="0.25">
      <c r="A75" s="48">
        <v>19</v>
      </c>
      <c r="B75" s="51" t="s">
        <v>23</v>
      </c>
      <c r="C75" s="1">
        <v>2019</v>
      </c>
      <c r="D75" s="2">
        <f>13344494*1000000</f>
        <v>13344494000000</v>
      </c>
      <c r="E75" s="2">
        <f>5902.7*1000000000</f>
        <v>5902700000000</v>
      </c>
      <c r="F75" s="24">
        <f t="shared" si="2"/>
        <v>2.2607440662747558</v>
      </c>
    </row>
    <row r="76" spans="1:6" ht="15.75" x14ac:dyDescent="0.25">
      <c r="A76" s="49"/>
      <c r="B76" s="52"/>
      <c r="C76" s="1">
        <v>2020</v>
      </c>
      <c r="D76" s="2">
        <f>13855497*1000000</f>
        <v>13855497000000</v>
      </c>
      <c r="E76" s="2">
        <f>8752.1*1000000000</f>
        <v>8752100000000</v>
      </c>
      <c r="F76" s="24">
        <f t="shared" si="2"/>
        <v>1.5831054261263011</v>
      </c>
    </row>
    <row r="77" spans="1:6" ht="15.75" x14ac:dyDescent="0.25">
      <c r="A77" s="49"/>
      <c r="B77" s="52"/>
      <c r="C77" s="1">
        <v>2021</v>
      </c>
      <c r="D77" s="2">
        <f>14692641*1000000</f>
        <v>14692641000000</v>
      </c>
      <c r="E77" s="2">
        <f>11229.7*1000000000</f>
        <v>11229700000000</v>
      </c>
      <c r="F77" s="24">
        <f t="shared" si="2"/>
        <v>1.3083734204831829</v>
      </c>
    </row>
    <row r="78" spans="1:6" ht="15.75" x14ac:dyDescent="0.25">
      <c r="A78" s="50"/>
      <c r="B78" s="53"/>
      <c r="C78" s="1">
        <v>2022</v>
      </c>
      <c r="D78" s="2">
        <f>13587686*1000000</f>
        <v>13587686000000</v>
      </c>
      <c r="E78" s="2">
        <f>9192.9*1000000000</f>
        <v>9192900000000</v>
      </c>
      <c r="F78" s="24">
        <f t="shared" si="2"/>
        <v>1.4780630704130362</v>
      </c>
    </row>
    <row r="79" spans="1:6" ht="15.75" x14ac:dyDescent="0.25">
      <c r="A79" s="48">
        <v>20</v>
      </c>
      <c r="B79" s="51" t="s">
        <v>24</v>
      </c>
      <c r="C79" s="1">
        <v>2019</v>
      </c>
      <c r="D79" s="2">
        <v>201156380130</v>
      </c>
      <c r="E79" s="2">
        <v>98047666143</v>
      </c>
      <c r="F79" s="24">
        <f t="shared" si="2"/>
        <v>2.0516182387923299</v>
      </c>
    </row>
    <row r="80" spans="1:6" ht="15.75" x14ac:dyDescent="0.25">
      <c r="A80" s="49"/>
      <c r="B80" s="52"/>
      <c r="C80" s="1">
        <v>2020</v>
      </c>
      <c r="D80" s="2">
        <v>212500750913</v>
      </c>
      <c r="E80" s="2">
        <v>121000016429</v>
      </c>
      <c r="F80" s="24">
        <f t="shared" si="2"/>
        <v>1.7562043145480934</v>
      </c>
    </row>
    <row r="81" spans="1:6" ht="15.75" x14ac:dyDescent="0.25">
      <c r="A81" s="49"/>
      <c r="B81" s="52"/>
      <c r="C81" s="1">
        <v>2021</v>
      </c>
      <c r="D81" s="2">
        <v>97933973535</v>
      </c>
      <c r="E81" s="2">
        <v>144700268968</v>
      </c>
      <c r="F81" s="24">
        <f t="shared" si="2"/>
        <v>0.67680574634355228</v>
      </c>
    </row>
    <row r="82" spans="1:6" ht="15.75" x14ac:dyDescent="0.25">
      <c r="A82" s="50"/>
      <c r="B82" s="53"/>
      <c r="C82" s="1">
        <v>2022</v>
      </c>
      <c r="D82" s="2">
        <v>64694068640</v>
      </c>
      <c r="E82" s="2">
        <v>117370750383</v>
      </c>
      <c r="F82" s="24">
        <f t="shared" si="2"/>
        <v>0.55119412995906258</v>
      </c>
    </row>
    <row r="83" spans="1:6" ht="15.75" x14ac:dyDescent="0.25">
      <c r="A83" s="48">
        <v>21</v>
      </c>
      <c r="B83" s="51" t="s">
        <v>25</v>
      </c>
      <c r="C83" s="1">
        <v>2019</v>
      </c>
      <c r="D83" s="2">
        <f>17397*1000000</f>
        <v>17397000000</v>
      </c>
      <c r="E83" s="2">
        <f>515603*1000000</f>
        <v>515603000000</v>
      </c>
      <c r="F83" s="24">
        <f t="shared" si="2"/>
        <v>3.3741075982878302E-2</v>
      </c>
    </row>
    <row r="84" spans="1:6" ht="15.75" x14ac:dyDescent="0.25">
      <c r="A84" s="49"/>
      <c r="B84" s="52"/>
      <c r="C84" s="1">
        <v>2020</v>
      </c>
      <c r="D84" s="2">
        <f>-71183*1000000</f>
        <v>-71183000000</v>
      </c>
      <c r="E84" s="2">
        <f>113697*1000000</f>
        <v>113697000000</v>
      </c>
      <c r="F84" s="24">
        <f t="shared" si="2"/>
        <v>-0.62607632567262106</v>
      </c>
    </row>
    <row r="85" spans="1:6" ht="15.75" x14ac:dyDescent="0.25">
      <c r="A85" s="49"/>
      <c r="B85" s="52"/>
      <c r="C85" s="1">
        <v>2021</v>
      </c>
      <c r="D85" s="2">
        <f>591719*1000000</f>
        <v>591719000000</v>
      </c>
      <c r="E85" s="2">
        <f>100650*1000000</f>
        <v>100650000000</v>
      </c>
      <c r="F85" s="24">
        <f t="shared" si="2"/>
        <v>5.8789766517635371</v>
      </c>
    </row>
    <row r="86" spans="1:6" ht="15.75" x14ac:dyDescent="0.25">
      <c r="A86" s="50"/>
      <c r="B86" s="53"/>
      <c r="C86" s="1">
        <v>2022</v>
      </c>
      <c r="D86" s="2">
        <f>240474*1000000</f>
        <v>240474000000</v>
      </c>
      <c r="E86" s="2">
        <f>-950289*1000000</f>
        <v>-950289000000</v>
      </c>
      <c r="F86" s="24">
        <f t="shared" si="2"/>
        <v>-0.2530535447637508</v>
      </c>
    </row>
    <row r="87" spans="1:6" ht="15.75" x14ac:dyDescent="0.25">
      <c r="A87" s="48">
        <v>22</v>
      </c>
      <c r="B87" s="51" t="s">
        <v>26</v>
      </c>
      <c r="C87" s="1">
        <v>2019</v>
      </c>
      <c r="D87" s="2">
        <f>1012211*1000000</f>
        <v>1012211000000</v>
      </c>
      <c r="E87" s="2">
        <f>1206059000000</f>
        <v>1206059000000</v>
      </c>
      <c r="F87" s="24">
        <f t="shared" si="2"/>
        <v>0.83927154475858978</v>
      </c>
    </row>
    <row r="88" spans="1:6" ht="15.75" x14ac:dyDescent="0.25">
      <c r="A88" s="49"/>
      <c r="B88" s="52"/>
      <c r="C88" s="1">
        <v>2020</v>
      </c>
      <c r="D88" s="2">
        <f>547502*1000000</f>
        <v>547502000000</v>
      </c>
      <c r="E88" s="2">
        <f>285617*1000000</f>
        <v>285617000000</v>
      </c>
      <c r="F88" s="24">
        <f t="shared" si="2"/>
        <v>1.9169097077554909</v>
      </c>
    </row>
    <row r="89" spans="1:6" ht="15.75" x14ac:dyDescent="0.25">
      <c r="A89" s="49"/>
      <c r="B89" s="52"/>
      <c r="C89" s="1">
        <v>2021</v>
      </c>
      <c r="D89" s="2">
        <f>168005*1000000</f>
        <v>168005000000</v>
      </c>
      <c r="E89" s="2">
        <f>665850*1000000</f>
        <v>665850000000</v>
      </c>
      <c r="F89" s="24">
        <f t="shared" si="2"/>
        <v>0.2523165878200796</v>
      </c>
    </row>
    <row r="90" spans="1:6" ht="15.75" x14ac:dyDescent="0.25">
      <c r="A90" s="50"/>
      <c r="B90" s="53"/>
      <c r="C90" s="1">
        <v>2022</v>
      </c>
      <c r="D90" s="2">
        <f>1490060*1000000</f>
        <v>1490060000000</v>
      </c>
      <c r="E90" s="2">
        <f>924906*1000000</f>
        <v>924906000000</v>
      </c>
      <c r="F90" s="24">
        <f t="shared" si="2"/>
        <v>1.6110393921111983</v>
      </c>
    </row>
    <row r="91" spans="1:6" ht="15.75" x14ac:dyDescent="0.25">
      <c r="A91" s="48">
        <v>23</v>
      </c>
      <c r="B91" s="51" t="s">
        <v>27</v>
      </c>
      <c r="C91" s="1">
        <v>2019</v>
      </c>
      <c r="D91" s="2">
        <v>3303864262119</v>
      </c>
      <c r="E91" s="2">
        <f>2051404*1000000</f>
        <v>2051404000000</v>
      </c>
      <c r="F91" s="24">
        <f t="shared" si="2"/>
        <v>1.6105380812940795</v>
      </c>
    </row>
    <row r="92" spans="1:6" ht="15.75" x14ac:dyDescent="0.25">
      <c r="A92" s="49"/>
      <c r="B92" s="52"/>
      <c r="C92" s="1">
        <v>2020</v>
      </c>
      <c r="D92" s="2">
        <v>3715832449186</v>
      </c>
      <c r="E92" s="2">
        <f>2098169*1000000</f>
        <v>2098169000000</v>
      </c>
      <c r="F92" s="24">
        <f t="shared" si="2"/>
        <v>1.7709881564287719</v>
      </c>
    </row>
    <row r="93" spans="1:6" ht="15.75" x14ac:dyDescent="0.25">
      <c r="A93" s="49"/>
      <c r="B93" s="52"/>
      <c r="C93" s="1">
        <v>2021</v>
      </c>
      <c r="D93" s="2">
        <v>1041955003348</v>
      </c>
      <c r="E93" s="2">
        <f>1211053*1000000</f>
        <v>1211053000000</v>
      </c>
      <c r="F93" s="24">
        <f t="shared" si="2"/>
        <v>0.86037110130440209</v>
      </c>
    </row>
    <row r="94" spans="1:6" ht="15.75" x14ac:dyDescent="0.25">
      <c r="A94" s="50"/>
      <c r="B94" s="53"/>
      <c r="C94" s="1">
        <v>2022</v>
      </c>
      <c r="D94" s="2">
        <v>1619570638186</v>
      </c>
      <c r="E94" s="2">
        <f>1970065*1000000</f>
        <v>1970065000000</v>
      </c>
      <c r="F94" s="24">
        <f t="shared" si="2"/>
        <v>0.82208995042600119</v>
      </c>
    </row>
    <row r="95" spans="1:6" ht="15.75" x14ac:dyDescent="0.25">
      <c r="A95" s="48">
        <v>24</v>
      </c>
      <c r="B95" s="51" t="s">
        <v>28</v>
      </c>
      <c r="C95" s="1">
        <v>2019</v>
      </c>
      <c r="D95" s="2">
        <v>398424477</v>
      </c>
      <c r="E95" s="2">
        <v>2570452159</v>
      </c>
      <c r="F95" s="24">
        <f t="shared" si="2"/>
        <v>0.15500170878690919</v>
      </c>
    </row>
    <row r="96" spans="1:6" ht="15.75" x14ac:dyDescent="0.25">
      <c r="A96" s="49"/>
      <c r="B96" s="52"/>
      <c r="C96" s="1">
        <v>2020</v>
      </c>
      <c r="D96" s="2">
        <v>-1489409414</v>
      </c>
      <c r="E96" s="2">
        <v>1049938752</v>
      </c>
      <c r="F96" s="24">
        <f t="shared" si="2"/>
        <v>-1.4185679032828002</v>
      </c>
    </row>
    <row r="97" spans="1:6" ht="15.75" x14ac:dyDescent="0.25">
      <c r="A97" s="49"/>
      <c r="B97" s="52"/>
      <c r="C97" s="1">
        <v>2021</v>
      </c>
      <c r="D97" s="2">
        <v>-6035284193</v>
      </c>
      <c r="E97" s="2">
        <v>532665673</v>
      </c>
      <c r="F97" s="24">
        <f t="shared" si="2"/>
        <v>-11.330341899092115</v>
      </c>
    </row>
    <row r="98" spans="1:6" ht="15.75" x14ac:dyDescent="0.25">
      <c r="A98" s="50"/>
      <c r="B98" s="53"/>
      <c r="C98" s="1">
        <v>2022</v>
      </c>
      <c r="D98" s="2">
        <v>-10670763425</v>
      </c>
      <c r="E98" s="2">
        <v>1032151378</v>
      </c>
      <c r="F98" s="24">
        <f t="shared" si="2"/>
        <v>-10.338370565058723</v>
      </c>
    </row>
    <row r="99" spans="1:6" ht="15.75" x14ac:dyDescent="0.25">
      <c r="A99" s="48">
        <v>25</v>
      </c>
      <c r="B99" s="51" t="s">
        <v>29</v>
      </c>
      <c r="C99" s="1">
        <v>2019</v>
      </c>
      <c r="D99" s="2">
        <v>16313635640</v>
      </c>
      <c r="E99" s="2">
        <v>-1236402757</v>
      </c>
      <c r="F99" s="24">
        <f t="shared" ref="F99:F130" si="3">D99/E99</f>
        <v>-13.194434861649212</v>
      </c>
    </row>
    <row r="100" spans="1:6" ht="15.75" x14ac:dyDescent="0.25">
      <c r="A100" s="49"/>
      <c r="B100" s="52"/>
      <c r="C100" s="1">
        <v>2020</v>
      </c>
      <c r="D100" s="2">
        <v>-5703910044</v>
      </c>
      <c r="E100" s="2">
        <f>244178*1000</f>
        <v>244178000</v>
      </c>
      <c r="F100" s="24">
        <f t="shared" si="3"/>
        <v>-23.359639459738389</v>
      </c>
    </row>
    <row r="101" spans="1:6" ht="15.75" x14ac:dyDescent="0.25">
      <c r="A101" s="49"/>
      <c r="B101" s="52"/>
      <c r="C101" s="1">
        <v>2021</v>
      </c>
      <c r="D101" s="2">
        <v>359693319000</v>
      </c>
      <c r="E101" s="2">
        <f>1680076*1000</f>
        <v>1680076000</v>
      </c>
      <c r="F101" s="24">
        <f t="shared" si="3"/>
        <v>214.0934808901502</v>
      </c>
    </row>
    <row r="102" spans="1:6" ht="15.75" x14ac:dyDescent="0.25">
      <c r="A102" s="50"/>
      <c r="B102" s="53"/>
      <c r="C102" s="1">
        <v>2022</v>
      </c>
      <c r="D102" s="2">
        <v>604773985000</v>
      </c>
      <c r="E102" s="2">
        <f>288311135*1000</f>
        <v>288311135000</v>
      </c>
      <c r="F102" s="24">
        <f t="shared" si="3"/>
        <v>2.0976435232028066</v>
      </c>
    </row>
    <row r="103" spans="1:6" ht="15.75" x14ac:dyDescent="0.25">
      <c r="A103" s="48">
        <v>26</v>
      </c>
      <c r="B103" s="51" t="s">
        <v>30</v>
      </c>
      <c r="C103" s="1">
        <v>2019</v>
      </c>
      <c r="D103" s="2">
        <v>-12699138614</v>
      </c>
      <c r="E103" s="2">
        <f>-103*1000000000</f>
        <v>-103000000000</v>
      </c>
      <c r="F103" s="24">
        <f t="shared" si="3"/>
        <v>0.12329260790291262</v>
      </c>
    </row>
    <row r="104" spans="1:6" ht="15.75" x14ac:dyDescent="0.25">
      <c r="A104" s="49"/>
      <c r="B104" s="52"/>
      <c r="C104" s="1">
        <v>2020</v>
      </c>
      <c r="D104" s="2">
        <v>12397869678</v>
      </c>
      <c r="E104" s="2">
        <f>15.9*1000000000</f>
        <v>15900000000</v>
      </c>
      <c r="F104" s="24">
        <f t="shared" si="3"/>
        <v>0.77974023132075476</v>
      </c>
    </row>
    <row r="105" spans="1:6" ht="15.75" x14ac:dyDescent="0.25">
      <c r="A105" s="49"/>
      <c r="B105" s="52"/>
      <c r="C105" s="1">
        <v>2021</v>
      </c>
      <c r="D105" s="2">
        <v>-2917458371</v>
      </c>
      <c r="E105" s="2">
        <v>2543475734</v>
      </c>
      <c r="F105" s="24">
        <f t="shared" si="3"/>
        <v>-1.1470360546400242</v>
      </c>
    </row>
    <row r="106" spans="1:6" ht="15.75" x14ac:dyDescent="0.25">
      <c r="A106" s="50"/>
      <c r="B106" s="53"/>
      <c r="C106" s="1">
        <v>2022</v>
      </c>
      <c r="D106" s="2">
        <v>6652026935</v>
      </c>
      <c r="E106" s="2">
        <v>3726879993</v>
      </c>
      <c r="F106" s="24">
        <f t="shared" si="3"/>
        <v>1.7848782218622943</v>
      </c>
    </row>
    <row r="107" spans="1:6" ht="15.75" x14ac:dyDescent="0.25">
      <c r="A107" s="48">
        <v>27</v>
      </c>
      <c r="B107" s="51" t="s">
        <v>31</v>
      </c>
      <c r="C107" s="1">
        <v>2019</v>
      </c>
      <c r="D107" s="2">
        <v>57339523786</v>
      </c>
      <c r="E107" s="2">
        <f>-25762*1000000</f>
        <v>-25762000000</v>
      </c>
      <c r="F107" s="24">
        <f t="shared" si="3"/>
        <v>-2.2257403845198356</v>
      </c>
    </row>
    <row r="108" spans="1:6" ht="15.75" x14ac:dyDescent="0.25">
      <c r="A108" s="49"/>
      <c r="B108" s="52"/>
      <c r="C108" s="1">
        <v>2020</v>
      </c>
      <c r="D108" s="2">
        <v>-27550576454</v>
      </c>
      <c r="E108" s="2">
        <f>-52305*1000000</f>
        <v>-52305000000</v>
      </c>
      <c r="F108" s="24">
        <f t="shared" si="3"/>
        <v>0.52672930798202844</v>
      </c>
    </row>
    <row r="109" spans="1:6" ht="15.75" x14ac:dyDescent="0.25">
      <c r="A109" s="49"/>
      <c r="B109" s="52"/>
      <c r="C109" s="1">
        <v>2021</v>
      </c>
      <c r="D109" s="2">
        <v>48155002081</v>
      </c>
      <c r="E109" s="2">
        <v>-21784386527</v>
      </c>
      <c r="F109" s="24">
        <f t="shared" si="3"/>
        <v>-2.2105282616664801</v>
      </c>
    </row>
    <row r="110" spans="1:6" ht="15.75" x14ac:dyDescent="0.25">
      <c r="A110" s="50"/>
      <c r="B110" s="53"/>
      <c r="C110" s="1">
        <v>2022</v>
      </c>
      <c r="D110" s="2">
        <v>-6921667743</v>
      </c>
      <c r="E110" s="2">
        <v>-12501927525</v>
      </c>
      <c r="F110" s="24">
        <f t="shared" si="3"/>
        <v>0.55364804580404092</v>
      </c>
    </row>
    <row r="111" spans="1:6" ht="15.75" x14ac:dyDescent="0.25">
      <c r="A111" s="48">
        <v>28</v>
      </c>
      <c r="B111" s="51" t="s">
        <v>32</v>
      </c>
      <c r="C111" s="1">
        <v>2019</v>
      </c>
      <c r="D111" s="2">
        <v>68517135164</v>
      </c>
      <c r="E111" s="2">
        <f>-160988*1000000</f>
        <v>-160988000000</v>
      </c>
      <c r="F111" s="24">
        <f t="shared" si="3"/>
        <v>-0.42560399013591077</v>
      </c>
    </row>
    <row r="112" spans="1:6" ht="15.75" x14ac:dyDescent="0.25">
      <c r="A112" s="49"/>
      <c r="B112" s="52"/>
      <c r="C112" s="1">
        <v>2020</v>
      </c>
      <c r="D112" s="2">
        <v>279405793342</v>
      </c>
      <c r="E112" s="2">
        <f>26501*1000000</f>
        <v>26501000000</v>
      </c>
      <c r="F112" s="24">
        <f t="shared" si="3"/>
        <v>10.543216985849591</v>
      </c>
    </row>
    <row r="113" spans="1:6" ht="15.75" x14ac:dyDescent="0.25">
      <c r="A113" s="49"/>
      <c r="B113" s="52"/>
      <c r="C113" s="1">
        <v>2021</v>
      </c>
      <c r="D113" s="2">
        <v>369004599899</v>
      </c>
      <c r="E113" s="2">
        <v>213841959820</v>
      </c>
      <c r="F113" s="24">
        <f t="shared" si="3"/>
        <v>1.725594921640295</v>
      </c>
    </row>
    <row r="114" spans="1:6" ht="15.75" x14ac:dyDescent="0.25">
      <c r="A114" s="50"/>
      <c r="B114" s="53"/>
      <c r="C114" s="1">
        <v>2022</v>
      </c>
      <c r="D114" s="2">
        <v>534655519938</v>
      </c>
      <c r="E114" s="2">
        <v>257682130697</v>
      </c>
      <c r="F114" s="24">
        <f t="shared" si="3"/>
        <v>2.0748645569322925</v>
      </c>
    </row>
    <row r="115" spans="1:6" ht="15.75" x14ac:dyDescent="0.25">
      <c r="A115" s="48">
        <v>29</v>
      </c>
      <c r="B115" s="51" t="s">
        <v>33</v>
      </c>
      <c r="C115" s="1">
        <v>2019</v>
      </c>
      <c r="D115" s="5">
        <v>479788528325</v>
      </c>
      <c r="E115" s="2">
        <v>237000000000</v>
      </c>
      <c r="F115" s="24">
        <f t="shared" si="3"/>
        <v>2.0244241701476793</v>
      </c>
    </row>
    <row r="116" spans="1:6" ht="15.75" x14ac:dyDescent="0.25">
      <c r="A116" s="49"/>
      <c r="B116" s="52"/>
      <c r="C116" s="1">
        <v>2020</v>
      </c>
      <c r="D116" s="5">
        <v>486591578118</v>
      </c>
      <c r="E116" s="2">
        <v>169000000000</v>
      </c>
      <c r="F116" s="24">
        <f t="shared" si="3"/>
        <v>2.8792401072071008</v>
      </c>
    </row>
    <row r="117" spans="1:6" ht="15.75" x14ac:dyDescent="0.25">
      <c r="A117" s="49"/>
      <c r="B117" s="52"/>
      <c r="C117" s="1">
        <v>2021</v>
      </c>
      <c r="D117" s="5">
        <v>643601152274</v>
      </c>
      <c r="E117" s="2">
        <f>284*1000000000</f>
        <v>284000000000</v>
      </c>
      <c r="F117" s="24">
        <f t="shared" si="3"/>
        <v>2.2662012404014082</v>
      </c>
    </row>
    <row r="118" spans="1:6" ht="15.75" x14ac:dyDescent="0.25">
      <c r="A118" s="50"/>
      <c r="B118" s="53"/>
      <c r="C118" s="1">
        <v>2022</v>
      </c>
      <c r="D118" s="5">
        <v>726581686414</v>
      </c>
      <c r="E118" s="2">
        <v>432000000000</v>
      </c>
      <c r="F118" s="24">
        <f t="shared" si="3"/>
        <v>1.6819020518842593</v>
      </c>
    </row>
    <row r="119" spans="1:6" ht="15.75" x14ac:dyDescent="0.25">
      <c r="A119" s="48">
        <v>30</v>
      </c>
      <c r="B119" s="51" t="s">
        <v>40</v>
      </c>
      <c r="C119" s="1">
        <v>2019</v>
      </c>
      <c r="D119" s="2">
        <v>-40492304852</v>
      </c>
      <c r="E119" s="2">
        <f>0.98*1000000000</f>
        <v>980000000</v>
      </c>
      <c r="F119" s="24">
        <f t="shared" si="3"/>
        <v>-41.318678420408162</v>
      </c>
    </row>
    <row r="120" spans="1:6" ht="15.75" x14ac:dyDescent="0.25">
      <c r="A120" s="49"/>
      <c r="B120" s="52"/>
      <c r="C120" s="1">
        <v>2020</v>
      </c>
      <c r="D120" s="2">
        <v>19707485134</v>
      </c>
      <c r="E120" s="2">
        <f>5.42*1000000000</f>
        <v>5420000000</v>
      </c>
      <c r="F120" s="24">
        <f t="shared" si="3"/>
        <v>3.6360673678966791</v>
      </c>
    </row>
    <row r="121" spans="1:6" ht="15.75" x14ac:dyDescent="0.25">
      <c r="A121" s="49"/>
      <c r="B121" s="52"/>
      <c r="C121" s="1">
        <v>2021</v>
      </c>
      <c r="D121" s="2">
        <v>-44970462418</v>
      </c>
      <c r="E121" s="2">
        <f>29.71*1000000000</f>
        <v>29710000000</v>
      </c>
      <c r="F121" s="24">
        <f t="shared" si="3"/>
        <v>-1.5136473382026254</v>
      </c>
    </row>
    <row r="122" spans="1:6" ht="15.75" x14ac:dyDescent="0.25">
      <c r="A122" s="50"/>
      <c r="B122" s="53"/>
      <c r="C122" s="1">
        <v>2022</v>
      </c>
      <c r="D122" s="2">
        <v>102191880734</v>
      </c>
      <c r="E122" s="2">
        <f>86.64*1000000000</f>
        <v>86640000000</v>
      </c>
      <c r="F122" s="24">
        <f t="shared" si="3"/>
        <v>1.1795000084718374</v>
      </c>
    </row>
    <row r="123" spans="1:6" ht="15.75" x14ac:dyDescent="0.25">
      <c r="A123" s="48">
        <v>31</v>
      </c>
      <c r="B123" s="51" t="s">
        <v>34</v>
      </c>
      <c r="C123" s="1">
        <v>2019</v>
      </c>
      <c r="D123" s="2">
        <v>55384490788</v>
      </c>
      <c r="E123" s="2">
        <f>45*1000000000</f>
        <v>45000000000</v>
      </c>
      <c r="F123" s="24">
        <f t="shared" si="3"/>
        <v>1.2307664619555556</v>
      </c>
    </row>
    <row r="124" spans="1:6" ht="15.75" x14ac:dyDescent="0.25">
      <c r="A124" s="49"/>
      <c r="B124" s="52"/>
      <c r="C124" s="1">
        <v>2020</v>
      </c>
      <c r="D124" s="2">
        <v>99975050847</v>
      </c>
      <c r="E124" s="2">
        <f>43*1000000000</f>
        <v>43000000000</v>
      </c>
      <c r="F124" s="24">
        <f t="shared" si="3"/>
        <v>2.3250011824883723</v>
      </c>
    </row>
    <row r="125" spans="1:6" ht="15.75" x14ac:dyDescent="0.25">
      <c r="A125" s="49"/>
      <c r="B125" s="52"/>
      <c r="C125" s="1">
        <v>2021</v>
      </c>
      <c r="D125" s="2">
        <v>127778774118</v>
      </c>
      <c r="E125" s="2">
        <f>85*1000000000</f>
        <v>85000000000</v>
      </c>
      <c r="F125" s="24">
        <f t="shared" si="3"/>
        <v>1.5032796955058823</v>
      </c>
    </row>
    <row r="126" spans="1:6" ht="15.75" x14ac:dyDescent="0.25">
      <c r="A126" s="50"/>
      <c r="B126" s="53"/>
      <c r="C126" s="1">
        <v>2022</v>
      </c>
      <c r="D126" s="2">
        <v>16414344843</v>
      </c>
      <c r="E126" s="2">
        <f>75*1000000000</f>
        <v>75000000000</v>
      </c>
      <c r="F126" s="24">
        <f t="shared" si="3"/>
        <v>0.21885793124</v>
      </c>
    </row>
    <row r="127" spans="1:6" ht="15.75" x14ac:dyDescent="0.25">
      <c r="A127" s="48">
        <v>32</v>
      </c>
      <c r="B127" s="51" t="s">
        <v>35</v>
      </c>
      <c r="C127" s="1">
        <v>2019</v>
      </c>
      <c r="D127" s="2">
        <v>499922010752</v>
      </c>
      <c r="E127" s="2">
        <f>482591*1000000</f>
        <v>482591000000</v>
      </c>
      <c r="F127" s="24">
        <f t="shared" si="3"/>
        <v>1.0359124201487389</v>
      </c>
    </row>
    <row r="128" spans="1:6" ht="15.75" x14ac:dyDescent="0.25">
      <c r="A128" s="49"/>
      <c r="B128" s="52"/>
      <c r="C128" s="1">
        <v>2020</v>
      </c>
      <c r="D128" s="2">
        <v>926245668352</v>
      </c>
      <c r="E128" s="2">
        <f>628629*1000000</f>
        <v>628629000000</v>
      </c>
      <c r="F128" s="24">
        <f t="shared" si="3"/>
        <v>1.4734377006978678</v>
      </c>
    </row>
    <row r="129" spans="1:6" ht="15.75" x14ac:dyDescent="0.25">
      <c r="A129" s="49"/>
      <c r="B129" s="52"/>
      <c r="C129" s="1">
        <v>2021</v>
      </c>
      <c r="D129" s="2">
        <v>624883019222</v>
      </c>
      <c r="E129" s="2">
        <f>617574*1000000</f>
        <v>617574000000</v>
      </c>
      <c r="F129" s="24">
        <f t="shared" si="3"/>
        <v>1.0118350500863054</v>
      </c>
    </row>
    <row r="130" spans="1:6" ht="15.75" x14ac:dyDescent="0.25">
      <c r="A130" s="50"/>
      <c r="B130" s="53"/>
      <c r="C130" s="1">
        <v>2022</v>
      </c>
      <c r="D130" s="2">
        <v>677186311780</v>
      </c>
      <c r="E130" s="2">
        <f>624524*1000000</f>
        <v>624524000000</v>
      </c>
      <c r="F130" s="24">
        <f t="shared" si="3"/>
        <v>1.0843239199454304</v>
      </c>
    </row>
    <row r="131" spans="1:6" ht="15.75" x14ac:dyDescent="0.25">
      <c r="A131" s="48">
        <v>33</v>
      </c>
      <c r="B131" s="51" t="s">
        <v>36</v>
      </c>
      <c r="C131" s="1">
        <v>2019</v>
      </c>
      <c r="D131" s="2">
        <f>1096817*1000000</f>
        <v>1096817000000</v>
      </c>
      <c r="E131" s="2">
        <f>1035865*1000000</f>
        <v>1035865000000</v>
      </c>
      <c r="F131" s="24">
        <f t="shared" ref="F131:F134" si="4">D131/E131</f>
        <v>1.0588416444227771</v>
      </c>
    </row>
    <row r="132" spans="1:6" ht="15.75" x14ac:dyDescent="0.25">
      <c r="A132" s="49"/>
      <c r="B132" s="52"/>
      <c r="C132" s="1">
        <v>2020</v>
      </c>
      <c r="D132" s="2">
        <f>1217063*1000000</f>
        <v>1217063000000</v>
      </c>
      <c r="E132" s="2">
        <f>1109666*1000000</f>
        <v>1109666000000</v>
      </c>
      <c r="F132" s="24">
        <f t="shared" si="4"/>
        <v>1.0967831761989644</v>
      </c>
    </row>
    <row r="133" spans="1:6" ht="15.75" x14ac:dyDescent="0.25">
      <c r="A133" s="49"/>
      <c r="B133" s="52"/>
      <c r="C133" s="1">
        <v>2021</v>
      </c>
      <c r="D133" s="2">
        <f>1414447*1000000</f>
        <v>1414447000000</v>
      </c>
      <c r="E133" s="2">
        <f>1276793*1000000</f>
        <v>1276793000000</v>
      </c>
      <c r="F133" s="24">
        <f t="shared" si="4"/>
        <v>1.1078123078682292</v>
      </c>
    </row>
    <row r="134" spans="1:6" ht="15.75" x14ac:dyDescent="0.25">
      <c r="A134" s="50"/>
      <c r="B134" s="53"/>
      <c r="C134" s="1">
        <v>2022</v>
      </c>
      <c r="D134" s="2">
        <f>259846*1000000</f>
        <v>259846000000</v>
      </c>
      <c r="E134" s="2">
        <f>965486*1000000</f>
        <v>965486000000</v>
      </c>
      <c r="F134" s="24">
        <f t="shared" si="4"/>
        <v>0.26913492272285666</v>
      </c>
    </row>
  </sheetData>
  <mergeCells count="70">
    <mergeCell ref="A127:A130"/>
    <mergeCell ref="B127:B130"/>
    <mergeCell ref="A131:A134"/>
    <mergeCell ref="B131:B134"/>
    <mergeCell ref="A115:A118"/>
    <mergeCell ref="B115:B118"/>
    <mergeCell ref="A119:A122"/>
    <mergeCell ref="B119:B122"/>
    <mergeCell ref="A123:A126"/>
    <mergeCell ref="B123:B126"/>
    <mergeCell ref="A103:A106"/>
    <mergeCell ref="B103:B106"/>
    <mergeCell ref="A107:A110"/>
    <mergeCell ref="B107:B110"/>
    <mergeCell ref="A111:A114"/>
    <mergeCell ref="B111:B114"/>
    <mergeCell ref="A91:A94"/>
    <mergeCell ref="B91:B94"/>
    <mergeCell ref="A95:A98"/>
    <mergeCell ref="B95:B98"/>
    <mergeCell ref="A99:A102"/>
    <mergeCell ref="B99:B102"/>
    <mergeCell ref="A79:A82"/>
    <mergeCell ref="B79:B82"/>
    <mergeCell ref="A83:A86"/>
    <mergeCell ref="B83:B86"/>
    <mergeCell ref="A87:A90"/>
    <mergeCell ref="B87:B90"/>
    <mergeCell ref="A67:A70"/>
    <mergeCell ref="B67:B70"/>
    <mergeCell ref="A71:A74"/>
    <mergeCell ref="B71:B74"/>
    <mergeCell ref="A75:A78"/>
    <mergeCell ref="B75:B78"/>
    <mergeCell ref="A55:A58"/>
    <mergeCell ref="B55:B58"/>
    <mergeCell ref="A59:A62"/>
    <mergeCell ref="B59:B62"/>
    <mergeCell ref="A63:A66"/>
    <mergeCell ref="B63:B66"/>
    <mergeCell ref="A43:A46"/>
    <mergeCell ref="B43:B46"/>
    <mergeCell ref="A47:A50"/>
    <mergeCell ref="B47:B50"/>
    <mergeCell ref="A51:A54"/>
    <mergeCell ref="B51:B54"/>
    <mergeCell ref="A31:A34"/>
    <mergeCell ref="B31:B34"/>
    <mergeCell ref="A35:A38"/>
    <mergeCell ref="B35:B38"/>
    <mergeCell ref="A39:A42"/>
    <mergeCell ref="B39:B42"/>
    <mergeCell ref="A19:A22"/>
    <mergeCell ref="B19:B22"/>
    <mergeCell ref="A23:A26"/>
    <mergeCell ref="B23:B26"/>
    <mergeCell ref="A27:A30"/>
    <mergeCell ref="B27:B30"/>
    <mergeCell ref="A7:A10"/>
    <mergeCell ref="B7:B10"/>
    <mergeCell ref="A11:A14"/>
    <mergeCell ref="B11:B14"/>
    <mergeCell ref="A15:A18"/>
    <mergeCell ref="B15:B18"/>
    <mergeCell ref="A1:A2"/>
    <mergeCell ref="B1:B2"/>
    <mergeCell ref="C1:C2"/>
    <mergeCell ref="D1:F1"/>
    <mergeCell ref="A3:A6"/>
    <mergeCell ref="B3:B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4"/>
  <sheetViews>
    <sheetView tabSelected="1" workbookViewId="0">
      <selection activeCell="N16" sqref="N16"/>
    </sheetView>
  </sheetViews>
  <sheetFormatPr defaultRowHeight="15" x14ac:dyDescent="0.25"/>
  <cols>
    <col min="1" max="4" width="9.28515625" bestFit="1" customWidth="1"/>
    <col min="5" max="5" width="10.140625" bestFit="1" customWidth="1"/>
  </cols>
  <sheetData>
    <row r="1" spans="1:12" ht="15.75" x14ac:dyDescent="0.25">
      <c r="A1" s="68" t="s">
        <v>1</v>
      </c>
      <c r="B1" s="68" t="s">
        <v>0</v>
      </c>
      <c r="C1" s="69" t="s">
        <v>74</v>
      </c>
      <c r="D1" s="69" t="s">
        <v>75</v>
      </c>
      <c r="E1" s="69" t="s">
        <v>76</v>
      </c>
      <c r="F1" s="69" t="s">
        <v>77</v>
      </c>
      <c r="G1" s="69" t="s">
        <v>78</v>
      </c>
      <c r="H1" s="22"/>
      <c r="I1" s="22"/>
      <c r="J1" s="22"/>
      <c r="K1" s="22"/>
      <c r="L1" s="22"/>
    </row>
    <row r="2" spans="1:12" x14ac:dyDescent="0.25">
      <c r="A2" s="68"/>
      <c r="B2" s="68"/>
      <c r="C2" s="69"/>
      <c r="D2" s="69"/>
      <c r="E2" s="69"/>
      <c r="F2" s="69"/>
      <c r="G2" s="69"/>
    </row>
    <row r="3" spans="1:12" ht="15.75" x14ac:dyDescent="0.25">
      <c r="A3" s="65" t="s">
        <v>6</v>
      </c>
      <c r="B3" s="38">
        <v>2019</v>
      </c>
      <c r="C3" s="39" t="s">
        <v>95</v>
      </c>
      <c r="D3" s="40" t="s">
        <v>87</v>
      </c>
      <c r="E3" s="39" t="s">
        <v>95</v>
      </c>
      <c r="F3" s="39" t="s">
        <v>84</v>
      </c>
      <c r="G3" s="40" t="s">
        <v>96</v>
      </c>
      <c r="H3" s="23"/>
      <c r="I3" s="23"/>
      <c r="J3" s="23"/>
      <c r="K3" s="23"/>
      <c r="L3" s="23"/>
    </row>
    <row r="4" spans="1:12" ht="15.75" x14ac:dyDescent="0.25">
      <c r="A4" s="66"/>
      <c r="B4" s="38">
        <v>2020</v>
      </c>
      <c r="C4" s="39" t="s">
        <v>97</v>
      </c>
      <c r="D4" s="40" t="s">
        <v>87</v>
      </c>
      <c r="E4" s="39" t="s">
        <v>98</v>
      </c>
      <c r="F4" s="39" t="s">
        <v>84</v>
      </c>
      <c r="G4" s="40" t="s">
        <v>99</v>
      </c>
      <c r="H4" s="23"/>
      <c r="I4" s="23"/>
      <c r="J4" s="23"/>
      <c r="K4" s="23"/>
      <c r="L4" s="23"/>
    </row>
    <row r="5" spans="1:12" ht="15.75" x14ac:dyDescent="0.25">
      <c r="A5" s="66"/>
      <c r="B5" s="38">
        <v>2021</v>
      </c>
      <c r="C5" s="39" t="s">
        <v>100</v>
      </c>
      <c r="D5" s="40" t="s">
        <v>83</v>
      </c>
      <c r="E5" s="39" t="s">
        <v>100</v>
      </c>
      <c r="F5" s="39" t="s">
        <v>86</v>
      </c>
      <c r="G5" s="40" t="s">
        <v>101</v>
      </c>
      <c r="H5" s="23"/>
      <c r="I5" s="23"/>
      <c r="J5" s="23"/>
      <c r="K5" s="23"/>
      <c r="L5" s="23"/>
    </row>
    <row r="6" spans="1:12" ht="15.75" x14ac:dyDescent="0.25">
      <c r="A6" s="67"/>
      <c r="B6" s="38">
        <v>2022</v>
      </c>
      <c r="C6" s="39" t="s">
        <v>102</v>
      </c>
      <c r="D6" s="40" t="s">
        <v>94</v>
      </c>
      <c r="E6" s="39" t="s">
        <v>102</v>
      </c>
      <c r="F6" s="39" t="s">
        <v>89</v>
      </c>
      <c r="G6" s="40" t="s">
        <v>103</v>
      </c>
      <c r="H6" s="23"/>
      <c r="I6" s="23"/>
      <c r="J6" s="23"/>
      <c r="K6" s="23"/>
      <c r="L6" s="23"/>
    </row>
    <row r="7" spans="1:12" ht="15.75" x14ac:dyDescent="0.25">
      <c r="A7" s="65" t="s">
        <v>8</v>
      </c>
      <c r="B7" s="38">
        <v>2019</v>
      </c>
      <c r="C7" s="39" t="s">
        <v>104</v>
      </c>
      <c r="D7" s="40" t="s">
        <v>105</v>
      </c>
      <c r="E7" s="39" t="s">
        <v>104</v>
      </c>
      <c r="F7" s="39" t="s">
        <v>106</v>
      </c>
      <c r="G7" s="39" t="s">
        <v>107</v>
      </c>
      <c r="H7" s="23"/>
      <c r="I7" s="23"/>
      <c r="J7" s="23"/>
      <c r="K7" s="23"/>
      <c r="L7" s="23"/>
    </row>
    <row r="8" spans="1:12" ht="15.75" x14ac:dyDescent="0.25">
      <c r="A8" s="66"/>
      <c r="B8" s="38">
        <v>2020</v>
      </c>
      <c r="C8" s="39" t="s">
        <v>108</v>
      </c>
      <c r="D8" s="40" t="s">
        <v>83</v>
      </c>
      <c r="E8" s="39" t="s">
        <v>108</v>
      </c>
      <c r="F8" s="39" t="s">
        <v>86</v>
      </c>
      <c r="G8" s="39" t="s">
        <v>109</v>
      </c>
      <c r="H8" s="23"/>
      <c r="I8" s="23"/>
      <c r="J8" s="23"/>
      <c r="K8" s="23"/>
      <c r="L8" s="23"/>
    </row>
    <row r="9" spans="1:12" ht="15.75" x14ac:dyDescent="0.25">
      <c r="A9" s="66"/>
      <c r="B9" s="38">
        <v>2021</v>
      </c>
      <c r="C9" s="39" t="s">
        <v>110</v>
      </c>
      <c r="D9" s="40" t="s">
        <v>87</v>
      </c>
      <c r="E9" s="39" t="s">
        <v>110</v>
      </c>
      <c r="F9" s="39" t="s">
        <v>84</v>
      </c>
      <c r="G9" s="39" t="s">
        <v>111</v>
      </c>
      <c r="H9" s="23"/>
      <c r="I9" s="23"/>
      <c r="J9" s="23"/>
      <c r="K9" s="23"/>
      <c r="L9" s="23"/>
    </row>
    <row r="10" spans="1:12" ht="15.75" x14ac:dyDescent="0.25">
      <c r="A10" s="67"/>
      <c r="B10" s="38">
        <v>2022</v>
      </c>
      <c r="C10" s="39" t="s">
        <v>112</v>
      </c>
      <c r="D10" s="40" t="s">
        <v>113</v>
      </c>
      <c r="E10" s="39" t="s">
        <v>112</v>
      </c>
      <c r="F10" s="39" t="s">
        <v>114</v>
      </c>
      <c r="G10" s="39" t="s">
        <v>115</v>
      </c>
      <c r="H10" s="23"/>
      <c r="I10" s="23"/>
      <c r="J10" s="23"/>
      <c r="K10" s="23"/>
      <c r="L10" s="23"/>
    </row>
    <row r="11" spans="1:12" ht="15.75" x14ac:dyDescent="0.25">
      <c r="A11" s="65" t="s">
        <v>9</v>
      </c>
      <c r="B11" s="38">
        <v>2019</v>
      </c>
      <c r="C11" s="39" t="s">
        <v>116</v>
      </c>
      <c r="D11" s="40" t="s">
        <v>103</v>
      </c>
      <c r="E11" s="39" t="s">
        <v>116</v>
      </c>
      <c r="F11" s="39" t="s">
        <v>117</v>
      </c>
      <c r="G11" s="39" t="s">
        <v>118</v>
      </c>
      <c r="H11" s="23"/>
      <c r="I11" s="23"/>
      <c r="J11" s="23"/>
      <c r="K11" s="23"/>
      <c r="L11" s="23"/>
    </row>
    <row r="12" spans="1:12" ht="15.75" x14ac:dyDescent="0.25">
      <c r="A12" s="66"/>
      <c r="B12" s="38">
        <v>2020</v>
      </c>
      <c r="C12" s="39" t="s">
        <v>119</v>
      </c>
      <c r="D12" s="40" t="s">
        <v>120</v>
      </c>
      <c r="E12" s="39" t="s">
        <v>119</v>
      </c>
      <c r="F12" s="39" t="s">
        <v>121</v>
      </c>
      <c r="G12" s="39" t="s">
        <v>122</v>
      </c>
      <c r="H12" s="23"/>
      <c r="I12" s="23"/>
      <c r="J12" s="23"/>
      <c r="K12" s="23"/>
      <c r="L12" s="23"/>
    </row>
    <row r="13" spans="1:12" ht="15.75" x14ac:dyDescent="0.25">
      <c r="A13" s="66"/>
      <c r="B13" s="38">
        <v>2021</v>
      </c>
      <c r="C13" s="39" t="s">
        <v>123</v>
      </c>
      <c r="D13" s="40" t="s">
        <v>124</v>
      </c>
      <c r="E13" s="39" t="s">
        <v>123</v>
      </c>
      <c r="F13" s="39" t="s">
        <v>125</v>
      </c>
      <c r="G13" s="39" t="s">
        <v>126</v>
      </c>
      <c r="H13" s="23"/>
      <c r="I13" s="23"/>
      <c r="J13" s="23"/>
      <c r="K13" s="23"/>
      <c r="L13" s="23"/>
    </row>
    <row r="14" spans="1:12" ht="15.75" x14ac:dyDescent="0.25">
      <c r="A14" s="67"/>
      <c r="B14" s="38">
        <v>2022</v>
      </c>
      <c r="C14" s="39" t="s">
        <v>127</v>
      </c>
      <c r="D14" s="40" t="s">
        <v>105</v>
      </c>
      <c r="E14" s="39" t="s">
        <v>127</v>
      </c>
      <c r="F14" s="39" t="s">
        <v>117</v>
      </c>
      <c r="G14" s="39" t="s">
        <v>128</v>
      </c>
      <c r="H14" s="23"/>
      <c r="I14" s="23"/>
      <c r="J14" s="23"/>
      <c r="K14" s="23"/>
      <c r="L14" s="23"/>
    </row>
    <row r="15" spans="1:12" ht="15.75" x14ac:dyDescent="0.25">
      <c r="A15" s="65" t="s">
        <v>10</v>
      </c>
      <c r="B15" s="38">
        <v>2019</v>
      </c>
      <c r="C15" s="39" t="s">
        <v>129</v>
      </c>
      <c r="D15" s="40" t="s">
        <v>130</v>
      </c>
      <c r="E15" s="39" t="s">
        <v>129</v>
      </c>
      <c r="F15" s="39" t="s">
        <v>131</v>
      </c>
      <c r="G15" s="39" t="s">
        <v>132</v>
      </c>
      <c r="H15" s="23"/>
      <c r="I15" s="23"/>
      <c r="J15" s="23"/>
      <c r="K15" s="23"/>
      <c r="L15" s="23"/>
    </row>
    <row r="16" spans="1:12" ht="15.75" x14ac:dyDescent="0.25">
      <c r="A16" s="66"/>
      <c r="B16" s="38">
        <v>2020</v>
      </c>
      <c r="C16" s="39" t="s">
        <v>133</v>
      </c>
      <c r="D16" s="40" t="s">
        <v>114</v>
      </c>
      <c r="E16" s="39" t="s">
        <v>133</v>
      </c>
      <c r="F16" s="40" t="s">
        <v>113</v>
      </c>
      <c r="G16" s="39" t="s">
        <v>134</v>
      </c>
      <c r="H16" s="23"/>
      <c r="I16" s="23"/>
      <c r="J16" s="23"/>
      <c r="K16" s="23"/>
      <c r="L16" s="23"/>
    </row>
    <row r="17" spans="1:12" ht="15.75" x14ac:dyDescent="0.25">
      <c r="A17" s="66"/>
      <c r="B17" s="38">
        <v>2021</v>
      </c>
      <c r="C17" s="39" t="s">
        <v>135</v>
      </c>
      <c r="D17" s="40" t="s">
        <v>131</v>
      </c>
      <c r="E17" s="39" t="s">
        <v>135</v>
      </c>
      <c r="F17" s="40" t="s">
        <v>136</v>
      </c>
      <c r="G17" s="40" t="s">
        <v>137</v>
      </c>
      <c r="H17" s="23"/>
      <c r="I17" s="23"/>
      <c r="J17" s="23"/>
      <c r="K17" s="23"/>
      <c r="L17" s="23"/>
    </row>
    <row r="18" spans="1:12" ht="15.75" x14ac:dyDescent="0.25">
      <c r="A18" s="67"/>
      <c r="B18" s="38">
        <v>2022</v>
      </c>
      <c r="C18" s="39" t="s">
        <v>138</v>
      </c>
      <c r="D18" s="40" t="s">
        <v>81</v>
      </c>
      <c r="E18" s="39" t="s">
        <v>138</v>
      </c>
      <c r="F18" s="40" t="s">
        <v>139</v>
      </c>
      <c r="G18" s="39" t="s">
        <v>140</v>
      </c>
      <c r="H18" s="23"/>
      <c r="I18" s="23"/>
      <c r="J18" s="23"/>
      <c r="K18" s="23"/>
      <c r="L18" s="23"/>
    </row>
    <row r="19" spans="1:12" ht="15.75" x14ac:dyDescent="0.25">
      <c r="A19" s="65" t="s">
        <v>11</v>
      </c>
      <c r="B19" s="38">
        <v>2019</v>
      </c>
      <c r="C19" s="39" t="s">
        <v>141</v>
      </c>
      <c r="D19" s="40" t="s">
        <v>142</v>
      </c>
      <c r="E19" s="39" t="s">
        <v>143</v>
      </c>
      <c r="F19" s="39" t="s">
        <v>144</v>
      </c>
      <c r="G19" s="39" t="s">
        <v>145</v>
      </c>
      <c r="H19" s="23"/>
      <c r="I19" s="23"/>
      <c r="J19" s="23"/>
      <c r="K19" s="23"/>
      <c r="L19" s="23"/>
    </row>
    <row r="20" spans="1:12" ht="15.75" x14ac:dyDescent="0.25">
      <c r="A20" s="66"/>
      <c r="B20" s="38">
        <v>2020</v>
      </c>
      <c r="C20" s="39" t="s">
        <v>146</v>
      </c>
      <c r="D20" s="40" t="s">
        <v>147</v>
      </c>
      <c r="E20" s="39" t="s">
        <v>146</v>
      </c>
      <c r="F20" s="39" t="s">
        <v>117</v>
      </c>
      <c r="G20" s="39" t="s">
        <v>148</v>
      </c>
      <c r="H20" s="23"/>
      <c r="I20" s="23"/>
      <c r="J20" s="23"/>
      <c r="K20" s="23"/>
      <c r="L20" s="23"/>
    </row>
    <row r="21" spans="1:12" ht="15.75" x14ac:dyDescent="0.25">
      <c r="A21" s="66"/>
      <c r="B21" s="38">
        <v>2021</v>
      </c>
      <c r="C21" s="39" t="s">
        <v>149</v>
      </c>
      <c r="D21" s="40" t="s">
        <v>87</v>
      </c>
      <c r="E21" s="39" t="s">
        <v>149</v>
      </c>
      <c r="F21" s="39" t="s">
        <v>84</v>
      </c>
      <c r="G21" s="39" t="s">
        <v>79</v>
      </c>
      <c r="H21" s="23"/>
      <c r="I21" s="23"/>
      <c r="J21" s="23"/>
      <c r="K21" s="23"/>
      <c r="L21" s="23"/>
    </row>
    <row r="22" spans="1:12" ht="15.75" x14ac:dyDescent="0.25">
      <c r="A22" s="67"/>
      <c r="B22" s="38">
        <v>2022</v>
      </c>
      <c r="C22" s="39" t="s">
        <v>150</v>
      </c>
      <c r="D22" s="40" t="s">
        <v>114</v>
      </c>
      <c r="E22" s="39" t="s">
        <v>150</v>
      </c>
      <c r="F22" s="40" t="s">
        <v>113</v>
      </c>
      <c r="G22" s="39" t="s">
        <v>151</v>
      </c>
      <c r="H22" s="23"/>
      <c r="I22" s="23"/>
      <c r="J22" s="23"/>
      <c r="K22" s="23"/>
      <c r="L22" s="23"/>
    </row>
    <row r="23" spans="1:12" ht="15.75" x14ac:dyDescent="0.25">
      <c r="A23" s="65" t="s">
        <v>12</v>
      </c>
      <c r="B23" s="38">
        <v>2019</v>
      </c>
      <c r="C23" s="39" t="s">
        <v>152</v>
      </c>
      <c r="D23" s="40" t="s">
        <v>153</v>
      </c>
      <c r="E23" s="39" t="s">
        <v>152</v>
      </c>
      <c r="F23" s="40" t="s">
        <v>87</v>
      </c>
      <c r="G23" s="39" t="s">
        <v>154</v>
      </c>
      <c r="H23" s="23"/>
      <c r="I23" s="23"/>
      <c r="J23" s="23"/>
      <c r="K23" s="23"/>
      <c r="L23" s="23"/>
    </row>
    <row r="24" spans="1:12" ht="15.75" x14ac:dyDescent="0.25">
      <c r="A24" s="66"/>
      <c r="B24" s="38">
        <v>2020</v>
      </c>
      <c r="C24" s="39" t="s">
        <v>155</v>
      </c>
      <c r="D24" s="40" t="s">
        <v>156</v>
      </c>
      <c r="E24" s="39" t="s">
        <v>155</v>
      </c>
      <c r="F24" s="40" t="s">
        <v>153</v>
      </c>
      <c r="G24" s="39" t="s">
        <v>157</v>
      </c>
      <c r="H24" s="23"/>
      <c r="I24" s="23"/>
      <c r="J24" s="23"/>
      <c r="K24" s="23"/>
      <c r="L24" s="23"/>
    </row>
    <row r="25" spans="1:12" ht="15.75" x14ac:dyDescent="0.25">
      <c r="A25" s="66"/>
      <c r="B25" s="38">
        <v>2021</v>
      </c>
      <c r="C25" s="39" t="s">
        <v>158</v>
      </c>
      <c r="D25" s="40" t="s">
        <v>140</v>
      </c>
      <c r="E25" s="39" t="s">
        <v>158</v>
      </c>
      <c r="F25" s="40" t="s">
        <v>94</v>
      </c>
      <c r="G25" s="39" t="s">
        <v>159</v>
      </c>
      <c r="H25" s="23"/>
      <c r="I25" s="23"/>
      <c r="J25" s="23"/>
      <c r="K25" s="23"/>
      <c r="L25" s="23"/>
    </row>
    <row r="26" spans="1:12" ht="15.75" x14ac:dyDescent="0.25">
      <c r="A26" s="67"/>
      <c r="B26" s="38">
        <v>2022</v>
      </c>
      <c r="C26" s="39" t="s">
        <v>160</v>
      </c>
      <c r="D26" s="40" t="s">
        <v>125</v>
      </c>
      <c r="E26" s="39" t="s">
        <v>160</v>
      </c>
      <c r="F26" s="40" t="s">
        <v>142</v>
      </c>
      <c r="G26" s="39" t="s">
        <v>161</v>
      </c>
      <c r="H26" s="23"/>
      <c r="I26" s="23"/>
      <c r="J26" s="23"/>
      <c r="K26" s="23"/>
      <c r="L26" s="23"/>
    </row>
    <row r="27" spans="1:12" ht="15.75" x14ac:dyDescent="0.25">
      <c r="A27" s="65" t="s">
        <v>13</v>
      </c>
      <c r="B27" s="38">
        <v>2019</v>
      </c>
      <c r="C27" s="39" t="s">
        <v>162</v>
      </c>
      <c r="D27" s="40" t="s">
        <v>125</v>
      </c>
      <c r="E27" s="39" t="s">
        <v>162</v>
      </c>
      <c r="F27" s="40" t="s">
        <v>163</v>
      </c>
      <c r="G27" s="40" t="s">
        <v>164</v>
      </c>
      <c r="H27" s="23"/>
      <c r="I27" s="23"/>
      <c r="J27" s="23"/>
      <c r="K27" s="23"/>
      <c r="L27" s="23"/>
    </row>
    <row r="28" spans="1:12" ht="15.75" x14ac:dyDescent="0.25">
      <c r="A28" s="66"/>
      <c r="B28" s="38">
        <v>2020</v>
      </c>
      <c r="C28" s="39" t="s">
        <v>165</v>
      </c>
      <c r="D28" s="40" t="s">
        <v>121</v>
      </c>
      <c r="E28" s="39" t="s">
        <v>165</v>
      </c>
      <c r="F28" s="40" t="s">
        <v>166</v>
      </c>
      <c r="G28" s="40" t="s">
        <v>167</v>
      </c>
      <c r="H28" s="23"/>
      <c r="I28" s="23"/>
      <c r="J28" s="23"/>
      <c r="K28" s="23"/>
      <c r="L28" s="23"/>
    </row>
    <row r="29" spans="1:12" ht="15.75" x14ac:dyDescent="0.25">
      <c r="A29" s="66"/>
      <c r="B29" s="38">
        <v>2021</v>
      </c>
      <c r="C29" s="39" t="s">
        <v>168</v>
      </c>
      <c r="D29" s="40" t="s">
        <v>169</v>
      </c>
      <c r="E29" s="39" t="s">
        <v>168</v>
      </c>
      <c r="F29" s="40" t="s">
        <v>142</v>
      </c>
      <c r="G29" s="40" t="s">
        <v>170</v>
      </c>
      <c r="H29" s="23"/>
      <c r="I29" s="23"/>
      <c r="J29" s="23"/>
      <c r="K29" s="23"/>
      <c r="L29" s="23"/>
    </row>
    <row r="30" spans="1:12" ht="15.75" x14ac:dyDescent="0.25">
      <c r="A30" s="67"/>
      <c r="B30" s="38">
        <v>2022</v>
      </c>
      <c r="C30" s="39" t="s">
        <v>85</v>
      </c>
      <c r="D30" s="40" t="s">
        <v>171</v>
      </c>
      <c r="E30" s="39" t="s">
        <v>85</v>
      </c>
      <c r="F30" s="40" t="s">
        <v>172</v>
      </c>
      <c r="G30" s="40" t="s">
        <v>173</v>
      </c>
      <c r="H30" s="23"/>
      <c r="I30" s="23"/>
      <c r="J30" s="23"/>
      <c r="K30" s="23"/>
      <c r="L30" s="23"/>
    </row>
    <row r="31" spans="1:12" ht="15.75" x14ac:dyDescent="0.25">
      <c r="A31" s="65" t="s">
        <v>14</v>
      </c>
      <c r="B31" s="38">
        <v>2019</v>
      </c>
      <c r="C31" s="39" t="s">
        <v>174</v>
      </c>
      <c r="D31" s="40" t="s">
        <v>153</v>
      </c>
      <c r="E31" s="39" t="s">
        <v>174</v>
      </c>
      <c r="F31" s="40" t="s">
        <v>87</v>
      </c>
      <c r="G31" s="39" t="s">
        <v>175</v>
      </c>
      <c r="H31" s="23"/>
      <c r="I31" s="23"/>
      <c r="J31" s="23"/>
      <c r="K31" s="23"/>
      <c r="L31" s="23"/>
    </row>
    <row r="32" spans="1:12" ht="15.75" x14ac:dyDescent="0.25">
      <c r="A32" s="66"/>
      <c r="B32" s="38">
        <v>2020</v>
      </c>
      <c r="C32" s="39" t="s">
        <v>176</v>
      </c>
      <c r="D32" s="40" t="s">
        <v>103</v>
      </c>
      <c r="E32" s="39" t="s">
        <v>176</v>
      </c>
      <c r="F32" s="39" t="s">
        <v>125</v>
      </c>
      <c r="G32" s="39" t="s">
        <v>177</v>
      </c>
      <c r="H32" s="23"/>
      <c r="I32" s="23"/>
      <c r="J32" s="23"/>
      <c r="K32" s="23"/>
      <c r="L32" s="23"/>
    </row>
    <row r="33" spans="1:12" ht="15.75" x14ac:dyDescent="0.25">
      <c r="A33" s="66"/>
      <c r="B33" s="38">
        <v>2021</v>
      </c>
      <c r="C33" s="39" t="s">
        <v>178</v>
      </c>
      <c r="D33" s="40" t="s">
        <v>139</v>
      </c>
      <c r="E33" s="39" t="s">
        <v>178</v>
      </c>
      <c r="F33" s="39" t="s">
        <v>179</v>
      </c>
      <c r="G33" s="39" t="s">
        <v>180</v>
      </c>
      <c r="H33" s="23"/>
      <c r="I33" s="23"/>
      <c r="J33" s="23"/>
      <c r="K33" s="23"/>
      <c r="L33" s="23"/>
    </row>
    <row r="34" spans="1:12" ht="15.75" x14ac:dyDescent="0.25">
      <c r="A34" s="67"/>
      <c r="B34" s="41">
        <v>2022</v>
      </c>
      <c r="C34" s="42" t="s">
        <v>181</v>
      </c>
      <c r="D34" s="43" t="s">
        <v>153</v>
      </c>
      <c r="E34" s="39" t="s">
        <v>181</v>
      </c>
      <c r="F34" s="40" t="s">
        <v>156</v>
      </c>
      <c r="G34" s="39" t="s">
        <v>182</v>
      </c>
      <c r="H34" s="23"/>
      <c r="I34" s="23"/>
      <c r="J34" s="23"/>
      <c r="K34" s="23"/>
      <c r="L34" s="23"/>
    </row>
    <row r="35" spans="1:12" ht="15.75" x14ac:dyDescent="0.25">
      <c r="A35" s="65" t="s">
        <v>15</v>
      </c>
      <c r="B35" s="38">
        <v>2019</v>
      </c>
      <c r="C35" s="39" t="s">
        <v>183</v>
      </c>
      <c r="D35" s="40" t="s">
        <v>94</v>
      </c>
      <c r="E35" s="39" t="s">
        <v>183</v>
      </c>
      <c r="F35" s="40" t="s">
        <v>89</v>
      </c>
      <c r="G35" s="39" t="s">
        <v>184</v>
      </c>
      <c r="H35" s="23"/>
      <c r="I35" s="23"/>
      <c r="J35" s="23"/>
      <c r="K35" s="23"/>
      <c r="L35" s="23"/>
    </row>
    <row r="36" spans="1:12" ht="15.75" x14ac:dyDescent="0.25">
      <c r="A36" s="66"/>
      <c r="B36" s="38">
        <v>2020</v>
      </c>
      <c r="C36" s="39" t="s">
        <v>185</v>
      </c>
      <c r="D36" s="40" t="s">
        <v>93</v>
      </c>
      <c r="E36" s="39" t="s">
        <v>185</v>
      </c>
      <c r="F36" s="40" t="s">
        <v>140</v>
      </c>
      <c r="G36" s="39" t="s">
        <v>186</v>
      </c>
      <c r="H36" s="23"/>
      <c r="I36" s="23"/>
      <c r="J36" s="23"/>
      <c r="K36" s="23"/>
      <c r="L36" s="23"/>
    </row>
    <row r="37" spans="1:12" ht="15.75" x14ac:dyDescent="0.25">
      <c r="A37" s="66"/>
      <c r="B37" s="38">
        <v>2021</v>
      </c>
      <c r="C37" s="39" t="s">
        <v>148</v>
      </c>
      <c r="D37" s="40" t="s">
        <v>87</v>
      </c>
      <c r="E37" s="39" t="s">
        <v>148</v>
      </c>
      <c r="F37" s="40" t="s">
        <v>84</v>
      </c>
      <c r="G37" s="39" t="s">
        <v>187</v>
      </c>
      <c r="H37" s="23"/>
      <c r="I37" s="23"/>
      <c r="J37" s="23"/>
      <c r="K37" s="23"/>
      <c r="L37" s="23"/>
    </row>
    <row r="38" spans="1:12" ht="15.75" x14ac:dyDescent="0.25">
      <c r="A38" s="67"/>
      <c r="B38" s="38">
        <v>2022</v>
      </c>
      <c r="C38" s="39" t="s">
        <v>188</v>
      </c>
      <c r="D38" s="40" t="s">
        <v>117</v>
      </c>
      <c r="E38" s="39" t="s">
        <v>188</v>
      </c>
      <c r="F38" s="40" t="s">
        <v>163</v>
      </c>
      <c r="G38" s="40" t="s">
        <v>189</v>
      </c>
      <c r="H38" s="23"/>
      <c r="I38" s="23"/>
      <c r="J38" s="23"/>
      <c r="K38" s="23"/>
      <c r="L38" s="23"/>
    </row>
    <row r="39" spans="1:12" ht="15.75" x14ac:dyDescent="0.25">
      <c r="A39" s="65" t="s">
        <v>16</v>
      </c>
      <c r="B39" s="38">
        <v>2019</v>
      </c>
      <c r="C39" s="39" t="s">
        <v>190</v>
      </c>
      <c r="D39" s="40" t="s">
        <v>87</v>
      </c>
      <c r="E39" s="39" t="s">
        <v>190</v>
      </c>
      <c r="F39" s="40" t="s">
        <v>86</v>
      </c>
      <c r="G39" s="40" t="s">
        <v>191</v>
      </c>
      <c r="H39" s="23"/>
      <c r="I39" s="23"/>
      <c r="J39" s="23"/>
      <c r="K39" s="23"/>
      <c r="L39" s="23"/>
    </row>
    <row r="40" spans="1:12" ht="15.75" x14ac:dyDescent="0.25">
      <c r="A40" s="66"/>
      <c r="B40" s="38">
        <v>2020</v>
      </c>
      <c r="C40" s="39" t="s">
        <v>192</v>
      </c>
      <c r="D40" s="40" t="s">
        <v>113</v>
      </c>
      <c r="E40" s="39" t="s">
        <v>192</v>
      </c>
      <c r="F40" s="40" t="s">
        <v>114</v>
      </c>
      <c r="G40" s="40" t="s">
        <v>193</v>
      </c>
      <c r="H40" s="23"/>
      <c r="I40" s="23"/>
      <c r="J40" s="23"/>
      <c r="K40" s="23"/>
      <c r="L40" s="23"/>
    </row>
    <row r="41" spans="1:12" ht="15.75" x14ac:dyDescent="0.25">
      <c r="A41" s="66"/>
      <c r="B41" s="38">
        <v>2021</v>
      </c>
      <c r="C41" s="39" t="s">
        <v>194</v>
      </c>
      <c r="D41" s="40" t="s">
        <v>195</v>
      </c>
      <c r="E41" s="39" t="s">
        <v>194</v>
      </c>
      <c r="F41" s="40" t="s">
        <v>80</v>
      </c>
      <c r="G41" s="40" t="s">
        <v>196</v>
      </c>
      <c r="H41" s="23"/>
      <c r="I41" s="23"/>
      <c r="J41" s="23"/>
      <c r="K41" s="23"/>
      <c r="L41" s="23"/>
    </row>
    <row r="42" spans="1:12" ht="15.75" x14ac:dyDescent="0.25">
      <c r="A42" s="67"/>
      <c r="B42" s="38">
        <v>2022</v>
      </c>
      <c r="C42" s="39" t="s">
        <v>197</v>
      </c>
      <c r="D42" s="40" t="s">
        <v>198</v>
      </c>
      <c r="E42" s="39" t="s">
        <v>197</v>
      </c>
      <c r="F42" s="40" t="s">
        <v>199</v>
      </c>
      <c r="G42" s="40" t="s">
        <v>199</v>
      </c>
      <c r="H42" s="23"/>
      <c r="I42" s="23"/>
      <c r="J42" s="23"/>
      <c r="K42" s="23"/>
      <c r="L42" s="23"/>
    </row>
    <row r="43" spans="1:12" ht="15.75" x14ac:dyDescent="0.25">
      <c r="A43" s="65" t="s">
        <v>17</v>
      </c>
      <c r="B43" s="38">
        <v>2019</v>
      </c>
      <c r="C43" s="39" t="s">
        <v>200</v>
      </c>
      <c r="D43" s="40" t="s">
        <v>153</v>
      </c>
      <c r="E43" s="39" t="s">
        <v>200</v>
      </c>
      <c r="F43" s="40" t="s">
        <v>156</v>
      </c>
      <c r="G43" s="40" t="s">
        <v>201</v>
      </c>
      <c r="H43" s="23"/>
      <c r="I43" s="23"/>
      <c r="J43" s="23"/>
      <c r="K43" s="23"/>
      <c r="L43" s="23"/>
    </row>
    <row r="44" spans="1:12" ht="15.75" x14ac:dyDescent="0.25">
      <c r="A44" s="66"/>
      <c r="B44" s="38">
        <v>2020</v>
      </c>
      <c r="C44" s="39" t="s">
        <v>202</v>
      </c>
      <c r="D44" s="40" t="s">
        <v>136</v>
      </c>
      <c r="E44" s="39" t="s">
        <v>202</v>
      </c>
      <c r="F44" s="39" t="s">
        <v>203</v>
      </c>
      <c r="G44" s="39" t="s">
        <v>86</v>
      </c>
      <c r="H44" s="23"/>
      <c r="I44" s="23"/>
      <c r="J44" s="23"/>
      <c r="K44" s="23"/>
      <c r="L44" s="23"/>
    </row>
    <row r="45" spans="1:12" ht="15.75" x14ac:dyDescent="0.25">
      <c r="A45" s="66"/>
      <c r="B45" s="38">
        <v>2021</v>
      </c>
      <c r="C45" s="39" t="s">
        <v>204</v>
      </c>
      <c r="D45" s="40" t="s">
        <v>163</v>
      </c>
      <c r="E45" s="39" t="s">
        <v>204</v>
      </c>
      <c r="F45" s="39" t="s">
        <v>106</v>
      </c>
      <c r="G45" s="39" t="s">
        <v>205</v>
      </c>
      <c r="H45" s="23"/>
      <c r="I45" s="23"/>
      <c r="J45" s="23"/>
      <c r="K45" s="23"/>
      <c r="L45" s="23"/>
    </row>
    <row r="46" spans="1:12" ht="15.75" x14ac:dyDescent="0.25">
      <c r="A46" s="67"/>
      <c r="B46" s="38">
        <v>2022</v>
      </c>
      <c r="C46" s="39" t="s">
        <v>206</v>
      </c>
      <c r="D46" s="40" t="s">
        <v>124</v>
      </c>
      <c r="E46" s="39" t="s">
        <v>206</v>
      </c>
      <c r="F46" s="39" t="s">
        <v>125</v>
      </c>
      <c r="G46" s="39" t="s">
        <v>207</v>
      </c>
      <c r="H46" s="23"/>
      <c r="I46" s="23"/>
      <c r="J46" s="23"/>
      <c r="K46" s="23"/>
      <c r="L46" s="23"/>
    </row>
    <row r="47" spans="1:12" ht="15.75" x14ac:dyDescent="0.25">
      <c r="A47" s="65" t="s">
        <v>18</v>
      </c>
      <c r="B47" s="38">
        <v>2019</v>
      </c>
      <c r="C47" s="39" t="s">
        <v>208</v>
      </c>
      <c r="D47" s="40" t="s">
        <v>113</v>
      </c>
      <c r="E47" s="39" t="s">
        <v>208</v>
      </c>
      <c r="F47" s="39" t="s">
        <v>89</v>
      </c>
      <c r="G47" s="39" t="s">
        <v>209</v>
      </c>
      <c r="H47" s="23"/>
      <c r="I47" s="23"/>
      <c r="J47" s="23"/>
      <c r="K47" s="23"/>
      <c r="L47" s="23"/>
    </row>
    <row r="48" spans="1:12" ht="15.75" x14ac:dyDescent="0.25">
      <c r="A48" s="66"/>
      <c r="B48" s="38">
        <v>2020</v>
      </c>
      <c r="C48" s="39" t="s">
        <v>210</v>
      </c>
      <c r="D48" s="40" t="s">
        <v>139</v>
      </c>
      <c r="E48" s="39" t="s">
        <v>210</v>
      </c>
      <c r="F48" s="39" t="s">
        <v>82</v>
      </c>
      <c r="G48" s="39" t="s">
        <v>211</v>
      </c>
      <c r="H48" s="23"/>
      <c r="I48" s="23"/>
      <c r="J48" s="23"/>
      <c r="K48" s="23"/>
      <c r="L48" s="23"/>
    </row>
    <row r="49" spans="1:12" ht="15.75" x14ac:dyDescent="0.25">
      <c r="A49" s="66"/>
      <c r="B49" s="38">
        <v>2021</v>
      </c>
      <c r="C49" s="39" t="s">
        <v>212</v>
      </c>
      <c r="D49" s="40" t="s">
        <v>87</v>
      </c>
      <c r="E49" s="39" t="s">
        <v>212</v>
      </c>
      <c r="F49" s="39" t="s">
        <v>84</v>
      </c>
      <c r="G49" s="39" t="s">
        <v>213</v>
      </c>
      <c r="H49" s="23"/>
      <c r="I49" s="23"/>
      <c r="J49" s="23"/>
      <c r="K49" s="23"/>
      <c r="L49" s="23"/>
    </row>
    <row r="50" spans="1:12" ht="15.75" x14ac:dyDescent="0.25">
      <c r="A50" s="67"/>
      <c r="B50" s="38">
        <v>2022</v>
      </c>
      <c r="C50" s="39" t="s">
        <v>214</v>
      </c>
      <c r="D50" s="40" t="s">
        <v>94</v>
      </c>
      <c r="E50" s="39" t="s">
        <v>214</v>
      </c>
      <c r="F50" s="39" t="s">
        <v>89</v>
      </c>
      <c r="G50" s="39" t="s">
        <v>215</v>
      </c>
      <c r="H50" s="23"/>
      <c r="I50" s="23"/>
      <c r="J50" s="23"/>
      <c r="K50" s="23"/>
      <c r="L50" s="23"/>
    </row>
    <row r="51" spans="1:12" ht="15.75" x14ac:dyDescent="0.25">
      <c r="A51" s="65" t="s">
        <v>19</v>
      </c>
      <c r="B51" s="38">
        <v>2019</v>
      </c>
      <c r="C51" s="39" t="s">
        <v>216</v>
      </c>
      <c r="D51" s="40" t="s">
        <v>113</v>
      </c>
      <c r="E51" s="39" t="s">
        <v>216</v>
      </c>
      <c r="F51" s="39" t="s">
        <v>114</v>
      </c>
      <c r="G51" s="39" t="s">
        <v>217</v>
      </c>
      <c r="H51" s="23"/>
      <c r="I51" s="23"/>
      <c r="J51" s="23"/>
      <c r="K51" s="23"/>
      <c r="L51" s="23"/>
    </row>
    <row r="52" spans="1:12" ht="15.75" x14ac:dyDescent="0.25">
      <c r="A52" s="66"/>
      <c r="B52" s="38">
        <v>2020</v>
      </c>
      <c r="C52" s="39" t="s">
        <v>218</v>
      </c>
      <c r="D52" s="40" t="s">
        <v>83</v>
      </c>
      <c r="E52" s="39" t="s">
        <v>218</v>
      </c>
      <c r="F52" s="39" t="s">
        <v>86</v>
      </c>
      <c r="G52" s="39" t="s">
        <v>219</v>
      </c>
      <c r="H52" s="23"/>
      <c r="I52" s="23"/>
      <c r="J52" s="23"/>
      <c r="K52" s="23"/>
      <c r="L52" s="23"/>
    </row>
    <row r="53" spans="1:12" ht="15.75" x14ac:dyDescent="0.25">
      <c r="A53" s="66"/>
      <c r="B53" s="38">
        <v>2021</v>
      </c>
      <c r="C53" s="39" t="s">
        <v>220</v>
      </c>
      <c r="D53" s="40" t="s">
        <v>113</v>
      </c>
      <c r="E53" s="39" t="s">
        <v>220</v>
      </c>
      <c r="F53" s="39" t="s">
        <v>114</v>
      </c>
      <c r="G53" s="39" t="s">
        <v>92</v>
      </c>
      <c r="H53" s="23"/>
      <c r="I53" s="23"/>
      <c r="J53" s="23"/>
      <c r="K53" s="23"/>
      <c r="L53" s="23"/>
    </row>
    <row r="54" spans="1:12" ht="15.75" x14ac:dyDescent="0.25">
      <c r="A54" s="67"/>
      <c r="B54" s="38">
        <v>2022</v>
      </c>
      <c r="C54" s="39" t="s">
        <v>221</v>
      </c>
      <c r="D54" s="40" t="s">
        <v>222</v>
      </c>
      <c r="E54" s="39" t="s">
        <v>221</v>
      </c>
      <c r="F54" s="39" t="s">
        <v>223</v>
      </c>
      <c r="G54" s="39" t="s">
        <v>224</v>
      </c>
      <c r="H54" s="23"/>
      <c r="I54" s="23"/>
      <c r="J54" s="23"/>
      <c r="K54" s="23"/>
      <c r="L54" s="23"/>
    </row>
    <row r="55" spans="1:12" ht="15.75" x14ac:dyDescent="0.25">
      <c r="A55" s="65" t="s">
        <v>20</v>
      </c>
      <c r="B55" s="38">
        <v>2019</v>
      </c>
      <c r="C55" s="39" t="s">
        <v>225</v>
      </c>
      <c r="D55" s="40" t="s">
        <v>93</v>
      </c>
      <c r="E55" s="39" t="s">
        <v>225</v>
      </c>
      <c r="F55" s="39" t="s">
        <v>140</v>
      </c>
      <c r="G55" s="39" t="s">
        <v>226</v>
      </c>
      <c r="H55" s="23"/>
      <c r="I55" s="23"/>
      <c r="J55" s="23"/>
      <c r="K55" s="23"/>
      <c r="L55" s="23"/>
    </row>
    <row r="56" spans="1:12" ht="15.75" x14ac:dyDescent="0.25">
      <c r="A56" s="66"/>
      <c r="B56" s="38">
        <v>2020</v>
      </c>
      <c r="C56" s="39" t="s">
        <v>126</v>
      </c>
      <c r="D56" s="40" t="s">
        <v>83</v>
      </c>
      <c r="E56" s="39" t="s">
        <v>126</v>
      </c>
      <c r="F56" s="39" t="s">
        <v>89</v>
      </c>
      <c r="G56" s="39" t="s">
        <v>227</v>
      </c>
      <c r="H56" s="23"/>
      <c r="I56" s="23"/>
      <c r="J56" s="23"/>
      <c r="K56" s="23"/>
      <c r="L56" s="23"/>
    </row>
    <row r="57" spans="1:12" ht="15.75" x14ac:dyDescent="0.25">
      <c r="A57" s="66"/>
      <c r="B57" s="38">
        <v>2021</v>
      </c>
      <c r="C57" s="39" t="s">
        <v>119</v>
      </c>
      <c r="D57" s="40" t="s">
        <v>113</v>
      </c>
      <c r="E57" s="39" t="s">
        <v>119</v>
      </c>
      <c r="F57" s="39" t="s">
        <v>114</v>
      </c>
      <c r="G57" s="39" t="s">
        <v>115</v>
      </c>
      <c r="H57" s="23"/>
      <c r="I57" s="23"/>
      <c r="J57" s="23"/>
      <c r="K57" s="23"/>
      <c r="L57" s="23"/>
    </row>
    <row r="58" spans="1:12" ht="15.75" x14ac:dyDescent="0.25">
      <c r="A58" s="67"/>
      <c r="B58" s="38">
        <v>2022</v>
      </c>
      <c r="C58" s="39" t="s">
        <v>228</v>
      </c>
      <c r="D58" s="40" t="s">
        <v>156</v>
      </c>
      <c r="E58" s="39" t="s">
        <v>228</v>
      </c>
      <c r="F58" s="39" t="s">
        <v>153</v>
      </c>
      <c r="G58" s="39" t="s">
        <v>229</v>
      </c>
      <c r="H58" s="23"/>
      <c r="I58" s="23"/>
      <c r="J58" s="23"/>
      <c r="K58" s="23"/>
      <c r="L58" s="23"/>
    </row>
    <row r="59" spans="1:12" ht="15.75" x14ac:dyDescent="0.25">
      <c r="A59" s="65" t="s">
        <v>21</v>
      </c>
      <c r="B59" s="38">
        <v>2019</v>
      </c>
      <c r="C59" s="39" t="s">
        <v>230</v>
      </c>
      <c r="D59" s="40" t="s">
        <v>231</v>
      </c>
      <c r="E59" s="39" t="s">
        <v>230</v>
      </c>
      <c r="F59" s="40" t="s">
        <v>232</v>
      </c>
      <c r="G59" s="39" t="s">
        <v>89</v>
      </c>
      <c r="H59" s="23"/>
      <c r="I59" s="23"/>
      <c r="J59" s="23"/>
      <c r="K59" s="23"/>
      <c r="L59" s="23"/>
    </row>
    <row r="60" spans="1:12" ht="15.75" x14ac:dyDescent="0.25">
      <c r="A60" s="66"/>
      <c r="B60" s="38">
        <v>2020</v>
      </c>
      <c r="C60" s="39" t="s">
        <v>233</v>
      </c>
      <c r="D60" s="40" t="s">
        <v>124</v>
      </c>
      <c r="E60" s="39" t="s">
        <v>233</v>
      </c>
      <c r="F60" s="40" t="s">
        <v>81</v>
      </c>
      <c r="G60" s="40" t="s">
        <v>94</v>
      </c>
      <c r="H60" s="23"/>
      <c r="I60" s="23"/>
      <c r="J60" s="23"/>
      <c r="K60" s="23"/>
      <c r="L60" s="23"/>
    </row>
    <row r="61" spans="1:12" ht="15.75" x14ac:dyDescent="0.25">
      <c r="A61" s="66"/>
      <c r="B61" s="38">
        <v>2021</v>
      </c>
      <c r="C61" s="39" t="s">
        <v>234</v>
      </c>
      <c r="D61" s="40" t="s">
        <v>166</v>
      </c>
      <c r="E61" s="39" t="s">
        <v>234</v>
      </c>
      <c r="F61" s="40" t="s">
        <v>203</v>
      </c>
      <c r="G61" s="40" t="s">
        <v>87</v>
      </c>
      <c r="H61" s="23"/>
      <c r="I61" s="23"/>
      <c r="J61" s="23"/>
      <c r="K61" s="23"/>
      <c r="L61" s="23"/>
    </row>
    <row r="62" spans="1:12" ht="15.75" x14ac:dyDescent="0.25">
      <c r="A62" s="67"/>
      <c r="B62" s="38">
        <v>2022</v>
      </c>
      <c r="C62" s="39" t="s">
        <v>235</v>
      </c>
      <c r="D62" s="40" t="s">
        <v>120</v>
      </c>
      <c r="E62" s="39" t="s">
        <v>235</v>
      </c>
      <c r="F62" s="40" t="s">
        <v>236</v>
      </c>
      <c r="G62" s="39" t="s">
        <v>140</v>
      </c>
      <c r="H62" s="23"/>
      <c r="I62" s="23"/>
      <c r="J62" s="23"/>
      <c r="K62" s="23"/>
      <c r="L62" s="23"/>
    </row>
    <row r="63" spans="1:12" ht="15.75" x14ac:dyDescent="0.25">
      <c r="A63" s="65" t="s">
        <v>22</v>
      </c>
      <c r="B63" s="38">
        <v>2019</v>
      </c>
      <c r="C63" s="39" t="s">
        <v>237</v>
      </c>
      <c r="D63" s="40" t="s">
        <v>86</v>
      </c>
      <c r="E63" s="39" t="s">
        <v>237</v>
      </c>
      <c r="F63" s="43" t="s">
        <v>87</v>
      </c>
      <c r="G63" s="39" t="s">
        <v>238</v>
      </c>
      <c r="H63" s="23"/>
      <c r="I63" s="23"/>
      <c r="J63" s="23"/>
      <c r="K63" s="23"/>
      <c r="L63" s="23"/>
    </row>
    <row r="64" spans="1:12" ht="15.75" x14ac:dyDescent="0.25">
      <c r="A64" s="66"/>
      <c r="B64" s="38">
        <v>2020</v>
      </c>
      <c r="C64" s="39" t="s">
        <v>239</v>
      </c>
      <c r="D64" s="40" t="s">
        <v>240</v>
      </c>
      <c r="E64" s="39" t="s">
        <v>239</v>
      </c>
      <c r="F64" s="43" t="s">
        <v>332</v>
      </c>
      <c r="G64" s="39" t="s">
        <v>241</v>
      </c>
      <c r="H64" s="23"/>
      <c r="I64" s="23"/>
      <c r="J64" s="23"/>
      <c r="K64" s="23"/>
      <c r="L64" s="23"/>
    </row>
    <row r="65" spans="1:12" ht="15.75" x14ac:dyDescent="0.25">
      <c r="A65" s="66"/>
      <c r="B65" s="38">
        <v>2021</v>
      </c>
      <c r="C65" s="39" t="s">
        <v>242</v>
      </c>
      <c r="D65" s="40" t="s">
        <v>83</v>
      </c>
      <c r="E65" s="39" t="s">
        <v>242</v>
      </c>
      <c r="F65" s="39" t="s">
        <v>86</v>
      </c>
      <c r="G65" s="39" t="s">
        <v>243</v>
      </c>
      <c r="H65" s="23"/>
      <c r="I65" s="23"/>
      <c r="J65" s="23"/>
      <c r="K65" s="23"/>
      <c r="L65" s="23"/>
    </row>
    <row r="66" spans="1:12" ht="15.75" x14ac:dyDescent="0.25">
      <c r="A66" s="67"/>
      <c r="B66" s="38">
        <v>2022</v>
      </c>
      <c r="C66" s="39" t="s">
        <v>90</v>
      </c>
      <c r="D66" s="40" t="s">
        <v>83</v>
      </c>
      <c r="E66" s="39" t="s">
        <v>90</v>
      </c>
      <c r="F66" s="39" t="s">
        <v>86</v>
      </c>
      <c r="G66" s="39" t="s">
        <v>244</v>
      </c>
      <c r="H66" s="23"/>
      <c r="I66" s="23"/>
      <c r="J66" s="23"/>
      <c r="K66" s="23"/>
      <c r="L66" s="23"/>
    </row>
    <row r="67" spans="1:12" ht="15.75" x14ac:dyDescent="0.25">
      <c r="A67" s="65" t="s">
        <v>23</v>
      </c>
      <c r="B67" s="38">
        <v>2019</v>
      </c>
      <c r="C67" s="39" t="s">
        <v>115</v>
      </c>
      <c r="D67" s="40" t="s">
        <v>163</v>
      </c>
      <c r="E67" s="39" t="s">
        <v>115</v>
      </c>
      <c r="F67" s="39" t="s">
        <v>117</v>
      </c>
      <c r="G67" s="39" t="s">
        <v>245</v>
      </c>
      <c r="H67" s="23"/>
      <c r="I67" s="23"/>
      <c r="J67" s="23"/>
      <c r="K67" s="23"/>
      <c r="L67" s="23"/>
    </row>
    <row r="68" spans="1:12" ht="15.75" x14ac:dyDescent="0.25">
      <c r="A68" s="66"/>
      <c r="B68" s="38">
        <v>2020</v>
      </c>
      <c r="C68" s="39" t="s">
        <v>246</v>
      </c>
      <c r="D68" s="40" t="s">
        <v>93</v>
      </c>
      <c r="E68" s="39" t="s">
        <v>246</v>
      </c>
      <c r="F68" s="39" t="s">
        <v>84</v>
      </c>
      <c r="G68" s="39" t="s">
        <v>247</v>
      </c>
      <c r="H68" s="23"/>
      <c r="I68" s="23"/>
      <c r="J68" s="23"/>
      <c r="K68" s="23"/>
      <c r="L68" s="23"/>
    </row>
    <row r="69" spans="1:12" ht="15.75" x14ac:dyDescent="0.25">
      <c r="A69" s="66"/>
      <c r="B69" s="38">
        <v>2021</v>
      </c>
      <c r="C69" s="39" t="s">
        <v>144</v>
      </c>
      <c r="D69" s="40" t="s">
        <v>156</v>
      </c>
      <c r="E69" s="39" t="s">
        <v>144</v>
      </c>
      <c r="F69" s="39" t="s">
        <v>89</v>
      </c>
      <c r="G69" s="39" t="s">
        <v>248</v>
      </c>
      <c r="H69" s="23"/>
      <c r="I69" s="23"/>
      <c r="J69" s="23"/>
      <c r="K69" s="23"/>
      <c r="L69" s="23"/>
    </row>
    <row r="70" spans="1:12" ht="15.75" x14ac:dyDescent="0.25">
      <c r="A70" s="67"/>
      <c r="B70" s="38">
        <v>2022</v>
      </c>
      <c r="C70" s="39" t="s">
        <v>144</v>
      </c>
      <c r="D70" s="40" t="s">
        <v>156</v>
      </c>
      <c r="E70" s="39" t="s">
        <v>144</v>
      </c>
      <c r="F70" s="39" t="s">
        <v>153</v>
      </c>
      <c r="G70" s="39" t="s">
        <v>249</v>
      </c>
      <c r="H70" s="23"/>
      <c r="I70" s="23"/>
      <c r="J70" s="23"/>
      <c r="K70" s="23"/>
      <c r="L70" s="23"/>
    </row>
    <row r="71" spans="1:12" ht="15.75" x14ac:dyDescent="0.25">
      <c r="A71" s="65" t="s">
        <v>24</v>
      </c>
      <c r="B71" s="38">
        <v>2019</v>
      </c>
      <c r="C71" s="39" t="s">
        <v>250</v>
      </c>
      <c r="D71" s="40" t="s">
        <v>251</v>
      </c>
      <c r="E71" s="39" t="s">
        <v>250</v>
      </c>
      <c r="F71" s="39" t="s">
        <v>203</v>
      </c>
      <c r="G71" s="39" t="s">
        <v>219</v>
      </c>
      <c r="H71" s="23"/>
      <c r="I71" s="23"/>
      <c r="J71" s="23"/>
      <c r="K71" s="23"/>
      <c r="L71" s="23"/>
    </row>
    <row r="72" spans="1:12" ht="15.75" x14ac:dyDescent="0.25">
      <c r="A72" s="66"/>
      <c r="B72" s="38">
        <v>2020</v>
      </c>
      <c r="C72" s="39" t="s">
        <v>122</v>
      </c>
      <c r="D72" s="40" t="s">
        <v>166</v>
      </c>
      <c r="E72" s="39" t="s">
        <v>122</v>
      </c>
      <c r="F72" s="39" t="s">
        <v>169</v>
      </c>
      <c r="G72" s="39" t="s">
        <v>252</v>
      </c>
      <c r="H72" s="23"/>
      <c r="I72" s="23"/>
      <c r="J72" s="23"/>
      <c r="K72" s="23"/>
      <c r="L72" s="23"/>
    </row>
    <row r="73" spans="1:12" ht="15.75" x14ac:dyDescent="0.25">
      <c r="A73" s="66"/>
      <c r="B73" s="38">
        <v>2021</v>
      </c>
      <c r="C73" s="39" t="s">
        <v>253</v>
      </c>
      <c r="D73" s="40" t="s">
        <v>106</v>
      </c>
      <c r="E73" s="39" t="s">
        <v>253</v>
      </c>
      <c r="F73" s="40" t="s">
        <v>105</v>
      </c>
      <c r="G73" s="39">
        <v>0.67</v>
      </c>
      <c r="H73" s="23"/>
      <c r="I73" s="23"/>
      <c r="J73" s="23"/>
      <c r="K73" s="23"/>
      <c r="L73" s="23"/>
    </row>
    <row r="74" spans="1:12" ht="15.75" x14ac:dyDescent="0.25">
      <c r="A74" s="67"/>
      <c r="B74" s="38">
        <v>2022</v>
      </c>
      <c r="C74" s="39" t="s">
        <v>254</v>
      </c>
      <c r="D74" s="40" t="s">
        <v>106</v>
      </c>
      <c r="E74" s="39" t="s">
        <v>254</v>
      </c>
      <c r="F74" s="40" t="s">
        <v>105</v>
      </c>
      <c r="G74" s="39" t="s">
        <v>255</v>
      </c>
      <c r="H74" s="23"/>
      <c r="I74" s="23"/>
      <c r="J74" s="23"/>
      <c r="K74" s="23"/>
      <c r="L74" s="23"/>
    </row>
    <row r="75" spans="1:12" ht="15.75" x14ac:dyDescent="0.25">
      <c r="A75" s="65" t="s">
        <v>25</v>
      </c>
      <c r="B75" s="38">
        <v>2019</v>
      </c>
      <c r="C75" s="39" t="s">
        <v>98</v>
      </c>
      <c r="D75" s="40" t="s">
        <v>169</v>
      </c>
      <c r="E75" s="39" t="s">
        <v>98</v>
      </c>
      <c r="F75" s="40" t="s">
        <v>124</v>
      </c>
      <c r="G75" s="39" t="s">
        <v>84</v>
      </c>
      <c r="H75" s="23"/>
      <c r="I75" s="23"/>
      <c r="J75" s="23"/>
      <c r="K75" s="23"/>
      <c r="L75" s="23"/>
    </row>
    <row r="76" spans="1:12" ht="15.75" x14ac:dyDescent="0.25">
      <c r="A76" s="66"/>
      <c r="B76" s="38">
        <v>2020</v>
      </c>
      <c r="C76" s="39" t="s">
        <v>256</v>
      </c>
      <c r="D76" s="40" t="s">
        <v>84</v>
      </c>
      <c r="E76" s="39" t="s">
        <v>256</v>
      </c>
      <c r="F76" s="40" t="s">
        <v>87</v>
      </c>
      <c r="G76" s="40" t="s">
        <v>91</v>
      </c>
      <c r="H76" s="23"/>
      <c r="I76" s="23"/>
      <c r="J76" s="23"/>
      <c r="K76" s="23"/>
      <c r="L76" s="23"/>
    </row>
    <row r="77" spans="1:12" ht="15.75" x14ac:dyDescent="0.25">
      <c r="A77" s="66"/>
      <c r="B77" s="38">
        <v>2021</v>
      </c>
      <c r="C77" s="39" t="s">
        <v>257</v>
      </c>
      <c r="D77" s="40" t="s">
        <v>142</v>
      </c>
      <c r="E77" s="39" t="s">
        <v>257</v>
      </c>
      <c r="F77" s="40" t="s">
        <v>82</v>
      </c>
      <c r="G77" s="40" t="s">
        <v>258</v>
      </c>
      <c r="H77" s="23"/>
      <c r="I77" s="23"/>
      <c r="J77" s="23"/>
      <c r="K77" s="23"/>
      <c r="L77" s="23"/>
    </row>
    <row r="78" spans="1:12" ht="15.75" x14ac:dyDescent="0.25">
      <c r="A78" s="67"/>
      <c r="B78" s="38">
        <v>2022</v>
      </c>
      <c r="C78" s="39" t="s">
        <v>188</v>
      </c>
      <c r="D78" s="40" t="s">
        <v>232</v>
      </c>
      <c r="E78" s="39" t="s">
        <v>188</v>
      </c>
      <c r="F78" s="40" t="s">
        <v>223</v>
      </c>
      <c r="G78" s="40" t="s">
        <v>259</v>
      </c>
      <c r="H78" s="23"/>
      <c r="I78" s="23"/>
      <c r="J78" s="23"/>
      <c r="K78" s="23"/>
      <c r="L78" s="23"/>
    </row>
    <row r="79" spans="1:12" ht="15.75" x14ac:dyDescent="0.25">
      <c r="A79" s="65" t="s">
        <v>26</v>
      </c>
      <c r="B79" s="38">
        <v>2019</v>
      </c>
      <c r="C79" s="39" t="s">
        <v>260</v>
      </c>
      <c r="D79" s="40" t="s">
        <v>106</v>
      </c>
      <c r="E79" s="39" t="s">
        <v>260</v>
      </c>
      <c r="F79" s="40" t="s">
        <v>105</v>
      </c>
      <c r="G79" s="39" t="s">
        <v>261</v>
      </c>
      <c r="H79" s="23"/>
      <c r="I79" s="23"/>
      <c r="J79" s="23"/>
      <c r="K79" s="23"/>
      <c r="L79" s="23"/>
    </row>
    <row r="80" spans="1:12" ht="15.75" x14ac:dyDescent="0.25">
      <c r="A80" s="66"/>
      <c r="B80" s="38">
        <v>2020</v>
      </c>
      <c r="C80" s="39" t="s">
        <v>262</v>
      </c>
      <c r="D80" s="40" t="s">
        <v>142</v>
      </c>
      <c r="E80" s="39" t="s">
        <v>262</v>
      </c>
      <c r="F80" s="40" t="s">
        <v>82</v>
      </c>
      <c r="G80" s="39" t="s">
        <v>127</v>
      </c>
      <c r="H80" s="23"/>
      <c r="I80" s="23"/>
      <c r="J80" s="23"/>
      <c r="K80" s="23"/>
      <c r="L80" s="23"/>
    </row>
    <row r="81" spans="1:12" ht="15.75" x14ac:dyDescent="0.25">
      <c r="A81" s="66"/>
      <c r="B81" s="38">
        <v>2021</v>
      </c>
      <c r="C81" s="39" t="s">
        <v>263</v>
      </c>
      <c r="D81" s="40" t="s">
        <v>131</v>
      </c>
      <c r="E81" s="39" t="s">
        <v>263</v>
      </c>
      <c r="F81" s="40" t="s">
        <v>172</v>
      </c>
      <c r="G81" s="39" t="s">
        <v>223</v>
      </c>
      <c r="H81" s="23"/>
      <c r="I81" s="23"/>
      <c r="J81" s="23"/>
      <c r="K81" s="23"/>
      <c r="L81" s="23"/>
    </row>
    <row r="82" spans="1:12" ht="15.75" x14ac:dyDescent="0.25">
      <c r="A82" s="67"/>
      <c r="B82" s="38">
        <v>2022</v>
      </c>
      <c r="C82" s="39" t="s">
        <v>264</v>
      </c>
      <c r="D82" s="40" t="s">
        <v>251</v>
      </c>
      <c r="E82" s="39" t="s">
        <v>264</v>
      </c>
      <c r="F82" s="39" t="s">
        <v>198</v>
      </c>
      <c r="G82" s="39" t="s">
        <v>265</v>
      </c>
      <c r="H82" s="23"/>
      <c r="I82" s="23"/>
      <c r="J82" s="23"/>
      <c r="K82" s="23"/>
      <c r="L82" s="23"/>
    </row>
    <row r="83" spans="1:12" ht="15.75" x14ac:dyDescent="0.25">
      <c r="A83" s="65" t="s">
        <v>27</v>
      </c>
      <c r="B83" s="38">
        <v>2019</v>
      </c>
      <c r="C83" s="39" t="s">
        <v>266</v>
      </c>
      <c r="D83" s="40" t="s">
        <v>163</v>
      </c>
      <c r="E83" s="39" t="s">
        <v>266</v>
      </c>
      <c r="F83" s="39" t="s">
        <v>106</v>
      </c>
      <c r="G83" s="39" t="s">
        <v>265</v>
      </c>
      <c r="H83" s="23"/>
      <c r="I83" s="23"/>
      <c r="J83" s="23"/>
      <c r="K83" s="23"/>
      <c r="L83" s="23"/>
    </row>
    <row r="84" spans="1:12" ht="15.75" x14ac:dyDescent="0.25">
      <c r="A84" s="66"/>
      <c r="B84" s="38">
        <v>2020</v>
      </c>
      <c r="C84" s="39" t="s">
        <v>267</v>
      </c>
      <c r="D84" s="40" t="s">
        <v>103</v>
      </c>
      <c r="E84" s="39" t="s">
        <v>267</v>
      </c>
      <c r="F84" s="39" t="s">
        <v>88</v>
      </c>
      <c r="G84" s="39" t="s">
        <v>239</v>
      </c>
      <c r="H84" s="23"/>
      <c r="I84" s="23"/>
      <c r="J84" s="23"/>
      <c r="K84" s="23"/>
      <c r="L84" s="23"/>
    </row>
    <row r="85" spans="1:12" ht="15.75" x14ac:dyDescent="0.25">
      <c r="A85" s="66"/>
      <c r="B85" s="38">
        <v>2021</v>
      </c>
      <c r="C85" s="39" t="s">
        <v>268</v>
      </c>
      <c r="D85" s="40" t="s">
        <v>114</v>
      </c>
      <c r="E85" s="39" t="s">
        <v>268</v>
      </c>
      <c r="F85" s="40" t="s">
        <v>113</v>
      </c>
      <c r="G85" s="39" t="s">
        <v>175</v>
      </c>
      <c r="H85" s="23"/>
      <c r="I85" s="23"/>
      <c r="J85" s="23"/>
      <c r="K85" s="23"/>
      <c r="L85" s="23"/>
    </row>
    <row r="86" spans="1:12" ht="15.75" x14ac:dyDescent="0.25">
      <c r="A86" s="67"/>
      <c r="B86" s="38">
        <v>2022</v>
      </c>
      <c r="C86" s="39" t="s">
        <v>269</v>
      </c>
      <c r="D86" s="40" t="s">
        <v>89</v>
      </c>
      <c r="E86" s="39" t="s">
        <v>269</v>
      </c>
      <c r="F86" s="40" t="s">
        <v>94</v>
      </c>
      <c r="G86" s="39" t="s">
        <v>270</v>
      </c>
      <c r="H86" s="23"/>
      <c r="I86" s="23"/>
      <c r="J86" s="23"/>
      <c r="K86" s="23"/>
      <c r="L86" s="23"/>
    </row>
    <row r="87" spans="1:12" ht="15.75" x14ac:dyDescent="0.25">
      <c r="A87" s="65" t="s">
        <v>28</v>
      </c>
      <c r="B87" s="38">
        <v>2019</v>
      </c>
      <c r="C87" s="39" t="s">
        <v>271</v>
      </c>
      <c r="D87" s="40" t="s">
        <v>81</v>
      </c>
      <c r="E87" s="39" t="s">
        <v>271</v>
      </c>
      <c r="F87" s="40" t="s">
        <v>80</v>
      </c>
      <c r="G87" s="39" t="s">
        <v>203</v>
      </c>
      <c r="H87" s="23"/>
      <c r="I87" s="23"/>
      <c r="J87" s="23"/>
      <c r="K87" s="23"/>
      <c r="L87" s="23"/>
    </row>
    <row r="88" spans="1:12" ht="15.75" x14ac:dyDescent="0.25">
      <c r="A88" s="66"/>
      <c r="B88" s="38">
        <v>2020</v>
      </c>
      <c r="C88" s="39" t="s">
        <v>272</v>
      </c>
      <c r="D88" s="40" t="s">
        <v>169</v>
      </c>
      <c r="E88" s="39" t="s">
        <v>272</v>
      </c>
      <c r="F88" s="40" t="s">
        <v>83</v>
      </c>
      <c r="G88" s="40" t="s">
        <v>273</v>
      </c>
      <c r="H88" s="23"/>
      <c r="I88" s="23"/>
      <c r="J88" s="23"/>
      <c r="K88" s="23"/>
      <c r="L88" s="23"/>
    </row>
    <row r="89" spans="1:12" ht="15.75" x14ac:dyDescent="0.25">
      <c r="A89" s="66"/>
      <c r="B89" s="38">
        <v>2021</v>
      </c>
      <c r="C89" s="39" t="s">
        <v>274</v>
      </c>
      <c r="D89" s="40" t="s">
        <v>179</v>
      </c>
      <c r="E89" s="39" t="s">
        <v>274</v>
      </c>
      <c r="F89" s="40" t="s">
        <v>232</v>
      </c>
      <c r="G89" s="40" t="s">
        <v>275</v>
      </c>
      <c r="H89" s="23"/>
      <c r="I89" s="23"/>
      <c r="J89" s="23"/>
      <c r="K89" s="23"/>
      <c r="L89" s="23"/>
    </row>
    <row r="90" spans="1:12" ht="15.75" x14ac:dyDescent="0.25">
      <c r="A90" s="67"/>
      <c r="B90" s="38">
        <v>2022</v>
      </c>
      <c r="C90" s="39" t="s">
        <v>276</v>
      </c>
      <c r="D90" s="40" t="s">
        <v>277</v>
      </c>
      <c r="E90" s="39" t="s">
        <v>276</v>
      </c>
      <c r="F90" s="40" t="s">
        <v>278</v>
      </c>
      <c r="G90" s="40" t="s">
        <v>279</v>
      </c>
      <c r="H90" s="23"/>
      <c r="I90" s="23"/>
      <c r="J90" s="23"/>
      <c r="K90" s="23"/>
      <c r="L90" s="23"/>
    </row>
    <row r="91" spans="1:12" ht="15.75" x14ac:dyDescent="0.25">
      <c r="A91" s="65" t="s">
        <v>29</v>
      </c>
      <c r="B91" s="38">
        <v>2019</v>
      </c>
      <c r="C91" s="39" t="s">
        <v>157</v>
      </c>
      <c r="D91" s="40" t="s">
        <v>80</v>
      </c>
      <c r="E91" s="39" t="s">
        <v>157</v>
      </c>
      <c r="F91" s="40" t="s">
        <v>121</v>
      </c>
      <c r="G91" s="40" t="s">
        <v>280</v>
      </c>
      <c r="H91" s="23"/>
      <c r="I91" s="23"/>
      <c r="J91" s="23"/>
      <c r="K91" s="23"/>
      <c r="L91" s="23"/>
    </row>
    <row r="92" spans="1:12" ht="15.75" x14ac:dyDescent="0.25">
      <c r="A92" s="66"/>
      <c r="B92" s="38">
        <v>2020</v>
      </c>
      <c r="C92" s="39" t="s">
        <v>168</v>
      </c>
      <c r="D92" s="40" t="s">
        <v>86</v>
      </c>
      <c r="E92" s="39" t="s">
        <v>168</v>
      </c>
      <c r="F92" s="40" t="s">
        <v>105</v>
      </c>
      <c r="G92" s="40" t="s">
        <v>281</v>
      </c>
      <c r="H92" s="23"/>
      <c r="I92" s="23"/>
      <c r="J92" s="23"/>
      <c r="K92" s="23"/>
      <c r="L92" s="23"/>
    </row>
    <row r="93" spans="1:12" ht="15.75" x14ac:dyDescent="0.25">
      <c r="A93" s="66"/>
      <c r="B93" s="38">
        <v>2021</v>
      </c>
      <c r="C93" s="39" t="s">
        <v>221</v>
      </c>
      <c r="D93" s="40" t="s">
        <v>282</v>
      </c>
      <c r="E93" s="39" t="s">
        <v>221</v>
      </c>
      <c r="F93" s="39" t="s">
        <v>153</v>
      </c>
      <c r="G93" s="39" t="s">
        <v>283</v>
      </c>
      <c r="H93" s="23"/>
      <c r="I93" s="23"/>
      <c r="J93" s="23"/>
      <c r="K93" s="23"/>
      <c r="L93" s="23"/>
    </row>
    <row r="94" spans="1:12" ht="15.75" x14ac:dyDescent="0.25">
      <c r="A94" s="67"/>
      <c r="B94" s="38">
        <v>2022</v>
      </c>
      <c r="C94" s="39" t="s">
        <v>284</v>
      </c>
      <c r="D94" s="40" t="s">
        <v>156</v>
      </c>
      <c r="E94" s="39" t="s">
        <v>284</v>
      </c>
      <c r="F94" s="39" t="s">
        <v>89</v>
      </c>
      <c r="G94" s="39" t="s">
        <v>285</v>
      </c>
      <c r="H94" s="23"/>
      <c r="I94" s="23"/>
      <c r="J94" s="23"/>
      <c r="K94" s="23"/>
      <c r="L94" s="23"/>
    </row>
    <row r="95" spans="1:12" ht="15.75" x14ac:dyDescent="0.25">
      <c r="A95" s="65" t="s">
        <v>30</v>
      </c>
      <c r="B95" s="38">
        <v>2019</v>
      </c>
      <c r="C95" s="39" t="s">
        <v>286</v>
      </c>
      <c r="D95" s="40" t="s">
        <v>287</v>
      </c>
      <c r="E95" s="39" t="s">
        <v>286</v>
      </c>
      <c r="F95" s="39" t="s">
        <v>288</v>
      </c>
      <c r="G95" s="39" t="s">
        <v>81</v>
      </c>
      <c r="H95" s="23"/>
      <c r="I95" s="23"/>
      <c r="J95" s="23"/>
      <c r="K95" s="23"/>
      <c r="L95" s="23"/>
    </row>
    <row r="96" spans="1:12" ht="15.75" x14ac:dyDescent="0.25">
      <c r="A96" s="66"/>
      <c r="B96" s="38">
        <v>2020</v>
      </c>
      <c r="C96" s="39" t="s">
        <v>289</v>
      </c>
      <c r="D96" s="40" t="s">
        <v>153</v>
      </c>
      <c r="E96" s="39" t="s">
        <v>289</v>
      </c>
      <c r="F96" s="40" t="s">
        <v>87</v>
      </c>
      <c r="G96" s="39" t="s">
        <v>154</v>
      </c>
      <c r="H96" s="23"/>
      <c r="I96" s="23"/>
      <c r="J96" s="23"/>
      <c r="K96" s="23"/>
      <c r="L96" s="23"/>
    </row>
    <row r="97" spans="1:12" ht="15.75" x14ac:dyDescent="0.25">
      <c r="A97" s="66"/>
      <c r="B97" s="38">
        <v>2021</v>
      </c>
      <c r="C97" s="39" t="s">
        <v>290</v>
      </c>
      <c r="D97" s="40" t="s">
        <v>140</v>
      </c>
      <c r="E97" s="39" t="s">
        <v>290</v>
      </c>
      <c r="F97" s="40" t="s">
        <v>93</v>
      </c>
      <c r="G97" s="40" t="s">
        <v>291</v>
      </c>
      <c r="H97" s="23"/>
      <c r="I97" s="23"/>
      <c r="J97" s="23"/>
      <c r="K97" s="23"/>
      <c r="L97" s="23"/>
    </row>
    <row r="98" spans="1:12" ht="15.75" x14ac:dyDescent="0.25">
      <c r="A98" s="67"/>
      <c r="B98" s="38">
        <v>2022</v>
      </c>
      <c r="C98" s="39" t="s">
        <v>292</v>
      </c>
      <c r="D98" s="40" t="s">
        <v>156</v>
      </c>
      <c r="E98" s="39" t="s">
        <v>292</v>
      </c>
      <c r="F98" s="39" t="s">
        <v>153</v>
      </c>
      <c r="G98" s="40" t="s">
        <v>180</v>
      </c>
      <c r="H98" s="23"/>
      <c r="I98" s="23"/>
      <c r="J98" s="23"/>
      <c r="K98" s="23"/>
      <c r="L98" s="23"/>
    </row>
    <row r="99" spans="1:12" ht="15.75" x14ac:dyDescent="0.25">
      <c r="A99" s="65" t="s">
        <v>31</v>
      </c>
      <c r="B99" s="38">
        <v>2019</v>
      </c>
      <c r="C99" s="39" t="s">
        <v>293</v>
      </c>
      <c r="D99" s="40" t="s">
        <v>80</v>
      </c>
      <c r="E99" s="39" t="s">
        <v>293</v>
      </c>
      <c r="F99" s="39" t="s">
        <v>125</v>
      </c>
      <c r="G99" s="40" t="s">
        <v>294</v>
      </c>
      <c r="H99" s="23"/>
      <c r="I99" s="23"/>
      <c r="J99" s="23"/>
      <c r="K99" s="23"/>
      <c r="L99" s="23"/>
    </row>
    <row r="100" spans="1:12" ht="15.75" x14ac:dyDescent="0.25">
      <c r="A100" s="66"/>
      <c r="B100" s="38">
        <v>2020</v>
      </c>
      <c r="C100" s="39" t="s">
        <v>292</v>
      </c>
      <c r="D100" s="40" t="s">
        <v>87</v>
      </c>
      <c r="E100" s="39" t="s">
        <v>292</v>
      </c>
      <c r="F100" s="39" t="s">
        <v>84</v>
      </c>
      <c r="G100" s="40" t="s">
        <v>295</v>
      </c>
      <c r="H100" s="23"/>
      <c r="I100" s="23"/>
      <c r="J100" s="23"/>
      <c r="K100" s="23"/>
      <c r="L100" s="23"/>
    </row>
    <row r="101" spans="1:12" ht="15.75" x14ac:dyDescent="0.25">
      <c r="A101" s="66"/>
      <c r="B101" s="38">
        <v>2021</v>
      </c>
      <c r="C101" s="39" t="s">
        <v>296</v>
      </c>
      <c r="D101" s="40" t="s">
        <v>142</v>
      </c>
      <c r="E101" s="39" t="s">
        <v>296</v>
      </c>
      <c r="F101" s="39" t="s">
        <v>82</v>
      </c>
      <c r="G101" s="40" t="s">
        <v>297</v>
      </c>
      <c r="H101" s="23"/>
      <c r="I101" s="23"/>
      <c r="J101" s="23"/>
      <c r="K101" s="23"/>
      <c r="L101" s="23"/>
    </row>
    <row r="102" spans="1:12" ht="15.75" x14ac:dyDescent="0.25">
      <c r="A102" s="67"/>
      <c r="B102" s="38">
        <v>2022</v>
      </c>
      <c r="C102" s="39" t="s">
        <v>298</v>
      </c>
      <c r="D102" s="40" t="s">
        <v>113</v>
      </c>
      <c r="E102" s="39" t="s">
        <v>298</v>
      </c>
      <c r="F102" s="39" t="s">
        <v>89</v>
      </c>
      <c r="G102" s="40" t="s">
        <v>255</v>
      </c>
      <c r="H102" s="23"/>
      <c r="I102" s="23"/>
      <c r="J102" s="23"/>
      <c r="K102" s="23"/>
      <c r="L102" s="23"/>
    </row>
    <row r="103" spans="1:12" ht="15.75" x14ac:dyDescent="0.25">
      <c r="A103" s="65" t="s">
        <v>32</v>
      </c>
      <c r="B103" s="38">
        <v>2019</v>
      </c>
      <c r="C103" s="39" t="s">
        <v>299</v>
      </c>
      <c r="D103" s="40" t="s">
        <v>105</v>
      </c>
      <c r="E103" s="39" t="s">
        <v>299</v>
      </c>
      <c r="F103" s="39" t="s">
        <v>117</v>
      </c>
      <c r="G103" s="40" t="s">
        <v>300</v>
      </c>
      <c r="H103" s="23"/>
      <c r="I103" s="23"/>
      <c r="J103" s="23"/>
      <c r="K103" s="23"/>
      <c r="L103" s="23"/>
    </row>
    <row r="104" spans="1:12" ht="15.75" x14ac:dyDescent="0.25">
      <c r="A104" s="66"/>
      <c r="B104" s="38">
        <v>2020</v>
      </c>
      <c r="C104" s="39" t="s">
        <v>301</v>
      </c>
      <c r="D104" s="40" t="s">
        <v>163</v>
      </c>
      <c r="E104" s="39" t="s">
        <v>301</v>
      </c>
      <c r="F104" s="39" t="s">
        <v>117</v>
      </c>
      <c r="G104" s="39" t="s">
        <v>302</v>
      </c>
      <c r="H104" s="23"/>
      <c r="I104" s="23"/>
      <c r="J104" s="23"/>
      <c r="K104" s="23"/>
      <c r="L104" s="23"/>
    </row>
    <row r="105" spans="1:12" ht="15.75" x14ac:dyDescent="0.25">
      <c r="A105" s="66"/>
      <c r="B105" s="38">
        <v>2021</v>
      </c>
      <c r="C105" s="39" t="s">
        <v>303</v>
      </c>
      <c r="D105" s="40" t="s">
        <v>83</v>
      </c>
      <c r="E105" s="39" t="s">
        <v>303</v>
      </c>
      <c r="F105" s="39" t="s">
        <v>86</v>
      </c>
      <c r="G105" s="39" t="s">
        <v>304</v>
      </c>
      <c r="H105" s="23"/>
      <c r="I105" s="23"/>
      <c r="J105" s="23"/>
      <c r="K105" s="23"/>
      <c r="L105" s="23"/>
    </row>
    <row r="106" spans="1:12" ht="15.75" x14ac:dyDescent="0.25">
      <c r="A106" s="67"/>
      <c r="B106" s="38">
        <v>2022</v>
      </c>
      <c r="C106" s="39" t="s">
        <v>128</v>
      </c>
      <c r="D106" s="40" t="s">
        <v>163</v>
      </c>
      <c r="E106" s="39" t="s">
        <v>128</v>
      </c>
      <c r="F106" s="39" t="s">
        <v>106</v>
      </c>
      <c r="G106" s="39" t="s">
        <v>305</v>
      </c>
      <c r="H106" s="23"/>
      <c r="I106" s="23"/>
      <c r="J106" s="23"/>
      <c r="K106" s="23"/>
      <c r="L106" s="23"/>
    </row>
    <row r="107" spans="1:12" ht="15.75" x14ac:dyDescent="0.25">
      <c r="A107" s="65" t="s">
        <v>33</v>
      </c>
      <c r="B107" s="38">
        <v>2019</v>
      </c>
      <c r="C107" s="39" t="s">
        <v>306</v>
      </c>
      <c r="D107" s="40" t="s">
        <v>93</v>
      </c>
      <c r="E107" s="39" t="s">
        <v>306</v>
      </c>
      <c r="F107" s="39" t="s">
        <v>140</v>
      </c>
      <c r="G107" s="39" t="s">
        <v>228</v>
      </c>
      <c r="H107" s="23"/>
      <c r="I107" s="23"/>
      <c r="J107" s="23"/>
      <c r="K107" s="23"/>
      <c r="L107" s="23"/>
    </row>
    <row r="108" spans="1:12" ht="15.75" x14ac:dyDescent="0.25">
      <c r="A108" s="66"/>
      <c r="B108" s="38">
        <v>2020</v>
      </c>
      <c r="C108" s="39" t="s">
        <v>307</v>
      </c>
      <c r="D108" s="40" t="s">
        <v>105</v>
      </c>
      <c r="E108" s="39" t="s">
        <v>307</v>
      </c>
      <c r="F108" s="39" t="s">
        <v>117</v>
      </c>
      <c r="G108" s="39" t="s">
        <v>308</v>
      </c>
      <c r="H108" s="23"/>
      <c r="I108" s="23"/>
      <c r="J108" s="23"/>
      <c r="K108" s="23"/>
      <c r="L108" s="23"/>
    </row>
    <row r="109" spans="1:12" ht="15.75" x14ac:dyDescent="0.25">
      <c r="A109" s="66"/>
      <c r="B109" s="38">
        <v>2021</v>
      </c>
      <c r="C109" s="39" t="s">
        <v>176</v>
      </c>
      <c r="D109" s="40" t="s">
        <v>103</v>
      </c>
      <c r="E109" s="39" t="s">
        <v>176</v>
      </c>
      <c r="F109" s="39" t="s">
        <v>88</v>
      </c>
      <c r="G109" s="39" t="s">
        <v>245</v>
      </c>
      <c r="H109" s="23"/>
      <c r="I109" s="23"/>
      <c r="J109" s="23"/>
      <c r="K109" s="23"/>
      <c r="L109" s="23"/>
    </row>
    <row r="110" spans="1:12" ht="15.75" x14ac:dyDescent="0.25">
      <c r="A110" s="67"/>
      <c r="B110" s="38">
        <v>2022</v>
      </c>
      <c r="C110" s="39" t="s">
        <v>254</v>
      </c>
      <c r="D110" s="40" t="s">
        <v>163</v>
      </c>
      <c r="E110" s="39" t="s">
        <v>254</v>
      </c>
      <c r="F110" s="39" t="s">
        <v>117</v>
      </c>
      <c r="G110" s="39" t="s">
        <v>100</v>
      </c>
      <c r="H110" s="23"/>
      <c r="I110" s="23"/>
      <c r="J110" s="23"/>
      <c r="K110" s="23"/>
      <c r="L110" s="23"/>
    </row>
    <row r="111" spans="1:12" ht="15.75" x14ac:dyDescent="0.25">
      <c r="A111" s="65" t="s">
        <v>40</v>
      </c>
      <c r="B111" s="70">
        <v>2019</v>
      </c>
      <c r="C111" s="39" t="s">
        <v>191</v>
      </c>
      <c r="D111" s="43" t="s">
        <v>153</v>
      </c>
      <c r="E111" s="39" t="s">
        <v>191</v>
      </c>
      <c r="F111" s="40" t="s">
        <v>156</v>
      </c>
      <c r="G111" s="40" t="s">
        <v>309</v>
      </c>
      <c r="H111" s="23"/>
      <c r="I111" s="23"/>
      <c r="J111" s="23"/>
      <c r="K111" s="23"/>
      <c r="L111" s="23"/>
    </row>
    <row r="112" spans="1:12" ht="15.75" x14ac:dyDescent="0.25">
      <c r="A112" s="66"/>
      <c r="B112" s="38">
        <v>2020</v>
      </c>
      <c r="C112" s="39" t="s">
        <v>110</v>
      </c>
      <c r="D112" s="40" t="s">
        <v>113</v>
      </c>
      <c r="E112" s="39" t="s">
        <v>110</v>
      </c>
      <c r="F112" s="40" t="s">
        <v>114</v>
      </c>
      <c r="G112" s="40" t="s">
        <v>310</v>
      </c>
      <c r="H112" s="23"/>
      <c r="I112" s="23"/>
      <c r="J112" s="23"/>
      <c r="K112" s="23"/>
      <c r="L112" s="23"/>
    </row>
    <row r="113" spans="1:12" ht="15.75" x14ac:dyDescent="0.25">
      <c r="A113" s="66"/>
      <c r="B113" s="38">
        <v>2021</v>
      </c>
      <c r="C113" s="39" t="s">
        <v>311</v>
      </c>
      <c r="D113" s="40" t="s">
        <v>86</v>
      </c>
      <c r="E113" s="39" t="s">
        <v>311</v>
      </c>
      <c r="F113" s="40" t="s">
        <v>87</v>
      </c>
      <c r="G113" s="40" t="s">
        <v>312</v>
      </c>
      <c r="H113" s="23"/>
      <c r="I113" s="23"/>
      <c r="J113" s="23"/>
      <c r="K113" s="23"/>
      <c r="L113" s="23"/>
    </row>
    <row r="114" spans="1:12" ht="15.75" x14ac:dyDescent="0.25">
      <c r="A114" s="67"/>
      <c r="B114" s="38">
        <v>2022</v>
      </c>
      <c r="C114" s="39" t="s">
        <v>313</v>
      </c>
      <c r="D114" s="40" t="s">
        <v>113</v>
      </c>
      <c r="E114" s="39" t="s">
        <v>313</v>
      </c>
      <c r="F114" s="39" t="s">
        <v>89</v>
      </c>
      <c r="G114" s="39" t="s">
        <v>168</v>
      </c>
      <c r="H114" s="23"/>
      <c r="I114" s="23"/>
      <c r="J114" s="23"/>
      <c r="K114" s="23"/>
      <c r="L114" s="23"/>
    </row>
    <row r="115" spans="1:12" ht="15.75" x14ac:dyDescent="0.25">
      <c r="A115" s="65" t="s">
        <v>34</v>
      </c>
      <c r="B115" s="38">
        <v>2019</v>
      </c>
      <c r="C115" s="39" t="s">
        <v>314</v>
      </c>
      <c r="D115" s="40" t="s">
        <v>94</v>
      </c>
      <c r="E115" s="39" t="s">
        <v>314</v>
      </c>
      <c r="F115" s="39" t="s">
        <v>89</v>
      </c>
      <c r="G115" s="39" t="s">
        <v>315</v>
      </c>
      <c r="H115" s="23"/>
      <c r="I115" s="23"/>
      <c r="J115" s="23"/>
      <c r="K115" s="23"/>
      <c r="L115" s="23"/>
    </row>
    <row r="116" spans="1:12" ht="15.75" x14ac:dyDescent="0.25">
      <c r="A116" s="66"/>
      <c r="B116" s="38">
        <v>2020</v>
      </c>
      <c r="C116" s="39" t="s">
        <v>316</v>
      </c>
      <c r="D116" s="40" t="s">
        <v>163</v>
      </c>
      <c r="E116" s="39" t="s">
        <v>316</v>
      </c>
      <c r="F116" s="39" t="s">
        <v>117</v>
      </c>
      <c r="G116" s="39" t="s">
        <v>317</v>
      </c>
      <c r="H116" s="23"/>
      <c r="I116" s="23"/>
      <c r="J116" s="23"/>
      <c r="K116" s="23"/>
      <c r="L116" s="23"/>
    </row>
    <row r="117" spans="1:12" ht="15.75" x14ac:dyDescent="0.25">
      <c r="A117" s="66"/>
      <c r="B117" s="38">
        <v>2021</v>
      </c>
      <c r="C117" s="39" t="s">
        <v>318</v>
      </c>
      <c r="D117" s="40" t="s">
        <v>93</v>
      </c>
      <c r="E117" s="39" t="s">
        <v>318</v>
      </c>
      <c r="F117" s="39" t="s">
        <v>86</v>
      </c>
      <c r="G117" s="39" t="s">
        <v>319</v>
      </c>
      <c r="H117" s="23"/>
      <c r="I117" s="23"/>
      <c r="J117" s="23"/>
      <c r="K117" s="23"/>
      <c r="L117" s="23"/>
    </row>
    <row r="118" spans="1:12" ht="15.75" x14ac:dyDescent="0.25">
      <c r="A118" s="67"/>
      <c r="B118" s="38">
        <v>2022</v>
      </c>
      <c r="C118" s="39" t="s">
        <v>237</v>
      </c>
      <c r="D118" s="40" t="s">
        <v>106</v>
      </c>
      <c r="E118" s="39" t="s">
        <v>237</v>
      </c>
      <c r="F118" s="40" t="s">
        <v>93</v>
      </c>
      <c r="G118" s="39" t="s">
        <v>320</v>
      </c>
      <c r="H118" s="23"/>
      <c r="I118" s="23"/>
      <c r="J118" s="23"/>
      <c r="K118" s="23"/>
      <c r="L118" s="23"/>
    </row>
    <row r="119" spans="1:12" ht="15.75" x14ac:dyDescent="0.25">
      <c r="A119" s="65" t="s">
        <v>35</v>
      </c>
      <c r="B119" s="38">
        <v>2019</v>
      </c>
      <c r="C119" s="39" t="s">
        <v>321</v>
      </c>
      <c r="D119" s="40" t="s">
        <v>113</v>
      </c>
      <c r="E119" s="39" t="s">
        <v>321</v>
      </c>
      <c r="F119" s="39" t="s">
        <v>89</v>
      </c>
      <c r="G119" s="39" t="s">
        <v>322</v>
      </c>
      <c r="H119" s="23"/>
      <c r="I119" s="23"/>
      <c r="J119" s="23"/>
      <c r="K119" s="23"/>
      <c r="L119" s="23"/>
    </row>
    <row r="120" spans="1:12" ht="15.75" x14ac:dyDescent="0.25">
      <c r="A120" s="66"/>
      <c r="B120" s="38">
        <v>2020</v>
      </c>
      <c r="C120" s="39" t="s">
        <v>323</v>
      </c>
      <c r="D120" s="40" t="s">
        <v>124</v>
      </c>
      <c r="E120" s="39" t="s">
        <v>323</v>
      </c>
      <c r="F120" s="39" t="s">
        <v>88</v>
      </c>
      <c r="G120" s="39" t="s">
        <v>249</v>
      </c>
      <c r="H120" s="23"/>
      <c r="I120" s="23"/>
      <c r="J120" s="23"/>
      <c r="K120" s="23"/>
      <c r="L120" s="23"/>
    </row>
    <row r="121" spans="1:12" ht="15.75" x14ac:dyDescent="0.25">
      <c r="A121" s="66"/>
      <c r="B121" s="38">
        <v>2021</v>
      </c>
      <c r="C121" s="39" t="s">
        <v>324</v>
      </c>
      <c r="D121" s="40" t="s">
        <v>113</v>
      </c>
      <c r="E121" s="39" t="s">
        <v>324</v>
      </c>
      <c r="F121" s="39" t="s">
        <v>114</v>
      </c>
      <c r="G121" s="39" t="s">
        <v>217</v>
      </c>
      <c r="H121" s="23"/>
      <c r="I121" s="23"/>
      <c r="J121" s="23"/>
      <c r="K121" s="23"/>
      <c r="L121" s="23"/>
    </row>
    <row r="122" spans="1:12" ht="15.75" x14ac:dyDescent="0.25">
      <c r="A122" s="67"/>
      <c r="B122" s="38">
        <v>2022</v>
      </c>
      <c r="C122" s="39" t="s">
        <v>325</v>
      </c>
      <c r="D122" s="40" t="s">
        <v>94</v>
      </c>
      <c r="E122" s="39" t="s">
        <v>325</v>
      </c>
      <c r="F122" s="39" t="s">
        <v>89</v>
      </c>
      <c r="G122" s="39" t="s">
        <v>209</v>
      </c>
      <c r="H122" s="23"/>
      <c r="I122" s="23"/>
      <c r="J122" s="23"/>
      <c r="K122" s="23"/>
      <c r="L122" s="23"/>
    </row>
    <row r="123" spans="1:12" ht="15.75" x14ac:dyDescent="0.25">
      <c r="A123" s="65" t="s">
        <v>36</v>
      </c>
      <c r="B123" s="38">
        <v>2019</v>
      </c>
      <c r="C123" s="39" t="s">
        <v>326</v>
      </c>
      <c r="D123" s="40" t="s">
        <v>94</v>
      </c>
      <c r="E123" s="39" t="s">
        <v>326</v>
      </c>
      <c r="F123" s="39" t="s">
        <v>89</v>
      </c>
      <c r="G123" s="39" t="s">
        <v>193</v>
      </c>
      <c r="H123" s="23"/>
      <c r="I123" s="23"/>
      <c r="J123" s="23"/>
      <c r="K123" s="23"/>
      <c r="L123" s="23"/>
    </row>
    <row r="124" spans="1:12" ht="15.75" x14ac:dyDescent="0.25">
      <c r="A124" s="66"/>
      <c r="B124" s="38">
        <v>2020</v>
      </c>
      <c r="C124" s="39" t="s">
        <v>327</v>
      </c>
      <c r="D124" s="40" t="s">
        <v>94</v>
      </c>
      <c r="E124" s="39" t="s">
        <v>327</v>
      </c>
      <c r="F124" s="39" t="s">
        <v>89</v>
      </c>
      <c r="G124" s="39" t="s">
        <v>328</v>
      </c>
      <c r="H124" s="23"/>
      <c r="I124" s="23"/>
      <c r="J124" s="23"/>
      <c r="K124" s="23"/>
      <c r="L124" s="23"/>
    </row>
    <row r="125" spans="1:12" ht="15.75" x14ac:dyDescent="0.25">
      <c r="A125" s="66"/>
      <c r="B125" s="38">
        <v>2021</v>
      </c>
      <c r="C125" s="39" t="s">
        <v>329</v>
      </c>
      <c r="D125" s="40" t="s">
        <v>94</v>
      </c>
      <c r="E125" s="39" t="s">
        <v>329</v>
      </c>
      <c r="F125" s="39" t="s">
        <v>89</v>
      </c>
      <c r="G125" s="39" t="s">
        <v>92</v>
      </c>
      <c r="H125" s="23"/>
      <c r="I125" s="23"/>
      <c r="J125" s="23"/>
      <c r="K125" s="23"/>
      <c r="L125" s="23"/>
    </row>
    <row r="126" spans="1:12" ht="15.75" x14ac:dyDescent="0.25">
      <c r="A126" s="67"/>
      <c r="B126" s="38">
        <v>2022</v>
      </c>
      <c r="C126" s="39" t="s">
        <v>330</v>
      </c>
      <c r="D126" s="40" t="s">
        <v>82</v>
      </c>
      <c r="E126" s="39" t="s">
        <v>330</v>
      </c>
      <c r="F126" s="40" t="s">
        <v>142</v>
      </c>
      <c r="G126" s="39" t="s">
        <v>196</v>
      </c>
      <c r="H126" s="23"/>
      <c r="I126" s="23"/>
      <c r="J126" s="23"/>
      <c r="K126" s="23"/>
      <c r="L126" s="23"/>
    </row>
    <row r="127" spans="1:12" ht="15.75" x14ac:dyDescent="0.25">
      <c r="A127" s="26"/>
      <c r="B127" s="27"/>
      <c r="C127" s="26"/>
      <c r="D127" s="26"/>
      <c r="E127" s="26"/>
      <c r="H127" s="23"/>
      <c r="I127" s="23"/>
      <c r="J127" s="23"/>
      <c r="K127" s="23"/>
      <c r="L127" s="23"/>
    </row>
    <row r="128" spans="1:12" ht="15.75" x14ac:dyDescent="0.25">
      <c r="A128" s="26"/>
      <c r="B128" s="27"/>
      <c r="C128" s="26"/>
      <c r="D128" s="26"/>
      <c r="E128" s="26"/>
      <c r="H128" s="23"/>
      <c r="I128" s="23"/>
      <c r="J128" s="23"/>
      <c r="K128" s="23"/>
      <c r="L128" s="23"/>
    </row>
    <row r="129" spans="1:12" ht="15.75" x14ac:dyDescent="0.25">
      <c r="A129" s="26"/>
      <c r="B129" s="27"/>
      <c r="C129" s="26"/>
      <c r="D129" s="26"/>
      <c r="E129" s="26"/>
      <c r="H129" s="23"/>
      <c r="I129" s="23"/>
      <c r="J129" s="23"/>
      <c r="K129" s="23"/>
      <c r="L129" s="23"/>
    </row>
    <row r="130" spans="1:12" ht="15.75" x14ac:dyDescent="0.25">
      <c r="A130" s="26"/>
      <c r="B130" s="27"/>
      <c r="C130" s="26"/>
      <c r="D130" s="26"/>
      <c r="E130" s="26"/>
      <c r="H130" s="23"/>
      <c r="I130" s="23"/>
      <c r="J130" s="23"/>
      <c r="K130" s="23"/>
      <c r="L130" s="23"/>
    </row>
    <row r="131" spans="1:12" ht="15.75" x14ac:dyDescent="0.25">
      <c r="A131" s="26"/>
      <c r="B131" s="27"/>
      <c r="C131" s="26"/>
      <c r="D131" s="26"/>
      <c r="E131" s="26"/>
      <c r="H131" s="23"/>
      <c r="I131" s="23"/>
      <c r="J131" s="23"/>
      <c r="K131" s="23"/>
      <c r="L131" s="23"/>
    </row>
    <row r="132" spans="1:12" ht="15.75" x14ac:dyDescent="0.25">
      <c r="A132" s="26"/>
      <c r="B132" s="27"/>
      <c r="C132" s="26"/>
      <c r="D132" s="26"/>
      <c r="E132" s="26"/>
      <c r="H132" s="23"/>
      <c r="I132" s="23"/>
      <c r="J132" s="23"/>
      <c r="K132" s="23"/>
      <c r="L132" s="23"/>
    </row>
    <row r="133" spans="1:12" ht="15.75" x14ac:dyDescent="0.25">
      <c r="A133" s="26"/>
      <c r="B133" s="27"/>
      <c r="C133" s="26"/>
      <c r="D133" s="26"/>
      <c r="E133" s="26"/>
      <c r="H133" s="23"/>
      <c r="I133" s="23"/>
      <c r="J133" s="23"/>
      <c r="K133" s="23"/>
      <c r="L133" s="23"/>
    </row>
    <row r="134" spans="1:12" ht="15.75" x14ac:dyDescent="0.25">
      <c r="A134" s="26"/>
      <c r="B134" s="27"/>
      <c r="C134" s="26"/>
      <c r="D134" s="27"/>
      <c r="E134" s="26"/>
      <c r="H134" s="23"/>
      <c r="I134" s="23"/>
      <c r="J134" s="23"/>
      <c r="K134" s="23"/>
      <c r="L134" s="23"/>
    </row>
  </sheetData>
  <mergeCells count="38">
    <mergeCell ref="A119:A122"/>
    <mergeCell ref="A123:A126"/>
    <mergeCell ref="A95:A98"/>
    <mergeCell ref="A99:A102"/>
    <mergeCell ref="A103:A106"/>
    <mergeCell ref="A107:A110"/>
    <mergeCell ref="A111:A114"/>
    <mergeCell ref="A115:A118"/>
    <mergeCell ref="A35:A38"/>
    <mergeCell ref="A39:A42"/>
    <mergeCell ref="A91:A94"/>
    <mergeCell ref="A47:A50"/>
    <mergeCell ref="A51:A54"/>
    <mergeCell ref="A55:A58"/>
    <mergeCell ref="A59:A62"/>
    <mergeCell ref="A63:A66"/>
    <mergeCell ref="A67:A70"/>
    <mergeCell ref="A71:A74"/>
    <mergeCell ref="A75:A78"/>
    <mergeCell ref="A79:A82"/>
    <mergeCell ref="A83:A86"/>
    <mergeCell ref="A87:A90"/>
    <mergeCell ref="A43:A46"/>
    <mergeCell ref="B1:B2"/>
    <mergeCell ref="C1:C2"/>
    <mergeCell ref="D1:D2"/>
    <mergeCell ref="G1:G2"/>
    <mergeCell ref="A3:A6"/>
    <mergeCell ref="E1:E2"/>
    <mergeCell ref="F1:F2"/>
    <mergeCell ref="A23:A26"/>
    <mergeCell ref="A27:A30"/>
    <mergeCell ref="A31:A34"/>
    <mergeCell ref="A19:A22"/>
    <mergeCell ref="A1:A2"/>
    <mergeCell ref="A7:A10"/>
    <mergeCell ref="A11:A14"/>
    <mergeCell ref="A15:A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OE</vt:lpstr>
      <vt:lpstr>EM</vt:lpstr>
      <vt:lpstr>IOS</vt:lpstr>
      <vt:lpstr>PDN</vt:lpstr>
      <vt:lpstr>KL</vt:lpstr>
      <vt:lpstr> TABULASI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2024-05-22T04:22:46Z</dcterms:created>
  <dcterms:modified xsi:type="dcterms:W3CDTF">2024-09-16T04:56:23Z</dcterms:modified>
</cp:coreProperties>
</file>