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MT 7\SKRIPSI\UPLOAD ARTIKEL\"/>
    </mc:Choice>
  </mc:AlternateContent>
  <xr:revisionPtr revIDLastSave="0" documentId="8_{FA50C3F8-700D-4457-97B3-30A912F6EE67}" xr6:coauthVersionLast="36" xr6:coauthVersionMax="36" xr10:uidLastSave="{00000000-0000-0000-0000-000000000000}"/>
  <bookViews>
    <workbookView xWindow="-120" yWindow="-120" windowWidth="20730" windowHeight="11040" firstSheet="1" activeTab="3" xr2:uid="{F51F018D-54EA-4C89-B80E-F0ABA85CA494}"/>
  </bookViews>
  <sheets>
    <sheet name="Data Kelebihan Bahan Baku (2)" sheetId="2" r:id="rId1"/>
    <sheet name="DATA SKRIPSI " sheetId="5" r:id="rId2"/>
    <sheet name="Sheet1" sheetId="6" r:id="rId3"/>
    <sheet name="Sheet3" sheetId="8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8" l="1"/>
  <c r="B50" i="8"/>
  <c r="C50" i="8"/>
  <c r="E39" i="8"/>
  <c r="E40" i="8"/>
  <c r="E41" i="8"/>
  <c r="E42" i="8"/>
  <c r="E43" i="8"/>
  <c r="E44" i="8"/>
  <c r="E45" i="8"/>
  <c r="E46" i="8"/>
  <c r="E47" i="8"/>
  <c r="E48" i="8"/>
  <c r="E49" i="8"/>
  <c r="E38" i="8"/>
  <c r="O2" i="8"/>
  <c r="B33" i="8"/>
  <c r="C33" i="8"/>
  <c r="D33" i="8"/>
  <c r="E22" i="8"/>
  <c r="E23" i="8"/>
  <c r="E24" i="8"/>
  <c r="E25" i="8"/>
  <c r="E26" i="8"/>
  <c r="E27" i="8"/>
  <c r="E28" i="8"/>
  <c r="E29" i="8"/>
  <c r="E30" i="8"/>
  <c r="E31" i="8"/>
  <c r="E32" i="8"/>
  <c r="E21" i="8"/>
  <c r="B15" i="8"/>
  <c r="C16" i="8" s="1"/>
  <c r="C15" i="8"/>
  <c r="E33" i="8" l="1"/>
  <c r="E50" i="8"/>
  <c r="B54" i="8" s="1"/>
  <c r="H20" i="8"/>
  <c r="I8" i="8"/>
  <c r="O4" i="8"/>
  <c r="H22" i="8"/>
  <c r="L28" i="6"/>
  <c r="L24" i="6"/>
  <c r="L21" i="6"/>
  <c r="L25" i="6"/>
  <c r="L29" i="6"/>
  <c r="G22" i="6"/>
  <c r="L22" i="6"/>
  <c r="L23" i="6"/>
  <c r="L26" i="6"/>
  <c r="L27" i="6"/>
  <c r="L30" i="6"/>
  <c r="L31" i="6"/>
  <c r="H15" i="6"/>
  <c r="G15" i="6"/>
  <c r="M16" i="6"/>
  <c r="M15" i="6"/>
  <c r="G26" i="5"/>
  <c r="G4" i="8" l="1"/>
  <c r="A54" i="8"/>
  <c r="C54" i="8" s="1"/>
  <c r="F50" i="8"/>
  <c r="J4" i="8"/>
  <c r="H23" i="8"/>
  <c r="I6" i="8"/>
  <c r="J32" i="6"/>
  <c r="L20" i="6"/>
  <c r="L32" i="6"/>
  <c r="J2" i="6"/>
  <c r="C48" i="6"/>
  <c r="B48" i="6"/>
  <c r="C32" i="6"/>
  <c r="B32" i="6"/>
  <c r="D16" i="6"/>
  <c r="C16" i="6"/>
  <c r="I10" i="8" l="1"/>
  <c r="P68" i="5"/>
  <c r="P67" i="5"/>
  <c r="P69" i="5"/>
  <c r="D78" i="5" l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C16" i="5" l="1"/>
  <c r="D16" i="5" l="1"/>
  <c r="C69" i="5" l="1"/>
  <c r="C90" i="5"/>
  <c r="B90" i="5"/>
  <c r="C68" i="5"/>
  <c r="B68" i="5"/>
  <c r="C92" i="5" l="1"/>
  <c r="D90" i="5"/>
  <c r="E90" i="5"/>
  <c r="B98" i="5" s="1"/>
  <c r="E68" i="5"/>
  <c r="B94" i="5" s="1"/>
  <c r="D56" i="5"/>
  <c r="D48" i="5"/>
  <c r="C48" i="5"/>
  <c r="B48" i="5"/>
  <c r="E47" i="5"/>
  <c r="E46" i="5"/>
  <c r="E45" i="5"/>
  <c r="E44" i="5"/>
  <c r="E43" i="5"/>
  <c r="E42" i="5"/>
  <c r="E41" i="5"/>
  <c r="E40" i="5"/>
  <c r="E39" i="5"/>
  <c r="E38" i="5"/>
  <c r="E37" i="5"/>
  <c r="E36" i="5"/>
  <c r="E21" i="5"/>
  <c r="E22" i="5"/>
  <c r="E23" i="5"/>
  <c r="E24" i="5"/>
  <c r="E25" i="5"/>
  <c r="E26" i="5"/>
  <c r="E27" i="5"/>
  <c r="E28" i="5"/>
  <c r="E29" i="5"/>
  <c r="E30" i="5"/>
  <c r="E31" i="5"/>
  <c r="J63" i="5" s="1"/>
  <c r="E20" i="5"/>
  <c r="D32" i="5"/>
  <c r="B32" i="5"/>
  <c r="F79" i="2"/>
  <c r="F75" i="2"/>
  <c r="F76" i="2" s="1"/>
  <c r="F77" i="2" s="1"/>
  <c r="F78" i="2" s="1"/>
  <c r="F74" i="2"/>
  <c r="F59" i="2"/>
  <c r="E58" i="2"/>
  <c r="A44" i="2"/>
  <c r="E41" i="2"/>
  <c r="C41" i="2"/>
  <c r="E53" i="2" s="1"/>
  <c r="B41" i="2"/>
  <c r="H40" i="2"/>
  <c r="G40" i="2"/>
  <c r="F40" i="2"/>
  <c r="I40" i="2" s="1"/>
  <c r="H39" i="2"/>
  <c r="G39" i="2"/>
  <c r="I39" i="2" s="1"/>
  <c r="F39" i="2"/>
  <c r="H38" i="2"/>
  <c r="I38" i="2" s="1"/>
  <c r="G38" i="2"/>
  <c r="F38" i="2"/>
  <c r="I37" i="2"/>
  <c r="H37" i="2"/>
  <c r="G37" i="2"/>
  <c r="F37" i="2"/>
  <c r="H36" i="2"/>
  <c r="G36" i="2"/>
  <c r="F36" i="2"/>
  <c r="I36" i="2" s="1"/>
  <c r="H35" i="2"/>
  <c r="G35" i="2"/>
  <c r="I35" i="2" s="1"/>
  <c r="F35" i="2"/>
  <c r="H34" i="2"/>
  <c r="I34" i="2" s="1"/>
  <c r="G34" i="2"/>
  <c r="F34" i="2"/>
  <c r="I33" i="2"/>
  <c r="H33" i="2"/>
  <c r="G33" i="2"/>
  <c r="F33" i="2"/>
  <c r="H32" i="2"/>
  <c r="G32" i="2"/>
  <c r="F32" i="2"/>
  <c r="I32" i="2" s="1"/>
  <c r="H31" i="2"/>
  <c r="G31" i="2"/>
  <c r="I31" i="2" s="1"/>
  <c r="F31" i="2"/>
  <c r="H30" i="2"/>
  <c r="I30" i="2" s="1"/>
  <c r="G30" i="2"/>
  <c r="F30" i="2"/>
  <c r="I29" i="2"/>
  <c r="H29" i="2"/>
  <c r="G29" i="2"/>
  <c r="F29" i="2"/>
  <c r="H28" i="2"/>
  <c r="G28" i="2"/>
  <c r="F28" i="2"/>
  <c r="I28" i="2" s="1"/>
  <c r="H27" i="2"/>
  <c r="G27" i="2"/>
  <c r="I27" i="2" s="1"/>
  <c r="F27" i="2"/>
  <c r="H26" i="2"/>
  <c r="I26" i="2" s="1"/>
  <c r="G26" i="2"/>
  <c r="F26" i="2"/>
  <c r="I25" i="2"/>
  <c r="H25" i="2"/>
  <c r="G25" i="2"/>
  <c r="F25" i="2"/>
  <c r="H24" i="2"/>
  <c r="G24" i="2"/>
  <c r="F24" i="2"/>
  <c r="I24" i="2" s="1"/>
  <c r="H23" i="2"/>
  <c r="G23" i="2"/>
  <c r="I23" i="2" s="1"/>
  <c r="F23" i="2"/>
  <c r="H22" i="2"/>
  <c r="I22" i="2" s="1"/>
  <c r="G22" i="2"/>
  <c r="F22" i="2"/>
  <c r="I21" i="2"/>
  <c r="H21" i="2"/>
  <c r="G21" i="2"/>
  <c r="F21" i="2"/>
  <c r="H20" i="2"/>
  <c r="G20" i="2"/>
  <c r="F20" i="2"/>
  <c r="I20" i="2" s="1"/>
  <c r="H19" i="2"/>
  <c r="G19" i="2"/>
  <c r="I19" i="2" s="1"/>
  <c r="F19" i="2"/>
  <c r="H18" i="2"/>
  <c r="H41" i="2" s="1"/>
  <c r="A46" i="2" s="1"/>
  <c r="G18" i="2"/>
  <c r="F18" i="2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I17" i="2"/>
  <c r="H17" i="2"/>
  <c r="G17" i="2"/>
  <c r="F17" i="2"/>
  <c r="D17" i="2"/>
  <c r="K63" i="5" l="1"/>
  <c r="D57" i="5"/>
  <c r="D58" i="5" s="1"/>
  <c r="E48" i="5"/>
  <c r="E32" i="5"/>
  <c r="C32" i="5"/>
  <c r="E54" i="2"/>
  <c r="E55" i="2" s="1"/>
  <c r="D41" i="2"/>
  <c r="F41" i="2"/>
  <c r="I18" i="2"/>
  <c r="I41" i="2" s="1"/>
  <c r="G41" i="2"/>
  <c r="B52" i="5" l="1"/>
  <c r="D52" i="5" s="1"/>
  <c r="D59" i="5"/>
  <c r="E52" i="5" l="1"/>
  <c r="D60" i="5"/>
  <c r="F52" i="5" l="1"/>
  <c r="J64" i="5"/>
  <c r="D61" i="5"/>
  <c r="F61" i="5" l="1"/>
  <c r="P70" i="5"/>
  <c r="N62" i="5"/>
  <c r="K64" i="5"/>
  <c r="K65" i="5" s="1"/>
  <c r="K66" i="5" s="1"/>
  <c r="F78" i="5"/>
  <c r="F88" i="5"/>
  <c r="F81" i="5"/>
  <c r="F85" i="5"/>
  <c r="F89" i="5"/>
  <c r="F82" i="5"/>
  <c r="F86" i="5"/>
  <c r="F58" i="5"/>
  <c r="F83" i="5"/>
  <c r="F84" i="5"/>
  <c r="F59" i="5"/>
  <c r="F57" i="5"/>
  <c r="F80" i="5"/>
  <c r="F79" i="5"/>
  <c r="F56" i="5"/>
  <c r="G56" i="5" s="1"/>
  <c r="F87" i="5"/>
  <c r="F60" i="5"/>
  <c r="D62" i="5"/>
  <c r="F62" i="5" s="1"/>
  <c r="G57" i="5" l="1"/>
  <c r="G58" i="5" s="1"/>
  <c r="G59" i="5" s="1"/>
  <c r="G60" i="5" s="1"/>
  <c r="G61" i="5" s="1"/>
  <c r="G62" i="5" s="1"/>
  <c r="G78" i="5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B100" i="5" s="1"/>
  <c r="D94" i="5" s="1"/>
  <c r="F90" i="5"/>
  <c r="B99" i="5" s="1"/>
  <c r="D63" i="5"/>
  <c r="F63" i="5" s="1"/>
  <c r="G63" i="5" l="1"/>
  <c r="D64" i="5"/>
  <c r="F64" i="5" s="1"/>
  <c r="G64" i="5" l="1"/>
  <c r="D65" i="5"/>
  <c r="F65" i="5" s="1"/>
  <c r="G65" i="5" l="1"/>
  <c r="D66" i="5"/>
  <c r="F66" i="5" s="1"/>
  <c r="G66" i="5" l="1"/>
  <c r="D67" i="5"/>
  <c r="D68" i="5" s="1"/>
  <c r="F67" i="5" l="1"/>
  <c r="G67" i="5" s="1"/>
  <c r="G68" i="5" s="1"/>
  <c r="B96" i="5" s="1"/>
  <c r="C94" i="5" l="1"/>
  <c r="C97" i="5"/>
  <c r="B101" i="5"/>
  <c r="D97" i="5"/>
  <c r="E97" i="5"/>
  <c r="F97" i="5" s="1"/>
  <c r="G98" i="5" s="1"/>
  <c r="F68" i="5"/>
  <c r="B95" i="5" s="1"/>
  <c r="E94" i="5" l="1"/>
  <c r="H14" i="8"/>
  <c r="I14" i="8" s="1"/>
  <c r="H16" i="8" s="1"/>
  <c r="H18" i="8"/>
  <c r="I18" i="8" s="1"/>
  <c r="J18" i="8" s="1"/>
  <c r="D22" i="6"/>
  <c r="D43" i="6"/>
  <c r="D25" i="6"/>
  <c r="D37" i="6"/>
  <c r="D21" i="6"/>
  <c r="D45" i="6"/>
  <c r="D24" i="6"/>
  <c r="D23" i="6"/>
  <c r="F53" i="6"/>
  <c r="D41" i="6"/>
  <c r="D39" i="6"/>
  <c r="D44" i="6"/>
  <c r="D27" i="6"/>
  <c r="D20" i="6"/>
  <c r="D32" i="6"/>
  <c r="E53" i="6"/>
  <c r="D28" i="6"/>
  <c r="D38" i="6"/>
  <c r="D40" i="6"/>
  <c r="D26" i="6"/>
  <c r="D31" i="6"/>
  <c r="D42" i="6"/>
  <c r="D30" i="6"/>
  <c r="D29" i="6"/>
  <c r="D36" i="6"/>
  <c r="D48" i="6"/>
  <c r="B53" i="6"/>
  <c r="D53" i="6"/>
  <c r="D46" i="6"/>
  <c r="D47" i="6"/>
</calcChain>
</file>

<file path=xl/sharedStrings.xml><?xml version="1.0" encoding="utf-8"?>
<sst xmlns="http://schemas.openxmlformats.org/spreadsheetml/2006/main" count="639" uniqueCount="147">
  <si>
    <t>Periode / Bulan</t>
  </si>
  <si>
    <t>Frekuensi</t>
  </si>
  <si>
    <t>Biaya Penyimpanan</t>
  </si>
  <si>
    <t>Total Biaya</t>
  </si>
  <si>
    <t>Data selama 2 Tahun atau 24 Bulan</t>
  </si>
  <si>
    <t xml:space="preserve">Biaya Pemesanan </t>
  </si>
  <si>
    <t>Biaya Komunikasi</t>
  </si>
  <si>
    <t>Biaya Transportasi</t>
  </si>
  <si>
    <t>Note</t>
  </si>
  <si>
    <t>Biaya transportasi sekali pemesanan</t>
  </si>
  <si>
    <t>Rp3000.000 x 2</t>
  </si>
  <si>
    <t>Listrik</t>
  </si>
  <si>
    <t>Maintenance</t>
  </si>
  <si>
    <t>Pajak</t>
  </si>
  <si>
    <t>Total</t>
  </si>
  <si>
    <t>Biaya Pembelian</t>
  </si>
  <si>
    <t xml:space="preserve">1 zak </t>
  </si>
  <si>
    <t>Biaya pembelian 1 zak = 50 kg</t>
  </si>
  <si>
    <t>Penerimaan</t>
  </si>
  <si>
    <t>Penggunaan</t>
  </si>
  <si>
    <t>Kelebihan</t>
  </si>
  <si>
    <t>Frekuensi pembelian bahan baku antara 3-4 hari tergantung permintaan</t>
  </si>
  <si>
    <t>Biaya Pemesanan</t>
  </si>
  <si>
    <t>Biaya Pemesanan sekali pesan</t>
  </si>
  <si>
    <t>Biaya Penyimpanan per zak</t>
  </si>
  <si>
    <t>Langkah berikutnya : Perhitungan EOQ untuk pemesanan yang optimal</t>
  </si>
  <si>
    <t xml:space="preserve">Frekuensi pembelian bahan baku yang tepat </t>
  </si>
  <si>
    <t xml:space="preserve">F = </t>
  </si>
  <si>
    <t xml:space="preserve">F= </t>
  </si>
  <si>
    <t>F = 1,89 / 2 kali pemesanan</t>
  </si>
  <si>
    <t>Q* =</t>
  </si>
  <si>
    <t xml:space="preserve">Q* = </t>
  </si>
  <si>
    <t>D = Penggunaan = 1544</t>
  </si>
  <si>
    <t>S = Biaya Pemesanan sekali pesan = 6015000</t>
  </si>
  <si>
    <t>H = Biaya penyimpanan per zak = 27979</t>
  </si>
  <si>
    <t>Q* = 814,7 zak atau 815 zak</t>
  </si>
  <si>
    <t>Mencari standard deviasi menggunakan distribusi normal</t>
  </si>
  <si>
    <t xml:space="preserve">SD = </t>
  </si>
  <si>
    <t xml:space="preserve">EOQ = </t>
  </si>
  <si>
    <t>EOQ =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</si>
  <si>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</si>
  <si>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</si>
  <si>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</si>
  <si>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</si>
  <si>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</si>
  <si>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</si>
  <si>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</si>
  <si>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</si>
  <si>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</si>
  <si>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</si>
  <si>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</si>
  <si>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</si>
  <si>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</si>
  <si>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Jumlah</t>
  </si>
  <si>
    <t>Biaya Perawatan</t>
  </si>
  <si>
    <t>Biaya Listrik dan Air</t>
  </si>
  <si>
    <t>Biaya Pajak</t>
  </si>
  <si>
    <t>Total Biaya Persediaan</t>
  </si>
  <si>
    <t>D</t>
  </si>
  <si>
    <t>H</t>
  </si>
  <si>
    <t xml:space="preserve">T = </t>
  </si>
  <si>
    <t>Pembelian</t>
  </si>
  <si>
    <t>Pemakaian</t>
  </si>
  <si>
    <t>Biaya Bongkar Muat</t>
  </si>
  <si>
    <t xml:space="preserve">Tabel 4. Biaya Penyimpanan per unit </t>
  </si>
  <si>
    <t>Bahan Baku</t>
  </si>
  <si>
    <t>Total Biaya Penyimpanan</t>
  </si>
  <si>
    <t>Persentase Penyimpanan</t>
  </si>
  <si>
    <t>Biaya Simpan Bahan Baku</t>
  </si>
  <si>
    <t>S</t>
  </si>
  <si>
    <t>F =</t>
  </si>
  <si>
    <t>Frekuensi pemesanan selama setahun</t>
  </si>
  <si>
    <t>Masa waktu pemesanan selama satu tahun</t>
  </si>
  <si>
    <t>T = 182,5 dibulatkan menjadi 183 hari</t>
  </si>
  <si>
    <t>EOQ</t>
  </si>
  <si>
    <t>Kebutuhan (zak)</t>
  </si>
  <si>
    <t>Simpan (zak)</t>
  </si>
  <si>
    <t>Kebijakan perusahaan</t>
  </si>
  <si>
    <t>Metode Economic Order Quantity (EOQ)</t>
  </si>
  <si>
    <t>Menghitung standar deviasi untuk safety stock</t>
  </si>
  <si>
    <t>SD =</t>
  </si>
  <si>
    <t>SD = 11,14</t>
  </si>
  <si>
    <t>Biaya Komunikasi &amp; materai</t>
  </si>
  <si>
    <t>yaitu sebesar Rp 19.800.000</t>
  </si>
  <si>
    <t>FREKUENSI PEMBELIAN</t>
  </si>
  <si>
    <t>atau 6 kali pembelian</t>
  </si>
  <si>
    <t>ROP</t>
  </si>
  <si>
    <t>K. Perusahaan</t>
  </si>
  <si>
    <t>Selisih</t>
  </si>
  <si>
    <t>SAFETY STOCK</t>
  </si>
  <si>
    <t>RATA RATA</t>
  </si>
  <si>
    <t>TIC</t>
  </si>
  <si>
    <t>Ton</t>
  </si>
  <si>
    <t>Aki Bekas</t>
  </si>
  <si>
    <t xml:space="preserve">Kebutuhan </t>
  </si>
  <si>
    <t xml:space="preserve">Pembelian </t>
  </si>
  <si>
    <t xml:space="preserve">Simpan </t>
  </si>
  <si>
    <t>Tabel 1. Pemakaian dan Pembelian ACCU bekas Tahun 2022</t>
  </si>
  <si>
    <t>Tabel 2. Biaya Pemesanan ACCU bekas Tahun 2022</t>
  </si>
  <si>
    <t>Tabel 3. Biaya Penyimpanan ACCU bekasTahun 2022</t>
  </si>
  <si>
    <t>Tabel 5. Perhitungan total biaya persediaan ACCU bekas dengan kebijakan perusahaan</t>
  </si>
  <si>
    <t>Tabel 6 perhitungan hasil EOQ</t>
  </si>
  <si>
    <t>Tabel 7 perbandingan hasil</t>
  </si>
  <si>
    <t>F = 5,95 atau 6 kali pemesanan selama satu tahun</t>
  </si>
  <si>
    <t>1.864,33 atau 1.864 ton pesanan selama satu tahun</t>
  </si>
  <si>
    <t>Total biaya persediaan ACCU bekas perusahaan sebesar</t>
  </si>
  <si>
    <t>Rp. 106.957.800</t>
  </si>
  <si>
    <t xml:space="preserve">Biaya Penyimpanan ACCu bekas Tahun 2022 </t>
  </si>
  <si>
    <t>Jumlah pemakaian bahan baku sebesar 11.110 ton selama satu tahun.</t>
  </si>
  <si>
    <t>dengan pembelian bahan baku sebesar 12.487 ton selama satu tahun.</t>
  </si>
  <si>
    <t>Diketahui =</t>
  </si>
  <si>
    <t>Biaya Simpan per ton per tahun</t>
  </si>
  <si>
    <t>Biaya Simpan per ton per bulan</t>
  </si>
  <si>
    <t>1.902,11 atau 1.902 ton setiap kali pemesanan</t>
  </si>
  <si>
    <t>Biaya Penyimpanan Per Tahun</t>
  </si>
  <si>
    <t>std deviasi</t>
  </si>
  <si>
    <t>Total biaya pemesanan ACCU bekas sebesar</t>
  </si>
  <si>
    <t>BULAN</t>
  </si>
  <si>
    <t>PEMESANAN (TON)</t>
  </si>
  <si>
    <t>FREKUENSI PEMESANAN (X)</t>
  </si>
  <si>
    <t>PEMAKAIAN</t>
  </si>
  <si>
    <t>Rata-Rata</t>
  </si>
  <si>
    <t>jenis biaya</t>
  </si>
  <si>
    <t>total biaya sekali pesan</t>
  </si>
  <si>
    <t>Bongkar Muat</t>
  </si>
  <si>
    <t>Administrasi</t>
  </si>
  <si>
    <t>Rp. 25.000</t>
  </si>
  <si>
    <t>Biaya Pemesanan Sekali Pesan</t>
  </si>
  <si>
    <t>Frekuensi Pemesanan</t>
  </si>
  <si>
    <t>Total Biaya Pemesanan</t>
  </si>
  <si>
    <t xml:space="preserve"> </t>
  </si>
  <si>
    <t>Jenis Biaya</t>
  </si>
  <si>
    <t>jumlah</t>
  </si>
  <si>
    <t>Perhitungan biaya dengan kebijakan perusahaan</t>
  </si>
  <si>
    <t>biaya penyimpanan per satuan bahan baku</t>
  </si>
  <si>
    <t>biaya pesan setiap kali pesan (S)</t>
  </si>
  <si>
    <t>frekuensi pembelian</t>
  </si>
  <si>
    <t>pembelian rata-rata bahan baku (Q)</t>
  </si>
  <si>
    <t>Kebutuhan</t>
  </si>
  <si>
    <t>rata-rata</t>
  </si>
  <si>
    <t>Total Biaya Persediaan Berdasarkan Kebijakan Perusahan</t>
  </si>
  <si>
    <t>Total Biaya Persediaan Dalam Setahun</t>
  </si>
  <si>
    <t>Biaya Penyimpanan setahun</t>
  </si>
  <si>
    <t>Biaya Pemesanan Setahun</t>
  </si>
  <si>
    <t>Perhitungan EOQ</t>
  </si>
  <si>
    <t>Frekuensi Pembelian</t>
  </si>
  <si>
    <t>Safety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</si>
</sst>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Rp&quot;#,##0;[Red]\-&quot;Rp&quot;#,##0"/>
    <numFmt numFmtId="44" formatCode="_-&quot;Rp&quot;* #,##0.00_-;\-&quot;Rp&quot;* #,##0.00_-;_-&quot;Rp&quot;* &quot;-&quot;??_-;_-@_-"/>
    <numFmt numFmtId="164" formatCode="&quot;Rp&quot;#,##0"/>
    <numFmt numFmtId="165" formatCode="&quot;Rp&quot;#,##0.00"/>
    <numFmt numFmtId="166" formatCode="0.0"/>
    <numFmt numFmtId="167" formatCode="0.000"/>
    <numFmt numFmtId="168" formatCode="0.000000000E+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0" borderId="0" xfId="0" applyNumberFormat="1"/>
    <xf numFmtId="164" fontId="0" fillId="2" borderId="1" xfId="0" applyNumberForma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/>
    </xf>
    <xf numFmtId="1" fontId="2" fillId="0" borderId="0" xfId="0" applyNumberFormat="1" applyFont="1"/>
    <xf numFmtId="0" fontId="2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/>
    <xf numFmtId="9" fontId="2" fillId="0" borderId="1" xfId="0" applyNumberFormat="1" applyFont="1" applyBorder="1"/>
    <xf numFmtId="2" fontId="2" fillId="0" borderId="0" xfId="0" applyNumberFormat="1" applyFont="1"/>
    <xf numFmtId="166" fontId="2" fillId="0" borderId="0" xfId="0" applyNumberFormat="1" applyFont="1"/>
    <xf numFmtId="9" fontId="2" fillId="0" borderId="0" xfId="2" applyFont="1"/>
    <xf numFmtId="4" fontId="2" fillId="0" borderId="0" xfId="0" applyNumberFormat="1" applyFont="1"/>
    <xf numFmtId="9" fontId="2" fillId="0" borderId="0" xfId="0" applyNumberFormat="1" applyFont="1"/>
    <xf numFmtId="0" fontId="3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2" fillId="2" borderId="0" xfId="0" applyFont="1" applyFill="1"/>
    <xf numFmtId="0" fontId="5" fillId="2" borderId="0" xfId="0" applyFont="1" applyFill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/>
    <xf numFmtId="1" fontId="3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3" fillId="5" borderId="2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0" xfId="0" applyFont="1" applyFill="1"/>
    <xf numFmtId="1" fontId="2" fillId="5" borderId="0" xfId="0" applyNumberFormat="1" applyFont="1" applyFill="1"/>
    <xf numFmtId="165" fontId="2" fillId="0" borderId="0" xfId="0" applyNumberFormat="1" applyFont="1" applyBorder="1"/>
    <xf numFmtId="164" fontId="2" fillId="0" borderId="4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0" fontId="3" fillId="7" borderId="1" xfId="0" applyFont="1" applyFill="1" applyBorder="1"/>
    <xf numFmtId="0" fontId="6" fillId="2" borderId="0" xfId="0" applyFont="1" applyFill="1"/>
    <xf numFmtId="0" fontId="6" fillId="0" borderId="0" xfId="0" applyFont="1"/>
    <xf numFmtId="0" fontId="7" fillId="5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1" xfId="0" applyFont="1" applyBorder="1"/>
    <xf numFmtId="1" fontId="6" fillId="0" borderId="1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/>
    <xf numFmtId="0" fontId="7" fillId="5" borderId="1" xfId="0" applyFont="1" applyFill="1" applyBorder="1"/>
    <xf numFmtId="1" fontId="7" fillId="5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6" fillId="0" borderId="1" xfId="0" applyNumberFormat="1" applyFont="1" applyBorder="1"/>
    <xf numFmtId="9" fontId="6" fillId="0" borderId="1" xfId="0" applyNumberFormat="1" applyFont="1" applyBorder="1"/>
    <xf numFmtId="0" fontId="8" fillId="2" borderId="0" xfId="0" applyFont="1" applyFill="1"/>
    <xf numFmtId="164" fontId="6" fillId="0" borderId="4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1" fontId="7" fillId="7" borderId="1" xfId="0" applyNumberFormat="1" applyFont="1" applyFill="1" applyBorder="1" applyAlignment="1">
      <alignment horizontal="center"/>
    </xf>
    <xf numFmtId="164" fontId="7" fillId="7" borderId="1" xfId="0" applyNumberFormat="1" applyFont="1" applyFill="1" applyBorder="1" applyAlignment="1">
      <alignment horizontal="center"/>
    </xf>
    <xf numFmtId="1" fontId="6" fillId="0" borderId="0" xfId="0" applyNumberFormat="1" applyFont="1"/>
    <xf numFmtId="164" fontId="6" fillId="0" borderId="0" xfId="0" applyNumberFormat="1" applyFont="1"/>
    <xf numFmtId="0" fontId="3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/>
    <xf numFmtId="1" fontId="7" fillId="2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6" fontId="6" fillId="0" borderId="1" xfId="0" applyNumberFormat="1" applyFont="1" applyBorder="1"/>
    <xf numFmtId="6" fontId="6" fillId="2" borderId="1" xfId="0" applyNumberFormat="1" applyFont="1" applyFill="1" applyBorder="1"/>
    <xf numFmtId="1" fontId="0" fillId="0" borderId="0" xfId="0" applyNumberFormat="1"/>
    <xf numFmtId="0" fontId="0" fillId="2" borderId="0" xfId="0" applyFill="1"/>
    <xf numFmtId="1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164" fontId="0" fillId="0" borderId="0" xfId="0" applyNumberFormat="1" applyBorder="1"/>
    <xf numFmtId="0" fontId="9" fillId="0" borderId="0" xfId="0" applyFont="1" applyBorder="1"/>
    <xf numFmtId="1" fontId="2" fillId="2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164" fontId="2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8" fontId="0" fillId="0" borderId="0" xfId="0" applyNumberFormat="1"/>
    <xf numFmtId="0" fontId="9" fillId="2" borderId="0" xfId="0" applyFont="1" applyFill="1"/>
    <xf numFmtId="9" fontId="0" fillId="0" borderId="0" xfId="0" applyNumberFormat="1"/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" fontId="0" fillId="2" borderId="0" xfId="0" applyNumberFormat="1" applyFill="1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9" fillId="8" borderId="1" xfId="0" applyFont="1" applyFill="1" applyBorder="1"/>
    <xf numFmtId="164" fontId="0" fillId="0" borderId="0" xfId="0" applyNumberFormat="1" applyFill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/>
    </xf>
    <xf numFmtId="167" fontId="3" fillId="0" borderId="0" xfId="0" applyNumberFormat="1" applyFont="1" applyBorder="1" applyAlignment="1">
      <alignment horizontal="center" vertical="center"/>
    </xf>
    <xf numFmtId="1" fontId="9" fillId="0" borderId="0" xfId="0" applyNumberFormat="1" applyFont="1"/>
    <xf numFmtId="2" fontId="9" fillId="0" borderId="0" xfId="0" applyNumberFormat="1" applyFont="1"/>
    <xf numFmtId="0" fontId="9" fillId="8" borderId="1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/>
              <a:t>GRAFIK KEBUTUHAN</a:t>
            </a:r>
            <a:r>
              <a:rPr lang="en-ID" sz="1400" baseline="0"/>
              <a:t> DAN PEMBELIAN BAHAN BAKU</a:t>
            </a:r>
            <a:endParaRPr lang="en-ID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Sheet3!$B$1:$B$2</c:f>
              <c:strCache>
                <c:ptCount val="2"/>
                <c:pt idx="0">
                  <c:v>Kebutuhan</c:v>
                </c:pt>
                <c:pt idx="1">
                  <c:v>Ton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Sheet3!$A$3:$A$14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Sheet3!$B$3:$B$14</c:f>
              <c:numCache>
                <c:formatCode>0</c:formatCode>
                <c:ptCount val="12"/>
                <c:pt idx="0">
                  <c:v>1350</c:v>
                </c:pt>
                <c:pt idx="1">
                  <c:v>1536</c:v>
                </c:pt>
                <c:pt idx="2">
                  <c:v>1801</c:v>
                </c:pt>
                <c:pt idx="3">
                  <c:v>1154</c:v>
                </c:pt>
                <c:pt idx="4">
                  <c:v>775</c:v>
                </c:pt>
                <c:pt idx="5">
                  <c:v>1644</c:v>
                </c:pt>
                <c:pt idx="6">
                  <c:v>1005</c:v>
                </c:pt>
                <c:pt idx="7" formatCode="General">
                  <c:v>1567</c:v>
                </c:pt>
                <c:pt idx="8" formatCode="General">
                  <c:v>948</c:v>
                </c:pt>
                <c:pt idx="9" formatCode="General">
                  <c:v>1698</c:v>
                </c:pt>
                <c:pt idx="10" formatCode="General">
                  <c:v>2114</c:v>
                </c:pt>
                <c:pt idx="11" formatCode="General">
                  <c:v>1843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0-4D66-859C-CBF522D95CAE}"/>
            </c:ext>
          </c:extLst>
        </c:ser>
        <c:ser>
          <c:idx val="1"/>
          <c:order val="1"/>
          <c:tx>
            <c:strRef>
              <c:f>Sheet3!$C$1:$C$2</c:f>
              <c:strCache>
                <c:ptCount val="2"/>
                <c:pt idx="0">
                  <c:v>Pembelian</c:v>
                </c:pt>
                <c:pt idx="1">
                  <c:v>Ton</c:v>
                </c:pt>
              </c:strCache>
            </c:strRef>
          </c:tx>
          <c:spPr>
            <a:gradFill flip="none" rotWithShape="1">
              <a:gsLst>
                <a:gs pos="0">
                  <a:schemeClr val="accent2"/>
                </a:gs>
                <a:gs pos="75000">
                  <a:schemeClr val="accent2">
                    <a:lumMod val="60000"/>
                    <a:lumOff val="40000"/>
                  </a:schemeClr>
                </a:gs>
                <a:gs pos="51000">
                  <a:schemeClr val="accent2">
                    <a:alpha val="75000"/>
                  </a:schemeClr>
                </a:gs>
                <a:gs pos="100000">
                  <a:schemeClr val="accent2">
                    <a:lumMod val="20000"/>
                    <a:lumOff val="80000"/>
                    <a:alpha val="15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Sheet3!$A$3:$A$14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Sheet3!$C$3:$C$14</c:f>
              <c:numCache>
                <c:formatCode>0</c:formatCode>
                <c:ptCount val="12"/>
                <c:pt idx="0">
                  <c:v>1495</c:v>
                </c:pt>
                <c:pt idx="1">
                  <c:v>1723</c:v>
                </c:pt>
                <c:pt idx="2">
                  <c:v>2108</c:v>
                </c:pt>
                <c:pt idx="3">
                  <c:v>1258</c:v>
                </c:pt>
                <c:pt idx="4">
                  <c:v>886</c:v>
                </c:pt>
                <c:pt idx="5">
                  <c:v>1834</c:v>
                </c:pt>
                <c:pt idx="6">
                  <c:v>1137</c:v>
                </c:pt>
                <c:pt idx="7" formatCode="General">
                  <c:v>1789</c:v>
                </c:pt>
                <c:pt idx="8" formatCode="General">
                  <c:v>994</c:v>
                </c:pt>
                <c:pt idx="9" formatCode="General">
                  <c:v>1964</c:v>
                </c:pt>
                <c:pt idx="10" formatCode="General">
                  <c:v>2448</c:v>
                </c:pt>
                <c:pt idx="11" formatCode="General">
                  <c:v>2093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0-4D66-859C-CBF522D95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5"/>
        <c:overlap val="-70"/>
        <c:axId val="541153087"/>
        <c:axId val="643353967"/>
      </c:barChart>
      <c:catAx>
        <c:axId val="541153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353967"/>
        <c:crosses val="autoZero"/>
        <c:auto val="1"/>
        <c:lblAlgn val="ctr"/>
        <c:lblOffset val="100"/>
        <c:noMultiLvlLbl val="0"/>
      </c:catAx>
      <c:valAx>
        <c:axId val="643353967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tx1">
                      <a:lumMod val="5000"/>
                      <a:lumOff val="95000"/>
                    </a:schemeClr>
                  </a:gs>
                  <a:gs pos="0">
                    <a:schemeClr val="tx1">
                      <a:lumMod val="25000"/>
                      <a:lumOff val="7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153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5000"/>
                <a:lumOff val="95000"/>
              </a:schemeClr>
            </a:gs>
            <a:gs pos="0">
              <a:schemeClr val="tx1">
                <a:lumMod val="25000"/>
                <a:lumOff val="7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61</xdr:row>
      <xdr:rowOff>33337</xdr:rowOff>
    </xdr:from>
    <xdr:ext cx="133626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3721E-33FC-4515-B862-734D952EB3A8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3721E-33FC-4515-B862-734D952EB3A8}"/>
                </a:ext>
              </a:extLst>
            </xdr:cNvPr>
            <xdr:cNvSpPr txBox="1"/>
          </xdr:nvSpPr>
          <xdr:spPr>
            <a:xfrm>
              <a:off x="428625" y="11653837"/>
              <a:ext cx="133626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381000</xdr:colOff>
      <xdr:row>63</xdr:row>
      <xdr:rowOff>33337</xdr:rowOff>
    </xdr:from>
    <xdr:ext cx="344261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447F6B0-2E96-4108-A809-3C6FFC5378E2}"/>
                </a:ext>
              </a:extLst>
            </xdr:cNvPr>
            <xdr:cNvSpPr txBox="1"/>
          </xdr:nvSpPr>
          <xdr:spPr>
            <a:xfrm>
              <a:off x="381000" y="12034837"/>
              <a:ext cx="344261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1544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815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447F6B0-2E96-4108-A809-3C6FFC5378E2}"/>
                </a:ext>
              </a:extLst>
            </xdr:cNvPr>
            <xdr:cNvSpPr txBox="1"/>
          </xdr:nvSpPr>
          <xdr:spPr>
            <a:xfrm>
              <a:off x="381000" y="12034837"/>
              <a:ext cx="344261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1544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815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319087</xdr:colOff>
      <xdr:row>48</xdr:row>
      <xdr:rowOff>47625</xdr:rowOff>
    </xdr:from>
    <xdr:ext cx="501869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7DDAD4E-A3B3-4B56-B4C3-EF0E0BA4F77C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F7DDAD4E-A3B3-4B56-B4C3-EF0E0BA4F77C}"/>
                </a:ext>
              </a:extLst>
            </xdr:cNvPr>
            <xdr:cNvSpPr txBox="1"/>
          </xdr:nvSpPr>
          <xdr:spPr>
            <a:xfrm>
              <a:off x="319087" y="9191625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2.𝐷.𝑆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51</xdr:row>
      <xdr:rowOff>28575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6EC936A-DC5C-457B-9D0E-2E73DD0D26CC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2. 1544. 6015000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27979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6EC936A-DC5C-457B-9D0E-2E73DD0D26CC}"/>
                </a:ext>
              </a:extLst>
            </xdr:cNvPr>
            <xdr:cNvSpPr txBox="1"/>
          </xdr:nvSpPr>
          <xdr:spPr>
            <a:xfrm>
              <a:off x="0" y="9744075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2. 1544. 6015000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27979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54</xdr:row>
      <xdr:rowOff>19050</xdr:rowOff>
    </xdr:from>
    <xdr:ext cx="1833563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9CA47C3-5739-4951-AA46-1298E595C94C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18574320000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27979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69CA47C3-5739-4951-AA46-1298E595C94C}"/>
                </a:ext>
              </a:extLst>
            </xdr:cNvPr>
            <xdr:cNvSpPr txBox="1"/>
          </xdr:nvSpPr>
          <xdr:spPr>
            <a:xfrm>
              <a:off x="0" y="10306050"/>
              <a:ext cx="1833563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18574320000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27979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57</xdr:row>
      <xdr:rowOff>9526</xdr:rowOff>
    </xdr:from>
    <xdr:ext cx="1833563" cy="342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2CDD306-3DBC-4A04-8D4B-DDA1FE0BA3DB}"/>
                </a:ext>
              </a:extLst>
            </xdr:cNvPr>
            <xdr:cNvSpPr txBox="1"/>
          </xdr:nvSpPr>
          <xdr:spPr>
            <a:xfrm>
              <a:off x="0" y="10868026"/>
              <a:ext cx="1833563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663859,9556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E2CDD306-3DBC-4A04-8D4B-DDA1FE0BA3DB}"/>
                </a:ext>
              </a:extLst>
            </xdr:cNvPr>
            <xdr:cNvSpPr txBox="1"/>
          </xdr:nvSpPr>
          <xdr:spPr>
            <a:xfrm>
              <a:off x="0" y="10868026"/>
              <a:ext cx="1833563" cy="3429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663859,9556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395287</xdr:colOff>
      <xdr:row>67</xdr:row>
      <xdr:rowOff>33337</xdr:rowOff>
    </xdr:from>
    <xdr:ext cx="71378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95C588B3-842C-4AB9-AEC9-D479B1976E28}"/>
                </a:ext>
              </a:extLst>
            </xdr:cNvPr>
            <xdr:cNvSpPr txBox="1"/>
          </xdr:nvSpPr>
          <xdr:spPr>
            <a:xfrm>
              <a:off x="395287" y="1279683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(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bar>
                                  <m:barPr>
                                    <m:pos m:val="top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bar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𝑋</m:t>
                                    </m:r>
                                  </m:e>
                                </m:ba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95C588B3-842C-4AB9-AEC9-D479B1976E28}"/>
                </a:ext>
              </a:extLst>
            </xdr:cNvPr>
            <xdr:cNvSpPr txBox="1"/>
          </xdr:nvSpPr>
          <xdr:spPr>
            <a:xfrm>
              <a:off x="395287" y="1279683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√((∑▒〖</a:t>
              </a:r>
              <a:r>
                <a:rPr lang="en-US" sz="1100" b="0" i="0">
                  <a:latin typeface="Cambria Math" panose="02040503050406030204" pitchFamily="18" charset="0"/>
                </a:rPr>
                <a:t>(𝑋−¯𝑋)</a:t>
              </a:r>
              <a:r>
                <a:rPr lang="en-ID" sz="1100" b="0" i="0">
                  <a:latin typeface="Cambria Math" panose="02040503050406030204" pitchFamily="18" charset="0"/>
                </a:rPr>
                <a:t>〗)/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376237</xdr:colOff>
      <xdr:row>70</xdr:row>
      <xdr:rowOff>90487</xdr:rowOff>
    </xdr:from>
    <xdr:ext cx="71378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57971D2-8D71-4E8D-8211-3B3C34E564B7}"/>
                </a:ext>
              </a:extLst>
            </xdr:cNvPr>
            <xdr:cNvSpPr txBox="1"/>
          </xdr:nvSpPr>
          <xdr:spPr>
            <a:xfrm>
              <a:off x="376237" y="1342548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(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𝑋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bar>
                                  <m:barPr>
                                    <m:pos m:val="top"/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barPr>
                                  <m:e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𝑋</m:t>
                                    </m:r>
                                  </m:e>
                                </m:ba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)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57971D2-8D71-4E8D-8211-3B3C34E564B7}"/>
                </a:ext>
              </a:extLst>
            </xdr:cNvPr>
            <xdr:cNvSpPr txBox="1"/>
          </xdr:nvSpPr>
          <xdr:spPr>
            <a:xfrm>
              <a:off x="376237" y="13425487"/>
              <a:ext cx="71378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√((∑▒〖</a:t>
              </a:r>
              <a:r>
                <a:rPr lang="en-US" sz="1100" b="0" i="0">
                  <a:latin typeface="Cambria Math" panose="02040503050406030204" pitchFamily="18" charset="0"/>
                </a:rPr>
                <a:t>(𝑋−¯𝑋)</a:t>
              </a:r>
              <a:r>
                <a:rPr lang="en-ID" sz="1100" b="0" i="0">
                  <a:latin typeface="Cambria Math" panose="02040503050406030204" pitchFamily="18" charset="0"/>
                </a:rPr>
                <a:t>〗)/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</xdr:colOff>
      <xdr:row>65</xdr:row>
      <xdr:rowOff>161925</xdr:rowOff>
    </xdr:from>
    <xdr:ext cx="392864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7DFA1D-93E8-4FFF-8659-059E3D1D0E57}"/>
                </a:ext>
              </a:extLst>
            </xdr:cNvPr>
            <xdr:cNvSpPr txBox="1"/>
          </xdr:nvSpPr>
          <xdr:spPr>
            <a:xfrm>
              <a:off x="13087350" y="13163550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𝐷𝑆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77DFA1D-93E8-4FFF-8659-059E3D1D0E57}"/>
                </a:ext>
              </a:extLst>
            </xdr:cNvPr>
            <xdr:cNvSpPr txBox="1"/>
          </xdr:nvSpPr>
          <xdr:spPr>
            <a:xfrm>
              <a:off x="13087350" y="13163550"/>
              <a:ext cx="39286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2𝐷𝑆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581025</xdr:colOff>
      <xdr:row>68</xdr:row>
      <xdr:rowOff>152400</xdr:rowOff>
    </xdr:from>
    <xdr:ext cx="152464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A902CCC-34FD-4D77-875C-317249D7F84F}"/>
                </a:ext>
              </a:extLst>
            </xdr:cNvPr>
            <xdr:cNvSpPr txBox="1"/>
          </xdr:nvSpPr>
          <xdr:spPr>
            <a:xfrm>
              <a:off x="14478000" y="14230350"/>
              <a:ext cx="152464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11.110 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 6.200.000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50.400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A902CCC-34FD-4D77-875C-317249D7F84F}"/>
                </a:ext>
              </a:extLst>
            </xdr:cNvPr>
            <xdr:cNvSpPr txBox="1"/>
          </xdr:nvSpPr>
          <xdr:spPr>
            <a:xfrm>
              <a:off x="14478000" y="14230350"/>
              <a:ext cx="152464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</a:t>
              </a:r>
              <a:r>
                <a:rPr lang="en-US" sz="1100" b="0" i="0">
                  <a:latin typeface="Cambria Math" panose="02040503050406030204" pitchFamily="18" charset="0"/>
                </a:rPr>
                <a:t>2 𝑥 </a:t>
              </a:r>
              <a:r>
                <a:rPr lang="en-GB" sz="1100" b="0" i="0">
                  <a:latin typeface="Cambria Math" panose="02040503050406030204" pitchFamily="18" charset="0"/>
                </a:rPr>
                <a:t>11.110</a:t>
              </a:r>
              <a:r>
                <a:rPr lang="en-US" sz="1100" b="0" i="0">
                  <a:latin typeface="Cambria Math" panose="02040503050406030204" pitchFamily="18" charset="0"/>
                </a:rPr>
                <a:t> 𝑥 6.</a:t>
              </a:r>
              <a:r>
                <a:rPr lang="en-GB" sz="1100" b="0" i="0">
                  <a:latin typeface="Cambria Math" panose="02040503050406030204" pitchFamily="18" charset="0"/>
                </a:rPr>
                <a:t>20</a:t>
              </a:r>
              <a:r>
                <a:rPr lang="en-US" sz="1100" b="0" i="0">
                  <a:latin typeface="Cambria Math" panose="02040503050406030204" pitchFamily="18" charset="0"/>
                </a:rPr>
                <a:t>0.000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50.400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561975</xdr:colOff>
      <xdr:row>71</xdr:row>
      <xdr:rowOff>171450</xdr:rowOff>
    </xdr:from>
    <xdr:ext cx="1007455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55FE87D-3BB5-4C23-8355-7C42A1766D73}"/>
                </a:ext>
              </a:extLst>
            </xdr:cNvPr>
            <xdr:cNvSpPr txBox="1"/>
          </xdr:nvSpPr>
          <xdr:spPr>
            <a:xfrm>
              <a:off x="14458950" y="14849475"/>
              <a:ext cx="100745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475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757</m:t>
                            </m:r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576</m:t>
                            </m:r>
                          </m:num>
                          <m:den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39.600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A55FE87D-3BB5-4C23-8355-7C42A1766D73}"/>
                </a:ext>
              </a:extLst>
            </xdr:cNvPr>
            <xdr:cNvSpPr txBox="1"/>
          </xdr:nvSpPr>
          <xdr:spPr>
            <a:xfrm>
              <a:off x="14458950" y="14849475"/>
              <a:ext cx="1007455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GB" sz="1100" b="0" i="0">
                  <a:latin typeface="Cambria Math" panose="02040503050406030204" pitchFamily="18" charset="0"/>
                </a:rPr>
                <a:t>3</a:t>
              </a:r>
              <a:r>
                <a:rPr lang="en-US" sz="1100" b="0" i="0">
                  <a:latin typeface="Cambria Math" panose="02040503050406030204" pitchFamily="18" charset="0"/>
                </a:rPr>
                <a:t>.</a:t>
              </a:r>
              <a:r>
                <a:rPr lang="en-GB" sz="1100" b="0" i="0">
                  <a:latin typeface="Cambria Math" panose="02040503050406030204" pitchFamily="18" charset="0"/>
                </a:rPr>
                <a:t>475</a:t>
              </a:r>
              <a:r>
                <a:rPr lang="en-US" sz="1100" b="0" i="0">
                  <a:latin typeface="Cambria Math" panose="02040503050406030204" pitchFamily="18" charset="0"/>
                </a:rPr>
                <a:t>.</a:t>
              </a:r>
              <a:r>
                <a:rPr lang="en-GB" sz="1100" b="0" i="0">
                  <a:latin typeface="Cambria Math" panose="02040503050406030204" pitchFamily="18" charset="0"/>
                </a:rPr>
                <a:t>757</a:t>
              </a:r>
              <a:r>
                <a:rPr lang="en-US" sz="1100" b="0" i="0">
                  <a:latin typeface="Cambria Math" panose="02040503050406030204" pitchFamily="18" charset="0"/>
                </a:rPr>
                <a:t>.</a:t>
              </a:r>
              <a:r>
                <a:rPr lang="en-GB" sz="1100" b="0" i="0">
                  <a:latin typeface="Cambria Math" panose="02040503050406030204" pitchFamily="18" charset="0"/>
                </a:rPr>
                <a:t>576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GB" sz="1100" b="0" i="0">
                  <a:latin typeface="Cambria Math" panose="02040503050406030204" pitchFamily="18" charset="0"/>
                </a:rPr>
                <a:t>39.600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8</xdr:col>
      <xdr:colOff>523875</xdr:colOff>
      <xdr:row>75</xdr:row>
      <xdr:rowOff>9525</xdr:rowOff>
    </xdr:from>
    <xdr:ext cx="992259" cy="1992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9E9E328-7373-49C8-B928-611C3E752F31}"/>
                </a:ext>
              </a:extLst>
            </xdr:cNvPr>
            <xdr:cNvSpPr txBox="1"/>
          </xdr:nvSpPr>
          <xdr:spPr>
            <a:xfrm>
              <a:off x="14420850" y="15487650"/>
              <a:ext cx="992259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3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475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757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576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69E9E328-7373-49C8-B928-611C3E752F31}"/>
                </a:ext>
              </a:extLst>
            </xdr:cNvPr>
            <xdr:cNvSpPr txBox="1"/>
          </xdr:nvSpPr>
          <xdr:spPr>
            <a:xfrm>
              <a:off x="14420850" y="15487650"/>
              <a:ext cx="992259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475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757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576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285750</xdr:colOff>
      <xdr:row>70</xdr:row>
      <xdr:rowOff>19050</xdr:rowOff>
    </xdr:from>
    <xdr:ext cx="314894" cy="3421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C9194F6-FCC3-47AC-A372-B6B990976182}"/>
                </a:ext>
              </a:extLst>
            </xdr:cNvPr>
            <xdr:cNvSpPr txBox="1"/>
          </xdr:nvSpPr>
          <xdr:spPr>
            <a:xfrm>
              <a:off x="8753475" y="14020800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𝐸𝑂𝑄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C9194F6-FCC3-47AC-A372-B6B990976182}"/>
                </a:ext>
              </a:extLst>
            </xdr:cNvPr>
            <xdr:cNvSpPr txBox="1"/>
          </xdr:nvSpPr>
          <xdr:spPr>
            <a:xfrm>
              <a:off x="8753475" y="14020800"/>
              <a:ext cx="314894" cy="3421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𝐸𝑂𝑄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5</xdr:col>
      <xdr:colOff>276225</xdr:colOff>
      <xdr:row>72</xdr:row>
      <xdr:rowOff>19050</xdr:rowOff>
    </xdr:from>
    <xdr:ext cx="451277" cy="318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3C62275-066F-41E3-9991-CB16187C635C}"/>
                </a:ext>
              </a:extLst>
            </xdr:cNvPr>
            <xdr:cNvSpPr txBox="1"/>
          </xdr:nvSpPr>
          <xdr:spPr>
            <a:xfrm>
              <a:off x="9705975" y="14897100"/>
              <a:ext cx="451277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11.110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1.864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3C62275-066F-41E3-9991-CB16187C635C}"/>
                </a:ext>
              </a:extLst>
            </xdr:cNvPr>
            <xdr:cNvSpPr txBox="1"/>
          </xdr:nvSpPr>
          <xdr:spPr>
            <a:xfrm>
              <a:off x="9705975" y="14897100"/>
              <a:ext cx="451277" cy="318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11.110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GB" sz="1100" b="0" i="0">
                  <a:latin typeface="Cambria Math" panose="02040503050406030204" pitchFamily="18" charset="0"/>
                </a:rPr>
                <a:t>1.864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295275</xdr:colOff>
      <xdr:row>70</xdr:row>
      <xdr:rowOff>28575</xdr:rowOff>
    </xdr:from>
    <xdr:ext cx="1770998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ECAED8E9-5506-4EBB-8855-FB471D6390B7}"/>
                </a:ext>
              </a:extLst>
            </xdr:cNvPr>
            <xdr:cNvSpPr txBox="1"/>
          </xdr:nvSpPr>
          <xdr:spPr>
            <a:xfrm>
              <a:off x="5133975" y="14030325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h𝑎𝑟𝑖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𝑑𝑎𝑙𝑎𝑚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𝑠𝑒𝑡𝑎h𝑢𝑛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𝐹𝑟𝑒𝑘𝑢𝑒𝑛𝑠𝑖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ECAED8E9-5506-4EBB-8855-FB471D6390B7}"/>
                </a:ext>
              </a:extLst>
            </xdr:cNvPr>
            <xdr:cNvSpPr txBox="1"/>
          </xdr:nvSpPr>
          <xdr:spPr>
            <a:xfrm>
              <a:off x="5133975" y="14030325"/>
              <a:ext cx="1770998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𝐽𝑢𝑚𝑙𝑎ℎ ℎ𝑎𝑟𝑖 𝑑𝑎𝑙𝑎𝑚 𝑠𝑒𝑡𝑎ℎ𝑢𝑛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𝐹𝑟𝑒𝑘𝑢𝑒𝑛𝑠𝑖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323850</xdr:colOff>
      <xdr:row>72</xdr:row>
      <xdr:rowOff>19050</xdr:rowOff>
    </xdr:from>
    <xdr:ext cx="266163" cy="3203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F96450C-EAE4-4262-A4F9-459BDDB3FD8D}"/>
                </a:ext>
              </a:extLst>
            </xdr:cNvPr>
            <xdr:cNvSpPr txBox="1"/>
          </xdr:nvSpPr>
          <xdr:spPr>
            <a:xfrm>
              <a:off x="5162550" y="14420850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365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CF96450C-EAE4-4262-A4F9-459BDDB3FD8D}"/>
                </a:ext>
              </a:extLst>
            </xdr:cNvPr>
            <xdr:cNvSpPr txBox="1"/>
          </xdr:nvSpPr>
          <xdr:spPr>
            <a:xfrm>
              <a:off x="5162550" y="14420850"/>
              <a:ext cx="266163" cy="3203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365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361950</xdr:colOff>
      <xdr:row>101</xdr:row>
      <xdr:rowOff>180975</xdr:rowOff>
    </xdr:from>
    <xdr:ext cx="779188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9C74CF60-61B4-4BB4-984C-49230F7CADB0}"/>
                </a:ext>
              </a:extLst>
            </xdr:cNvPr>
            <xdr:cNvSpPr txBox="1"/>
          </xdr:nvSpPr>
          <xdr:spPr>
            <a:xfrm>
              <a:off x="361950" y="20383500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(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𝑋</m:t>
                                    </m: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bar>
                                      <m:barPr>
                                        <m:pos m:val="top"/>
                                        <m:ctrlP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barPr>
                                      <m:e>
                                        <m:r>
                                          <a:rPr lang="en-US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𝑋</m:t>
                                        </m:r>
                                      </m:e>
                                    </m:bar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en-US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9C74CF60-61B4-4BB4-984C-49230F7CADB0}"/>
                </a:ext>
              </a:extLst>
            </xdr:cNvPr>
            <xdr:cNvSpPr txBox="1"/>
          </xdr:nvSpPr>
          <xdr:spPr>
            <a:xfrm>
              <a:off x="361950" y="20383500"/>
              <a:ext cx="779188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(𝑋−¯𝑋)〗^</a:t>
              </a:r>
              <a:r>
                <a:rPr lang="en-US" sz="1100" b="0" i="0">
                  <a:latin typeface="Cambria Math" panose="02040503050406030204" pitchFamily="18" charset="0"/>
                </a:rPr>
                <a:t>2 </a:t>
              </a:r>
              <a:r>
                <a:rPr lang="en-ID" sz="1100" b="0" i="0">
                  <a:latin typeface="Cambria Math" panose="02040503050406030204" pitchFamily="18" charset="0"/>
                </a:rPr>
                <a:t>)/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342900</xdr:colOff>
      <xdr:row>104</xdr:row>
      <xdr:rowOff>152400</xdr:rowOff>
    </xdr:from>
    <xdr:ext cx="452111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A63C492-8EBA-483F-9601-DF4B7DF8B2E9}"/>
                </a:ext>
              </a:extLst>
            </xdr:cNvPr>
            <xdr:cNvSpPr txBox="1"/>
          </xdr:nvSpPr>
          <xdr:spPr>
            <a:xfrm>
              <a:off x="342900" y="2095500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1488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FA63C492-8EBA-483F-9601-DF4B7DF8B2E9}"/>
                </a:ext>
              </a:extLst>
            </xdr:cNvPr>
            <xdr:cNvSpPr txBox="1"/>
          </xdr:nvSpPr>
          <xdr:spPr>
            <a:xfrm>
              <a:off x="342900" y="20955000"/>
              <a:ext cx="452111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1488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12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107</xdr:row>
      <xdr:rowOff>190500</xdr:rowOff>
    </xdr:from>
    <xdr:ext cx="358816" cy="1957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EAED2C02-1F8D-42E0-9277-B45EFF10DC79}"/>
                </a:ext>
              </a:extLst>
            </xdr:cNvPr>
            <xdr:cNvSpPr txBox="1"/>
          </xdr:nvSpPr>
          <xdr:spPr>
            <a:xfrm>
              <a:off x="333375" y="21593175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124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EAED2C02-1F8D-42E0-9277-B45EFF10DC79}"/>
                </a:ext>
              </a:extLst>
            </xdr:cNvPr>
            <xdr:cNvSpPr txBox="1"/>
          </xdr:nvSpPr>
          <xdr:spPr>
            <a:xfrm>
              <a:off x="333375" y="21593175"/>
              <a:ext cx="358816" cy="1957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</a:t>
              </a:r>
              <a:r>
                <a:rPr lang="en-US" sz="1100" b="0" i="0">
                  <a:latin typeface="Cambria Math" panose="02040503050406030204" pitchFamily="18" charset="0"/>
                </a:rPr>
                <a:t>124</a:t>
              </a:r>
              <a:endParaRPr lang="en-ID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55</xdr:row>
      <xdr:rowOff>138792</xdr:rowOff>
    </xdr:from>
    <xdr:to>
      <xdr:col>2</xdr:col>
      <xdr:colOff>1285873</xdr:colOff>
      <xdr:row>70</xdr:row>
      <xdr:rowOff>24492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C89E964-1FBB-4F79-9B28-0CA69C71BC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A3A3-0314-4BDF-822A-F6DFB783F94F}">
  <dimension ref="A1:L79"/>
  <sheetViews>
    <sheetView workbookViewId="0">
      <selection activeCell="A12" sqref="A12:D12"/>
    </sheetView>
  </sheetViews>
  <sheetFormatPr defaultRowHeight="15" x14ac:dyDescent="0.25"/>
  <cols>
    <col min="1" max="1" width="16.42578125" customWidth="1"/>
    <col min="2" max="2" width="14" customWidth="1"/>
    <col min="3" max="3" width="13.28515625" customWidth="1"/>
    <col min="4" max="4" width="12.140625" customWidth="1"/>
    <col min="5" max="5" width="17.85546875" customWidth="1"/>
    <col min="6" max="6" width="15.7109375" customWidth="1"/>
    <col min="7" max="7" width="17.140625" customWidth="1"/>
    <col min="8" max="8" width="19.140625" customWidth="1"/>
    <col min="9" max="9" width="20.140625" customWidth="1"/>
  </cols>
  <sheetData>
    <row r="1" spans="1:12" x14ac:dyDescent="0.25">
      <c r="A1" t="s">
        <v>4</v>
      </c>
    </row>
    <row r="2" spans="1:12" x14ac:dyDescent="0.25">
      <c r="A2" s="111" t="s">
        <v>5</v>
      </c>
      <c r="B2" s="111"/>
      <c r="C2" s="111"/>
      <c r="D2" s="111"/>
    </row>
    <row r="3" spans="1:12" x14ac:dyDescent="0.25">
      <c r="A3" s="112" t="s">
        <v>6</v>
      </c>
      <c r="B3" s="113"/>
      <c r="C3" s="6" t="s">
        <v>7</v>
      </c>
      <c r="D3" s="6"/>
      <c r="F3" s="114" t="s">
        <v>8</v>
      </c>
      <c r="G3" s="115"/>
      <c r="H3" s="115"/>
      <c r="I3" s="115"/>
      <c r="J3" s="115"/>
      <c r="K3" s="115"/>
      <c r="L3" s="116"/>
    </row>
    <row r="4" spans="1:12" x14ac:dyDescent="0.25">
      <c r="A4" s="117">
        <v>15000</v>
      </c>
      <c r="B4" s="117"/>
      <c r="C4" s="117">
        <v>6000000</v>
      </c>
      <c r="D4" s="117"/>
      <c r="F4" s="114" t="s">
        <v>9</v>
      </c>
      <c r="G4" s="115"/>
      <c r="H4" s="115"/>
      <c r="I4" s="115"/>
      <c r="J4" s="115"/>
      <c r="K4" s="115"/>
      <c r="L4" s="116"/>
    </row>
    <row r="5" spans="1:12" x14ac:dyDescent="0.25">
      <c r="A5" s="118" t="s">
        <v>14</v>
      </c>
      <c r="B5" s="118"/>
      <c r="C5" s="118"/>
      <c r="D5" s="118"/>
      <c r="F5" s="119" t="s">
        <v>10</v>
      </c>
      <c r="G5" s="120"/>
      <c r="H5" s="120"/>
      <c r="I5" s="120"/>
      <c r="J5" s="120"/>
      <c r="K5" s="120"/>
      <c r="L5" s="121"/>
    </row>
    <row r="6" spans="1:12" x14ac:dyDescent="0.25">
      <c r="A6" s="118">
        <v>6015000</v>
      </c>
      <c r="B6" s="118"/>
      <c r="C6" s="118"/>
      <c r="D6" s="118"/>
      <c r="F6" s="122">
        <v>6000000</v>
      </c>
      <c r="G6" s="123"/>
      <c r="H6" s="123"/>
      <c r="I6" s="123"/>
      <c r="J6" s="123"/>
      <c r="K6" s="123"/>
      <c r="L6" s="124"/>
    </row>
    <row r="7" spans="1:12" x14ac:dyDescent="0.25">
      <c r="A7" s="111" t="s">
        <v>2</v>
      </c>
      <c r="B7" s="111"/>
      <c r="C7" s="111"/>
      <c r="D7" s="111"/>
      <c r="F7" s="114" t="s">
        <v>17</v>
      </c>
      <c r="G7" s="115"/>
      <c r="H7" s="115"/>
      <c r="I7" s="115"/>
      <c r="J7" s="115"/>
      <c r="K7" s="115"/>
      <c r="L7" s="116"/>
    </row>
    <row r="8" spans="1:12" x14ac:dyDescent="0.25">
      <c r="A8" s="5" t="s">
        <v>11</v>
      </c>
      <c r="B8" s="5" t="s">
        <v>12</v>
      </c>
      <c r="C8" s="127" t="s">
        <v>13</v>
      </c>
      <c r="D8" s="127"/>
      <c r="F8" s="114" t="s">
        <v>21</v>
      </c>
      <c r="G8" s="115"/>
      <c r="H8" s="115"/>
      <c r="I8" s="115"/>
      <c r="J8" s="115"/>
      <c r="K8" s="115"/>
      <c r="L8" s="116"/>
    </row>
    <row r="9" spans="1:12" x14ac:dyDescent="0.25">
      <c r="A9" s="2">
        <v>1000000</v>
      </c>
      <c r="B9" s="2">
        <v>600000</v>
      </c>
      <c r="C9" s="128">
        <v>200000</v>
      </c>
      <c r="D9" s="128"/>
    </row>
    <row r="10" spans="1:12" x14ac:dyDescent="0.25">
      <c r="A10" s="129" t="s">
        <v>14</v>
      </c>
      <c r="B10" s="129"/>
      <c r="C10" s="129"/>
      <c r="D10" s="129"/>
    </row>
    <row r="11" spans="1:12" x14ac:dyDescent="0.25">
      <c r="A11" s="118">
        <v>1800000</v>
      </c>
      <c r="B11" s="118"/>
      <c r="C11" s="118"/>
      <c r="D11" s="118"/>
    </row>
    <row r="12" spans="1:12" x14ac:dyDescent="0.25">
      <c r="A12" s="130" t="s">
        <v>15</v>
      </c>
      <c r="B12" s="131"/>
      <c r="C12" s="131"/>
      <c r="D12" s="132"/>
    </row>
    <row r="13" spans="1:12" x14ac:dyDescent="0.25">
      <c r="A13" s="112" t="s">
        <v>16</v>
      </c>
      <c r="B13" s="133"/>
      <c r="C13" s="133"/>
      <c r="D13" s="113"/>
    </row>
    <row r="14" spans="1:12" x14ac:dyDescent="0.25">
      <c r="A14" s="134">
        <v>518450</v>
      </c>
      <c r="B14" s="135"/>
      <c r="C14" s="135"/>
      <c r="D14" s="136"/>
    </row>
    <row r="16" spans="1:12" x14ac:dyDescent="0.25">
      <c r="A16" s="4" t="s">
        <v>0</v>
      </c>
      <c r="B16" s="4" t="s">
        <v>18</v>
      </c>
      <c r="C16" s="4" t="s">
        <v>19</v>
      </c>
      <c r="D16" s="4" t="s">
        <v>20</v>
      </c>
      <c r="E16" s="4" t="s">
        <v>1</v>
      </c>
      <c r="F16" s="4" t="s">
        <v>15</v>
      </c>
      <c r="G16" s="4" t="s">
        <v>22</v>
      </c>
      <c r="H16" s="4" t="s">
        <v>2</v>
      </c>
      <c r="I16" s="4" t="s">
        <v>3</v>
      </c>
    </row>
    <row r="17" spans="1:9" x14ac:dyDescent="0.25">
      <c r="A17" s="1">
        <v>1</v>
      </c>
      <c r="B17" s="1">
        <v>49</v>
      </c>
      <c r="C17" s="1">
        <v>49</v>
      </c>
      <c r="D17" s="1">
        <f>B17-C17</f>
        <v>0</v>
      </c>
      <c r="E17" s="1">
        <v>3</v>
      </c>
      <c r="F17" s="3">
        <f>B17*$A$14</f>
        <v>25404050</v>
      </c>
      <c r="G17" s="3">
        <f>E17*$A$6</f>
        <v>18045000</v>
      </c>
      <c r="H17" s="3">
        <f>A11</f>
        <v>1800000</v>
      </c>
      <c r="I17" s="3">
        <f>SUM(F17:H17)</f>
        <v>45249050</v>
      </c>
    </row>
    <row r="18" spans="1:9" x14ac:dyDescent="0.25">
      <c r="A18" s="1">
        <v>2</v>
      </c>
      <c r="B18" s="1">
        <v>55</v>
      </c>
      <c r="C18" s="1">
        <v>50</v>
      </c>
      <c r="D18" s="1">
        <f>B18-C18</f>
        <v>5</v>
      </c>
      <c r="E18" s="1">
        <v>4</v>
      </c>
      <c r="F18" s="3">
        <f>B18*$A$14</f>
        <v>28514750</v>
      </c>
      <c r="G18" s="3">
        <f>E18*$A$6</f>
        <v>24060000</v>
      </c>
      <c r="H18" s="3">
        <f>$A$11</f>
        <v>1800000</v>
      </c>
      <c r="I18" s="3">
        <f>SUM(F18:H18)</f>
        <v>54374750</v>
      </c>
    </row>
    <row r="19" spans="1:9" x14ac:dyDescent="0.25">
      <c r="A19" s="1">
        <v>3</v>
      </c>
      <c r="B19" s="1">
        <v>61</v>
      </c>
      <c r="C19" s="1">
        <v>57</v>
      </c>
      <c r="D19" s="1">
        <f t="shared" ref="D19:D40" si="0">D18+B19-C19</f>
        <v>9</v>
      </c>
      <c r="E19" s="1">
        <v>3</v>
      </c>
      <c r="F19" s="3">
        <f t="shared" ref="F19:F40" si="1">B19*$A$14</f>
        <v>31625450</v>
      </c>
      <c r="G19" s="3">
        <f t="shared" ref="G19:G40" si="2">E19*$A$6</f>
        <v>18045000</v>
      </c>
      <c r="H19" s="3">
        <f>$A$11</f>
        <v>1800000</v>
      </c>
      <c r="I19" s="3">
        <f>SUM(F19:H19)</f>
        <v>51470450</v>
      </c>
    </row>
    <row r="20" spans="1:9" x14ac:dyDescent="0.25">
      <c r="A20" s="1">
        <v>4</v>
      </c>
      <c r="B20" s="1">
        <v>59</v>
      </c>
      <c r="C20" s="1">
        <v>65</v>
      </c>
      <c r="D20" s="1">
        <f t="shared" si="0"/>
        <v>3</v>
      </c>
      <c r="E20" s="1">
        <v>3</v>
      </c>
      <c r="F20" s="3">
        <f t="shared" si="1"/>
        <v>30588550</v>
      </c>
      <c r="G20" s="3">
        <f t="shared" si="2"/>
        <v>18045000</v>
      </c>
      <c r="H20" s="3">
        <f t="shared" ref="H20:H40" si="3">$A$11</f>
        <v>1800000</v>
      </c>
      <c r="I20" s="3">
        <f t="shared" ref="I20:I40" si="4">SUM(F20:H20)</f>
        <v>50433550</v>
      </c>
    </row>
    <row r="21" spans="1:9" x14ac:dyDescent="0.25">
      <c r="A21" s="1">
        <v>5</v>
      </c>
      <c r="B21" s="1">
        <v>52</v>
      </c>
      <c r="C21" s="1">
        <v>55</v>
      </c>
      <c r="D21" s="1">
        <f t="shared" si="0"/>
        <v>0</v>
      </c>
      <c r="E21" s="1">
        <v>3</v>
      </c>
      <c r="F21" s="3">
        <f t="shared" si="1"/>
        <v>26959400</v>
      </c>
      <c r="G21" s="3">
        <f t="shared" si="2"/>
        <v>18045000</v>
      </c>
      <c r="H21" s="3">
        <f t="shared" si="3"/>
        <v>1800000</v>
      </c>
      <c r="I21" s="3">
        <f t="shared" si="4"/>
        <v>46804400</v>
      </c>
    </row>
    <row r="22" spans="1:9" x14ac:dyDescent="0.25">
      <c r="A22" s="1">
        <v>6</v>
      </c>
      <c r="B22" s="1">
        <v>51</v>
      </c>
      <c r="C22" s="1">
        <v>51</v>
      </c>
      <c r="D22" s="1">
        <f t="shared" si="0"/>
        <v>0</v>
      </c>
      <c r="E22" s="1">
        <v>4</v>
      </c>
      <c r="F22" s="3">
        <f t="shared" si="1"/>
        <v>26440950</v>
      </c>
      <c r="G22" s="3">
        <f t="shared" si="2"/>
        <v>24060000</v>
      </c>
      <c r="H22" s="3">
        <f t="shared" si="3"/>
        <v>1800000</v>
      </c>
      <c r="I22" s="3">
        <f t="shared" si="4"/>
        <v>52300950</v>
      </c>
    </row>
    <row r="23" spans="1:9" x14ac:dyDescent="0.25">
      <c r="A23" s="1">
        <v>7</v>
      </c>
      <c r="B23" s="1">
        <v>55</v>
      </c>
      <c r="C23" s="1">
        <v>55</v>
      </c>
      <c r="D23" s="1">
        <f t="shared" si="0"/>
        <v>0</v>
      </c>
      <c r="E23" s="1">
        <v>4</v>
      </c>
      <c r="F23" s="3">
        <f t="shared" si="1"/>
        <v>28514750</v>
      </c>
      <c r="G23" s="3">
        <f t="shared" si="2"/>
        <v>24060000</v>
      </c>
      <c r="H23" s="3">
        <f t="shared" si="3"/>
        <v>1800000</v>
      </c>
      <c r="I23" s="3">
        <f t="shared" si="4"/>
        <v>54374750</v>
      </c>
    </row>
    <row r="24" spans="1:9" x14ac:dyDescent="0.25">
      <c r="A24" s="1">
        <v>8</v>
      </c>
      <c r="B24" s="1">
        <v>42</v>
      </c>
      <c r="C24" s="1">
        <v>40</v>
      </c>
      <c r="D24" s="1">
        <f t="shared" si="0"/>
        <v>2</v>
      </c>
      <c r="E24" s="1">
        <v>3</v>
      </c>
      <c r="F24" s="3">
        <f t="shared" si="1"/>
        <v>21774900</v>
      </c>
      <c r="G24" s="3">
        <f t="shared" si="2"/>
        <v>18045000</v>
      </c>
      <c r="H24" s="3">
        <f t="shared" si="3"/>
        <v>1800000</v>
      </c>
      <c r="I24" s="3">
        <f t="shared" si="4"/>
        <v>41619900</v>
      </c>
    </row>
    <row r="25" spans="1:9" x14ac:dyDescent="0.25">
      <c r="A25" s="1">
        <v>9</v>
      </c>
      <c r="B25" s="1">
        <v>45</v>
      </c>
      <c r="C25" s="1">
        <v>40</v>
      </c>
      <c r="D25" s="1">
        <f t="shared" si="0"/>
        <v>7</v>
      </c>
      <c r="E25" s="1">
        <v>3</v>
      </c>
      <c r="F25" s="3">
        <f t="shared" si="1"/>
        <v>23330250</v>
      </c>
      <c r="G25" s="3">
        <f t="shared" si="2"/>
        <v>18045000</v>
      </c>
      <c r="H25" s="3">
        <f t="shared" si="3"/>
        <v>1800000</v>
      </c>
      <c r="I25" s="3">
        <f t="shared" si="4"/>
        <v>43175250</v>
      </c>
    </row>
    <row r="26" spans="1:9" x14ac:dyDescent="0.25">
      <c r="A26" s="1">
        <v>10</v>
      </c>
      <c r="B26" s="1">
        <v>53</v>
      </c>
      <c r="C26" s="1">
        <v>50</v>
      </c>
      <c r="D26" s="1">
        <f t="shared" si="0"/>
        <v>10</v>
      </c>
      <c r="E26" s="1">
        <v>4</v>
      </c>
      <c r="F26" s="3">
        <f t="shared" si="1"/>
        <v>27477850</v>
      </c>
      <c r="G26" s="3">
        <f t="shared" si="2"/>
        <v>24060000</v>
      </c>
      <c r="H26" s="3">
        <f t="shared" si="3"/>
        <v>1800000</v>
      </c>
      <c r="I26" s="3">
        <f t="shared" si="4"/>
        <v>53337850</v>
      </c>
    </row>
    <row r="27" spans="1:9" x14ac:dyDescent="0.25">
      <c r="A27" s="1">
        <v>11</v>
      </c>
      <c r="B27" s="1">
        <v>68</v>
      </c>
      <c r="C27" s="1">
        <v>72</v>
      </c>
      <c r="D27" s="1">
        <f t="shared" si="0"/>
        <v>6</v>
      </c>
      <c r="E27" s="1">
        <v>3</v>
      </c>
      <c r="F27" s="3">
        <f t="shared" si="1"/>
        <v>35254600</v>
      </c>
      <c r="G27" s="3">
        <f t="shared" si="2"/>
        <v>18045000</v>
      </c>
      <c r="H27" s="3">
        <f t="shared" si="3"/>
        <v>1800000</v>
      </c>
      <c r="I27" s="3">
        <f t="shared" si="4"/>
        <v>55099600</v>
      </c>
    </row>
    <row r="28" spans="1:9" x14ac:dyDescent="0.25">
      <c r="A28" s="1">
        <v>12</v>
      </c>
      <c r="B28" s="1">
        <v>65</v>
      </c>
      <c r="C28" s="1">
        <v>70</v>
      </c>
      <c r="D28" s="1">
        <f t="shared" si="0"/>
        <v>1</v>
      </c>
      <c r="E28" s="1">
        <v>4</v>
      </c>
      <c r="F28" s="3">
        <f t="shared" si="1"/>
        <v>33699250</v>
      </c>
      <c r="G28" s="3">
        <f t="shared" si="2"/>
        <v>24060000</v>
      </c>
      <c r="H28" s="3">
        <f t="shared" si="3"/>
        <v>1800000</v>
      </c>
      <c r="I28" s="3">
        <f t="shared" si="4"/>
        <v>59559250</v>
      </c>
    </row>
    <row r="29" spans="1:9" x14ac:dyDescent="0.25">
      <c r="A29" s="1">
        <v>13</v>
      </c>
      <c r="B29" s="1">
        <v>79</v>
      </c>
      <c r="C29" s="1">
        <v>60</v>
      </c>
      <c r="D29" s="1">
        <f t="shared" si="0"/>
        <v>20</v>
      </c>
      <c r="E29" s="1">
        <v>4</v>
      </c>
      <c r="F29" s="3">
        <f t="shared" si="1"/>
        <v>40957550</v>
      </c>
      <c r="G29" s="3">
        <f t="shared" si="2"/>
        <v>24060000</v>
      </c>
      <c r="H29" s="3">
        <f t="shared" si="3"/>
        <v>1800000</v>
      </c>
      <c r="I29" s="3">
        <f t="shared" si="4"/>
        <v>66817550</v>
      </c>
    </row>
    <row r="30" spans="1:9" x14ac:dyDescent="0.25">
      <c r="A30" s="1">
        <v>14</v>
      </c>
      <c r="B30" s="1">
        <v>55</v>
      </c>
      <c r="C30" s="1">
        <v>50</v>
      </c>
      <c r="D30" s="1">
        <f t="shared" si="0"/>
        <v>25</v>
      </c>
      <c r="E30" s="1">
        <v>4</v>
      </c>
      <c r="F30" s="3">
        <f t="shared" si="1"/>
        <v>28514750</v>
      </c>
      <c r="G30" s="3">
        <f t="shared" si="2"/>
        <v>24060000</v>
      </c>
      <c r="H30" s="3">
        <f t="shared" si="3"/>
        <v>1800000</v>
      </c>
      <c r="I30" s="3">
        <f t="shared" si="4"/>
        <v>54374750</v>
      </c>
    </row>
    <row r="31" spans="1:9" x14ac:dyDescent="0.25">
      <c r="A31" s="1">
        <v>15</v>
      </c>
      <c r="B31" s="1">
        <v>78</v>
      </c>
      <c r="C31" s="1">
        <v>70</v>
      </c>
      <c r="D31" s="1">
        <f t="shared" si="0"/>
        <v>33</v>
      </c>
      <c r="E31" s="1">
        <v>3</v>
      </c>
      <c r="F31" s="3">
        <f t="shared" si="1"/>
        <v>40439100</v>
      </c>
      <c r="G31" s="3">
        <f t="shared" si="2"/>
        <v>18045000</v>
      </c>
      <c r="H31" s="3">
        <f t="shared" si="3"/>
        <v>1800000</v>
      </c>
      <c r="I31" s="3">
        <f t="shared" si="4"/>
        <v>60284100</v>
      </c>
    </row>
    <row r="32" spans="1:9" x14ac:dyDescent="0.25">
      <c r="A32" s="1">
        <v>16</v>
      </c>
      <c r="B32" s="1">
        <v>68</v>
      </c>
      <c r="C32" s="1">
        <v>75</v>
      </c>
      <c r="D32" s="1">
        <f t="shared" si="0"/>
        <v>26</v>
      </c>
      <c r="E32" s="1">
        <v>3</v>
      </c>
      <c r="F32" s="3">
        <f t="shared" si="1"/>
        <v>35254600</v>
      </c>
      <c r="G32" s="3">
        <f t="shared" si="2"/>
        <v>18045000</v>
      </c>
      <c r="H32" s="3">
        <f t="shared" si="3"/>
        <v>1800000</v>
      </c>
      <c r="I32" s="3">
        <f t="shared" si="4"/>
        <v>55099600</v>
      </c>
    </row>
    <row r="33" spans="1:9" x14ac:dyDescent="0.25">
      <c r="A33" s="1">
        <v>17</v>
      </c>
      <c r="B33" s="1">
        <v>63</v>
      </c>
      <c r="C33" s="1">
        <v>70</v>
      </c>
      <c r="D33" s="1">
        <f t="shared" si="0"/>
        <v>19</v>
      </c>
      <c r="E33" s="1">
        <v>3</v>
      </c>
      <c r="F33" s="3">
        <f t="shared" si="1"/>
        <v>32662350</v>
      </c>
      <c r="G33" s="3">
        <f t="shared" si="2"/>
        <v>18045000</v>
      </c>
      <c r="H33" s="3">
        <f t="shared" si="3"/>
        <v>1800000</v>
      </c>
      <c r="I33" s="3">
        <f t="shared" si="4"/>
        <v>52507350</v>
      </c>
    </row>
    <row r="34" spans="1:9" x14ac:dyDescent="0.25">
      <c r="A34" s="1">
        <v>18</v>
      </c>
      <c r="B34" s="1">
        <v>59</v>
      </c>
      <c r="C34" s="1">
        <v>65</v>
      </c>
      <c r="D34" s="1">
        <f t="shared" si="0"/>
        <v>13</v>
      </c>
      <c r="E34" s="1">
        <v>4</v>
      </c>
      <c r="F34" s="3">
        <f t="shared" si="1"/>
        <v>30588550</v>
      </c>
      <c r="G34" s="3">
        <f t="shared" si="2"/>
        <v>24060000</v>
      </c>
      <c r="H34" s="3">
        <f t="shared" si="3"/>
        <v>1800000</v>
      </c>
      <c r="I34" s="3">
        <f t="shared" si="4"/>
        <v>56448550</v>
      </c>
    </row>
    <row r="35" spans="1:9" x14ac:dyDescent="0.25">
      <c r="A35" s="1">
        <v>19</v>
      </c>
      <c r="B35" s="1">
        <v>79</v>
      </c>
      <c r="C35" s="1">
        <v>80</v>
      </c>
      <c r="D35" s="1">
        <f t="shared" si="0"/>
        <v>12</v>
      </c>
      <c r="E35" s="1">
        <v>3</v>
      </c>
      <c r="F35" s="3">
        <f t="shared" si="1"/>
        <v>40957550</v>
      </c>
      <c r="G35" s="3">
        <f t="shared" si="2"/>
        <v>18045000</v>
      </c>
      <c r="H35" s="3">
        <f t="shared" si="3"/>
        <v>1800000</v>
      </c>
      <c r="I35" s="3">
        <f t="shared" si="4"/>
        <v>60802550</v>
      </c>
    </row>
    <row r="36" spans="1:9" x14ac:dyDescent="0.25">
      <c r="A36" s="1">
        <v>20</v>
      </c>
      <c r="B36" s="1">
        <v>79</v>
      </c>
      <c r="C36" s="1">
        <v>85</v>
      </c>
      <c r="D36" s="1">
        <f t="shared" si="0"/>
        <v>6</v>
      </c>
      <c r="E36" s="1">
        <v>3</v>
      </c>
      <c r="F36" s="3">
        <f t="shared" si="1"/>
        <v>40957550</v>
      </c>
      <c r="G36" s="3">
        <f t="shared" si="2"/>
        <v>18045000</v>
      </c>
      <c r="H36" s="3">
        <f t="shared" si="3"/>
        <v>1800000</v>
      </c>
      <c r="I36" s="3">
        <f>SUM(F36:H36)</f>
        <v>60802550</v>
      </c>
    </row>
    <row r="37" spans="1:9" x14ac:dyDescent="0.25">
      <c r="A37" s="1">
        <v>21</v>
      </c>
      <c r="B37" s="1">
        <v>88</v>
      </c>
      <c r="C37" s="1">
        <v>90</v>
      </c>
      <c r="D37" s="1">
        <f t="shared" si="0"/>
        <v>4</v>
      </c>
      <c r="E37" s="1">
        <v>4</v>
      </c>
      <c r="F37" s="3">
        <f t="shared" si="1"/>
        <v>45623600</v>
      </c>
      <c r="G37" s="3">
        <f t="shared" si="2"/>
        <v>24060000</v>
      </c>
      <c r="H37" s="3">
        <f t="shared" si="3"/>
        <v>1800000</v>
      </c>
      <c r="I37" s="3">
        <f t="shared" si="4"/>
        <v>71483600</v>
      </c>
    </row>
    <row r="38" spans="1:9" x14ac:dyDescent="0.25">
      <c r="A38" s="1">
        <v>22</v>
      </c>
      <c r="B38" s="1">
        <v>86</v>
      </c>
      <c r="C38" s="1">
        <v>80</v>
      </c>
      <c r="D38" s="1">
        <f t="shared" si="0"/>
        <v>10</v>
      </c>
      <c r="E38" s="1">
        <v>4</v>
      </c>
      <c r="F38" s="3">
        <f t="shared" si="1"/>
        <v>44586700</v>
      </c>
      <c r="G38" s="3">
        <f t="shared" si="2"/>
        <v>24060000</v>
      </c>
      <c r="H38" s="3">
        <f t="shared" si="3"/>
        <v>1800000</v>
      </c>
      <c r="I38" s="3">
        <f t="shared" si="4"/>
        <v>70446700</v>
      </c>
    </row>
    <row r="39" spans="1:9" x14ac:dyDescent="0.25">
      <c r="A39" s="1">
        <v>23</v>
      </c>
      <c r="B39" s="1">
        <v>83</v>
      </c>
      <c r="C39" s="1">
        <v>80</v>
      </c>
      <c r="D39" s="1">
        <f t="shared" si="0"/>
        <v>13</v>
      </c>
      <c r="E39" s="1">
        <v>3</v>
      </c>
      <c r="F39" s="3">
        <f t="shared" si="1"/>
        <v>43031350</v>
      </c>
      <c r="G39" s="3">
        <f t="shared" si="2"/>
        <v>18045000</v>
      </c>
      <c r="H39" s="3">
        <f t="shared" si="3"/>
        <v>1800000</v>
      </c>
      <c r="I39" s="3">
        <f t="shared" si="4"/>
        <v>62876350</v>
      </c>
    </row>
    <row r="40" spans="1:9" x14ac:dyDescent="0.25">
      <c r="A40" s="1">
        <v>24</v>
      </c>
      <c r="B40" s="1">
        <v>85</v>
      </c>
      <c r="C40" s="1">
        <v>85</v>
      </c>
      <c r="D40" s="1">
        <f t="shared" si="0"/>
        <v>13</v>
      </c>
      <c r="E40" s="1">
        <v>4</v>
      </c>
      <c r="F40" s="3">
        <f t="shared" si="1"/>
        <v>44068250</v>
      </c>
      <c r="G40" s="3">
        <f t="shared" si="2"/>
        <v>24060000</v>
      </c>
      <c r="H40" s="3">
        <f t="shared" si="3"/>
        <v>1800000</v>
      </c>
      <c r="I40" s="3">
        <f t="shared" si="4"/>
        <v>69928250</v>
      </c>
    </row>
    <row r="41" spans="1:9" x14ac:dyDescent="0.25">
      <c r="A41" s="4" t="s">
        <v>14</v>
      </c>
      <c r="B41" s="4">
        <f t="shared" ref="B41:I41" si="5">SUM(B17:B40)</f>
        <v>1557</v>
      </c>
      <c r="C41" s="4">
        <f t="shared" si="5"/>
        <v>1544</v>
      </c>
      <c r="D41" s="4">
        <f t="shared" si="5"/>
        <v>237</v>
      </c>
      <c r="E41" s="4">
        <f t="shared" si="5"/>
        <v>83</v>
      </c>
      <c r="F41" s="8">
        <f t="shared" si="5"/>
        <v>807226650</v>
      </c>
      <c r="G41" s="8">
        <f t="shared" si="5"/>
        <v>499245000</v>
      </c>
      <c r="H41" s="8">
        <f t="shared" si="5"/>
        <v>43200000</v>
      </c>
      <c r="I41" s="8">
        <f t="shared" si="5"/>
        <v>1349671650</v>
      </c>
    </row>
    <row r="43" spans="1:9" x14ac:dyDescent="0.25">
      <c r="A43" s="137" t="s">
        <v>23</v>
      </c>
      <c r="B43" s="138"/>
    </row>
    <row r="44" spans="1:9" x14ac:dyDescent="0.25">
      <c r="A44" s="125">
        <f>A4+C4</f>
        <v>6015000</v>
      </c>
      <c r="B44" s="126"/>
    </row>
    <row r="45" spans="1:9" x14ac:dyDescent="0.25">
      <c r="A45" s="137" t="s">
        <v>24</v>
      </c>
      <c r="B45" s="138"/>
    </row>
    <row r="46" spans="1:9" x14ac:dyDescent="0.25">
      <c r="A46" s="125">
        <f>H41/C41</f>
        <v>27979.274611398963</v>
      </c>
      <c r="B46" s="126"/>
    </row>
    <row r="48" spans="1:9" x14ac:dyDescent="0.25">
      <c r="A48" t="s">
        <v>25</v>
      </c>
    </row>
    <row r="49" spans="1:6" x14ac:dyDescent="0.25">
      <c r="C49" t="s">
        <v>32</v>
      </c>
    </row>
    <row r="50" spans="1:6" x14ac:dyDescent="0.25">
      <c r="A50" t="s">
        <v>30</v>
      </c>
      <c r="C50" t="s">
        <v>33</v>
      </c>
    </row>
    <row r="51" spans="1:6" x14ac:dyDescent="0.25">
      <c r="C51" t="s">
        <v>34</v>
      </c>
    </row>
    <row r="53" spans="1:6" x14ac:dyDescent="0.25">
      <c r="A53" t="s">
        <v>31</v>
      </c>
      <c r="D53">
        <v>2</v>
      </c>
      <c r="E53" s="7">
        <f>D53*C41*A44</f>
        <v>18574320000</v>
      </c>
    </row>
    <row r="54" spans="1:6" x14ac:dyDescent="0.25">
      <c r="E54">
        <f>E53/A46</f>
        <v>663859.95555555553</v>
      </c>
    </row>
    <row r="55" spans="1:6" x14ac:dyDescent="0.25">
      <c r="E55">
        <f>SQRT(E54)</f>
        <v>814.77601557455989</v>
      </c>
    </row>
    <row r="56" spans="1:6" x14ac:dyDescent="0.25">
      <c r="A56" t="s">
        <v>31</v>
      </c>
      <c r="E56">
        <v>1557</v>
      </c>
    </row>
    <row r="57" spans="1:6" x14ac:dyDescent="0.25">
      <c r="E57">
        <v>815</v>
      </c>
    </row>
    <row r="58" spans="1:6" x14ac:dyDescent="0.25">
      <c r="A58" t="s">
        <v>31</v>
      </c>
      <c r="E58">
        <f>E56-E57</f>
        <v>742</v>
      </c>
    </row>
    <row r="59" spans="1:6" x14ac:dyDescent="0.25">
      <c r="E59">
        <v>1544</v>
      </c>
      <c r="F59">
        <f>E59/E57</f>
        <v>1.8944785276073619</v>
      </c>
    </row>
    <row r="60" spans="1:6" x14ac:dyDescent="0.25">
      <c r="A60" t="s">
        <v>35</v>
      </c>
    </row>
    <row r="61" spans="1:6" x14ac:dyDescent="0.25">
      <c r="A61" t="s">
        <v>26</v>
      </c>
    </row>
    <row r="62" spans="1:6" x14ac:dyDescent="0.25">
      <c r="A62" t="s">
        <v>27</v>
      </c>
    </row>
    <row r="64" spans="1:6" x14ac:dyDescent="0.25">
      <c r="A64" t="s">
        <v>28</v>
      </c>
    </row>
    <row r="66" spans="1:6" x14ac:dyDescent="0.25">
      <c r="A66" t="s">
        <v>29</v>
      </c>
    </row>
    <row r="67" spans="1:6" x14ac:dyDescent="0.25">
      <c r="A67" t="s">
        <v>36</v>
      </c>
    </row>
    <row r="68" spans="1:6" x14ac:dyDescent="0.25">
      <c r="A68" t="s">
        <v>37</v>
      </c>
      <c r="E68">
        <v>430</v>
      </c>
      <c r="F68">
        <v>490</v>
      </c>
    </row>
    <row r="69" spans="1:6" x14ac:dyDescent="0.25">
      <c r="E69">
        <v>460</v>
      </c>
      <c r="F69">
        <v>440</v>
      </c>
    </row>
    <row r="70" spans="1:6" x14ac:dyDescent="0.25">
      <c r="E70">
        <v>520</v>
      </c>
      <c r="F70">
        <v>460</v>
      </c>
    </row>
    <row r="71" spans="1:6" x14ac:dyDescent="0.25">
      <c r="E71">
        <v>530</v>
      </c>
      <c r="F71">
        <v>490</v>
      </c>
    </row>
    <row r="72" spans="1:6" x14ac:dyDescent="0.25">
      <c r="A72" t="s">
        <v>37</v>
      </c>
      <c r="E72">
        <v>480</v>
      </c>
      <c r="F72">
        <v>510</v>
      </c>
    </row>
    <row r="73" spans="1:6" x14ac:dyDescent="0.25">
      <c r="E73">
        <v>470</v>
      </c>
      <c r="F73">
        <v>500</v>
      </c>
    </row>
    <row r="74" spans="1:6" x14ac:dyDescent="0.25">
      <c r="F74">
        <f>SUM(E68:F73)</f>
        <v>5780</v>
      </c>
    </row>
    <row r="75" spans="1:6" x14ac:dyDescent="0.25">
      <c r="F75">
        <f>AVERAGE(E68:F73)</f>
        <v>481.66666666666669</v>
      </c>
    </row>
    <row r="76" spans="1:6" x14ac:dyDescent="0.25">
      <c r="F76">
        <f>F74*F75</f>
        <v>2784033.3333333335</v>
      </c>
    </row>
    <row r="77" spans="1:6" x14ac:dyDescent="0.25">
      <c r="F77">
        <f>F76/12</f>
        <v>232002.77777777778</v>
      </c>
    </row>
    <row r="78" spans="1:6" x14ac:dyDescent="0.25">
      <c r="F78">
        <f>SQRT(F77)</f>
        <v>481.66666666666669</v>
      </c>
    </row>
    <row r="79" spans="1:6" x14ac:dyDescent="0.25">
      <c r="F79">
        <f>STDEV(E68:F73)</f>
        <v>30.993645487519871</v>
      </c>
    </row>
  </sheetData>
  <mergeCells count="24">
    <mergeCell ref="A46:B46"/>
    <mergeCell ref="C8:D8"/>
    <mergeCell ref="F8:L8"/>
    <mergeCell ref="C9:D9"/>
    <mergeCell ref="A10:D10"/>
    <mergeCell ref="A11:D11"/>
    <mergeCell ref="A12:D12"/>
    <mergeCell ref="A13:D13"/>
    <mergeCell ref="A14:D14"/>
    <mergeCell ref="A43:B43"/>
    <mergeCell ref="A44:B44"/>
    <mergeCell ref="A45:B45"/>
    <mergeCell ref="A5:D5"/>
    <mergeCell ref="F5:L5"/>
    <mergeCell ref="A6:D6"/>
    <mergeCell ref="F6:L6"/>
    <mergeCell ref="A7:D7"/>
    <mergeCell ref="F7:L7"/>
    <mergeCell ref="A2:D2"/>
    <mergeCell ref="A3:B3"/>
    <mergeCell ref="F3:L3"/>
    <mergeCell ref="A4:B4"/>
    <mergeCell ref="C4:D4"/>
    <mergeCell ref="F4:L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82FF-5652-48D9-89BA-05D1BEA21266}">
  <dimension ref="A1:Q119"/>
  <sheetViews>
    <sheetView topLeftCell="A70" zoomScale="55" zoomScaleNormal="55" workbookViewId="0">
      <selection activeCell="A55" sqref="A55:G68"/>
    </sheetView>
  </sheetViews>
  <sheetFormatPr defaultRowHeight="15.75" x14ac:dyDescent="0.25"/>
  <cols>
    <col min="1" max="1" width="28" style="9" customWidth="1"/>
    <col min="2" max="2" width="40.140625" style="9" bestFit="1" customWidth="1"/>
    <col min="3" max="3" width="36.5703125" style="9" bestFit="1" customWidth="1"/>
    <col min="4" max="4" width="49.28515625" style="9" bestFit="1" customWidth="1"/>
    <col min="5" max="5" width="24.5703125" style="9" customWidth="1"/>
    <col min="6" max="6" width="56.28515625" style="9" bestFit="1" customWidth="1"/>
    <col min="7" max="7" width="31.28515625" style="9" customWidth="1"/>
    <col min="8" max="8" width="9.140625" style="9"/>
    <col min="9" max="9" width="13" style="9" bestFit="1" customWidth="1"/>
    <col min="10" max="10" width="15.7109375" style="9" bestFit="1" customWidth="1"/>
    <col min="11" max="11" width="33.28515625" style="9" customWidth="1"/>
    <col min="12" max="13" width="9.140625" style="9"/>
    <col min="14" max="14" width="16.85546875" style="9" bestFit="1" customWidth="1"/>
    <col min="15" max="15" width="9.140625" style="9"/>
    <col min="16" max="16" width="17.28515625" style="9" bestFit="1" customWidth="1"/>
    <col min="17" max="16384" width="9.140625" style="9"/>
  </cols>
  <sheetData>
    <row r="1" spans="1:7" ht="23.25" x14ac:dyDescent="0.35">
      <c r="A1" s="32" t="s">
        <v>97</v>
      </c>
      <c r="B1" s="32"/>
      <c r="C1" s="32"/>
    </row>
    <row r="2" spans="1:7" x14ac:dyDescent="0.25">
      <c r="A2" s="140"/>
      <c r="B2" s="141" t="s">
        <v>40</v>
      </c>
      <c r="C2" s="33" t="s">
        <v>61</v>
      </c>
      <c r="D2" s="33" t="s">
        <v>62</v>
      </c>
      <c r="E2" s="26"/>
    </row>
    <row r="3" spans="1:7" x14ac:dyDescent="0.25">
      <c r="A3" s="140"/>
      <c r="B3" s="141"/>
      <c r="C3" s="33" t="s">
        <v>92</v>
      </c>
      <c r="D3" s="33" t="s">
        <v>92</v>
      </c>
      <c r="E3" s="26"/>
      <c r="G3" s="31" t="s">
        <v>110</v>
      </c>
    </row>
    <row r="4" spans="1:7" x14ac:dyDescent="0.25">
      <c r="A4" s="29"/>
      <c r="B4" s="16" t="s">
        <v>41</v>
      </c>
      <c r="C4" s="17">
        <v>1218</v>
      </c>
      <c r="D4" s="17">
        <v>993</v>
      </c>
      <c r="E4" s="27"/>
      <c r="G4" s="9" t="s">
        <v>108</v>
      </c>
    </row>
    <row r="5" spans="1:7" x14ac:dyDescent="0.25">
      <c r="A5" s="29"/>
      <c r="B5" s="16" t="s">
        <v>42</v>
      </c>
      <c r="C5" s="17">
        <v>1250</v>
      </c>
      <c r="D5" s="17">
        <v>1147</v>
      </c>
      <c r="E5" s="27"/>
      <c r="G5" s="9" t="s">
        <v>109</v>
      </c>
    </row>
    <row r="6" spans="1:7" x14ac:dyDescent="0.25">
      <c r="A6" s="29"/>
      <c r="B6" s="16" t="s">
        <v>43</v>
      </c>
      <c r="C6" s="17">
        <v>876</v>
      </c>
      <c r="D6" s="17">
        <v>733</v>
      </c>
      <c r="E6" s="27"/>
    </row>
    <row r="7" spans="1:7" x14ac:dyDescent="0.25">
      <c r="A7" s="29"/>
      <c r="B7" s="16" t="s">
        <v>44</v>
      </c>
      <c r="C7" s="17">
        <v>958</v>
      </c>
      <c r="D7" s="17">
        <v>833</v>
      </c>
      <c r="E7" s="27"/>
    </row>
    <row r="8" spans="1:7" x14ac:dyDescent="0.25">
      <c r="A8" s="29"/>
      <c r="B8" s="16" t="s">
        <v>45</v>
      </c>
      <c r="C8" s="17">
        <v>749</v>
      </c>
      <c r="D8" s="17">
        <v>587</v>
      </c>
      <c r="E8" s="27"/>
    </row>
    <row r="9" spans="1:7" x14ac:dyDescent="0.25">
      <c r="A9" s="29"/>
      <c r="B9" s="16" t="s">
        <v>46</v>
      </c>
      <c r="C9" s="17">
        <v>1295</v>
      </c>
      <c r="D9" s="17">
        <v>1220</v>
      </c>
      <c r="E9" s="27"/>
    </row>
    <row r="10" spans="1:7" x14ac:dyDescent="0.25">
      <c r="A10" s="29"/>
      <c r="B10" s="16" t="s">
        <v>47</v>
      </c>
      <c r="C10" s="17">
        <v>863</v>
      </c>
      <c r="D10" s="17">
        <v>753</v>
      </c>
      <c r="E10" s="27"/>
    </row>
    <row r="11" spans="1:7" x14ac:dyDescent="0.25">
      <c r="A11" s="29"/>
      <c r="B11" s="16" t="s">
        <v>48</v>
      </c>
      <c r="C11" s="10">
        <v>1200</v>
      </c>
      <c r="D11" s="17">
        <v>1187</v>
      </c>
      <c r="E11" s="27"/>
    </row>
    <row r="12" spans="1:7" x14ac:dyDescent="0.25">
      <c r="A12" s="29"/>
      <c r="B12" s="16" t="s">
        <v>49</v>
      </c>
      <c r="C12" s="10">
        <v>749</v>
      </c>
      <c r="D12" s="17">
        <v>660</v>
      </c>
      <c r="E12" s="27"/>
    </row>
    <row r="13" spans="1:7" x14ac:dyDescent="0.25">
      <c r="A13" s="29"/>
      <c r="B13" s="16" t="s">
        <v>50</v>
      </c>
      <c r="C13" s="10">
        <v>1388</v>
      </c>
      <c r="D13" s="17">
        <v>1307</v>
      </c>
      <c r="E13" s="27"/>
    </row>
    <row r="14" spans="1:7" x14ac:dyDescent="0.25">
      <c r="A14" s="29"/>
      <c r="B14" s="16" t="s">
        <v>51</v>
      </c>
      <c r="C14" s="10">
        <v>1045</v>
      </c>
      <c r="D14" s="17">
        <v>963</v>
      </c>
      <c r="E14" s="27"/>
    </row>
    <row r="15" spans="1:7" x14ac:dyDescent="0.25">
      <c r="A15" s="29"/>
      <c r="B15" s="16" t="s">
        <v>52</v>
      </c>
      <c r="C15" s="10">
        <v>896</v>
      </c>
      <c r="D15" s="17">
        <v>727</v>
      </c>
      <c r="E15" s="27"/>
    </row>
    <row r="16" spans="1:7" x14ac:dyDescent="0.25">
      <c r="A16" s="30"/>
      <c r="B16" s="34" t="s">
        <v>14</v>
      </c>
      <c r="C16" s="35">
        <f>SUM(C4:C15)</f>
        <v>12487</v>
      </c>
      <c r="D16" s="35">
        <f>SUM(D4:D15)</f>
        <v>11110</v>
      </c>
      <c r="E16" s="26"/>
    </row>
    <row r="17" spans="1:9" x14ac:dyDescent="0.25">
      <c r="C17" s="28"/>
      <c r="D17" s="26"/>
    </row>
    <row r="18" spans="1:9" ht="23.25" x14ac:dyDescent="0.35">
      <c r="A18" s="32" t="s">
        <v>98</v>
      </c>
      <c r="B18" s="32"/>
      <c r="C18" s="32"/>
    </row>
    <row r="19" spans="1:9" x14ac:dyDescent="0.25">
      <c r="A19" s="33" t="s">
        <v>40</v>
      </c>
      <c r="B19" s="37" t="s">
        <v>82</v>
      </c>
      <c r="C19" s="33" t="s">
        <v>7</v>
      </c>
      <c r="D19" s="33" t="s">
        <v>63</v>
      </c>
      <c r="E19" s="38" t="s">
        <v>3</v>
      </c>
    </row>
    <row r="20" spans="1:9" x14ac:dyDescent="0.25">
      <c r="A20" s="16" t="s">
        <v>41</v>
      </c>
      <c r="B20" s="12">
        <v>100000</v>
      </c>
      <c r="C20" s="12">
        <v>6000000</v>
      </c>
      <c r="D20" s="14">
        <v>1000000</v>
      </c>
      <c r="E20" s="12">
        <f>SUM(B20:D20)</f>
        <v>7100000</v>
      </c>
    </row>
    <row r="21" spans="1:9" x14ac:dyDescent="0.25">
      <c r="A21" s="16" t="s">
        <v>42</v>
      </c>
      <c r="B21" s="12">
        <v>100000</v>
      </c>
      <c r="C21" s="12">
        <v>6000000</v>
      </c>
      <c r="D21" s="14">
        <v>100000</v>
      </c>
      <c r="E21" s="12">
        <f t="shared" ref="E21:E31" si="0">SUM(B21:D21)</f>
        <v>6200000</v>
      </c>
    </row>
    <row r="22" spans="1:9" x14ac:dyDescent="0.25">
      <c r="A22" s="16" t="s">
        <v>43</v>
      </c>
      <c r="B22" s="12">
        <v>100000</v>
      </c>
      <c r="C22" s="12">
        <v>6000000</v>
      </c>
      <c r="D22" s="14">
        <v>100000</v>
      </c>
      <c r="E22" s="12">
        <f t="shared" si="0"/>
        <v>6200000</v>
      </c>
    </row>
    <row r="23" spans="1:9" x14ac:dyDescent="0.25">
      <c r="A23" s="16" t="s">
        <v>44</v>
      </c>
      <c r="B23" s="12">
        <v>100000</v>
      </c>
      <c r="C23" s="12">
        <v>6000000</v>
      </c>
      <c r="D23" s="14">
        <v>100000</v>
      </c>
      <c r="E23" s="12">
        <f t="shared" si="0"/>
        <v>6200000</v>
      </c>
    </row>
    <row r="24" spans="1:9" x14ac:dyDescent="0.25">
      <c r="A24" s="16" t="s">
        <v>45</v>
      </c>
      <c r="B24" s="12">
        <v>100000</v>
      </c>
      <c r="C24" s="12">
        <v>6000000</v>
      </c>
      <c r="D24" s="14">
        <v>100000</v>
      </c>
      <c r="E24" s="12">
        <f t="shared" si="0"/>
        <v>6200000</v>
      </c>
    </row>
    <row r="25" spans="1:9" x14ac:dyDescent="0.25">
      <c r="A25" s="16" t="s">
        <v>46</v>
      </c>
      <c r="B25" s="12">
        <v>100000</v>
      </c>
      <c r="C25" s="12">
        <v>6000000</v>
      </c>
      <c r="D25" s="14">
        <v>100000</v>
      </c>
      <c r="E25" s="12">
        <f t="shared" si="0"/>
        <v>6200000</v>
      </c>
      <c r="G25" s="31" t="s">
        <v>116</v>
      </c>
      <c r="H25" s="31"/>
      <c r="I25" s="31"/>
    </row>
    <row r="26" spans="1:9" x14ac:dyDescent="0.25">
      <c r="A26" s="16" t="s">
        <v>47</v>
      </c>
      <c r="B26" s="12">
        <v>100000</v>
      </c>
      <c r="C26" s="12">
        <v>6000000</v>
      </c>
      <c r="D26" s="14">
        <v>100000</v>
      </c>
      <c r="E26" s="12">
        <f t="shared" si="0"/>
        <v>6200000</v>
      </c>
      <c r="G26" s="13">
        <f>E32</f>
        <v>75300000</v>
      </c>
    </row>
    <row r="27" spans="1:9" x14ac:dyDescent="0.25">
      <c r="A27" s="16" t="s">
        <v>48</v>
      </c>
      <c r="B27" s="12">
        <v>100000</v>
      </c>
      <c r="C27" s="12">
        <v>6000000</v>
      </c>
      <c r="D27" s="14">
        <v>100000</v>
      </c>
      <c r="E27" s="12">
        <f t="shared" si="0"/>
        <v>6200000</v>
      </c>
    </row>
    <row r="28" spans="1:9" x14ac:dyDescent="0.25">
      <c r="A28" s="16" t="s">
        <v>49</v>
      </c>
      <c r="B28" s="12">
        <v>100000</v>
      </c>
      <c r="C28" s="12">
        <v>6000000</v>
      </c>
      <c r="D28" s="14">
        <v>100000</v>
      </c>
      <c r="E28" s="12">
        <f t="shared" si="0"/>
        <v>6200000</v>
      </c>
    </row>
    <row r="29" spans="1:9" x14ac:dyDescent="0.25">
      <c r="A29" s="16" t="s">
        <v>50</v>
      </c>
      <c r="B29" s="12">
        <v>100000</v>
      </c>
      <c r="C29" s="12">
        <v>6000000</v>
      </c>
      <c r="D29" s="14">
        <v>100000</v>
      </c>
      <c r="E29" s="12">
        <f t="shared" si="0"/>
        <v>6200000</v>
      </c>
    </row>
    <row r="30" spans="1:9" x14ac:dyDescent="0.25">
      <c r="A30" s="16" t="s">
        <v>51</v>
      </c>
      <c r="B30" s="12">
        <v>100000</v>
      </c>
      <c r="C30" s="12">
        <v>6000000</v>
      </c>
      <c r="D30" s="14">
        <v>100000</v>
      </c>
      <c r="E30" s="12">
        <f t="shared" si="0"/>
        <v>6200000</v>
      </c>
    </row>
    <row r="31" spans="1:9" x14ac:dyDescent="0.25">
      <c r="A31" s="16" t="s">
        <v>52</v>
      </c>
      <c r="B31" s="12">
        <v>100000</v>
      </c>
      <c r="C31" s="12">
        <v>6000000</v>
      </c>
      <c r="D31" s="14">
        <v>100000</v>
      </c>
      <c r="E31" s="12">
        <f t="shared" si="0"/>
        <v>6200000</v>
      </c>
    </row>
    <row r="32" spans="1:9" x14ac:dyDescent="0.25">
      <c r="A32" s="34" t="s">
        <v>14</v>
      </c>
      <c r="B32" s="39">
        <f>SUM(B20:B31)</f>
        <v>1200000</v>
      </c>
      <c r="C32" s="39">
        <f t="shared" ref="C32" si="1">SUM(C20:C31)</f>
        <v>72000000</v>
      </c>
      <c r="D32" s="39">
        <f t="shared" ref="D32" si="2">SUM(D20:D31)</f>
        <v>2100000</v>
      </c>
      <c r="E32" s="39">
        <f t="shared" ref="E32" si="3">SUM(E20:E31)</f>
        <v>75300000</v>
      </c>
    </row>
    <row r="34" spans="1:13" ht="23.25" x14ac:dyDescent="0.35">
      <c r="A34" s="32" t="s">
        <v>99</v>
      </c>
      <c r="B34" s="32"/>
      <c r="C34" s="32"/>
    </row>
    <row r="35" spans="1:13" x14ac:dyDescent="0.25">
      <c r="A35" s="40" t="s">
        <v>40</v>
      </c>
      <c r="B35" s="40" t="s">
        <v>54</v>
      </c>
      <c r="C35" s="40" t="s">
        <v>55</v>
      </c>
      <c r="D35" s="40" t="s">
        <v>56</v>
      </c>
      <c r="E35" s="40" t="s">
        <v>3</v>
      </c>
    </row>
    <row r="36" spans="1:13" x14ac:dyDescent="0.25">
      <c r="A36" s="11" t="s">
        <v>41</v>
      </c>
      <c r="B36" s="12">
        <v>400000</v>
      </c>
      <c r="C36" s="12">
        <v>1000000</v>
      </c>
      <c r="D36" s="12">
        <v>250000</v>
      </c>
      <c r="E36" s="12">
        <f>SUM(B36:D36)</f>
        <v>1650000</v>
      </c>
    </row>
    <row r="37" spans="1:13" x14ac:dyDescent="0.25">
      <c r="A37" s="11" t="s">
        <v>42</v>
      </c>
      <c r="B37" s="12">
        <v>400000</v>
      </c>
      <c r="C37" s="12">
        <v>1000000</v>
      </c>
      <c r="D37" s="12">
        <v>250000</v>
      </c>
      <c r="E37" s="12">
        <f t="shared" ref="E37:E47" si="4">SUM(B37:D37)</f>
        <v>1650000</v>
      </c>
    </row>
    <row r="38" spans="1:13" x14ac:dyDescent="0.25">
      <c r="A38" s="11" t="s">
        <v>43</v>
      </c>
      <c r="B38" s="12">
        <v>400000</v>
      </c>
      <c r="C38" s="12">
        <v>1000000</v>
      </c>
      <c r="D38" s="12">
        <v>250000</v>
      </c>
      <c r="E38" s="12">
        <f t="shared" si="4"/>
        <v>1650000</v>
      </c>
    </row>
    <row r="39" spans="1:13" x14ac:dyDescent="0.25">
      <c r="A39" s="11" t="s">
        <v>44</v>
      </c>
      <c r="B39" s="12">
        <v>400000</v>
      </c>
      <c r="C39" s="12">
        <v>1000000</v>
      </c>
      <c r="D39" s="12">
        <v>250000</v>
      </c>
      <c r="E39" s="12">
        <f t="shared" si="4"/>
        <v>1650000</v>
      </c>
    </row>
    <row r="40" spans="1:13" x14ac:dyDescent="0.25">
      <c r="A40" s="11" t="s">
        <v>45</v>
      </c>
      <c r="B40" s="12">
        <v>400000</v>
      </c>
      <c r="C40" s="12">
        <v>1000000</v>
      </c>
      <c r="D40" s="12">
        <v>250000</v>
      </c>
      <c r="E40" s="12">
        <f t="shared" si="4"/>
        <v>1650000</v>
      </c>
    </row>
    <row r="41" spans="1:13" x14ac:dyDescent="0.25">
      <c r="A41" s="11" t="s">
        <v>46</v>
      </c>
      <c r="B41" s="12">
        <v>400000</v>
      </c>
      <c r="C41" s="12">
        <v>1000000</v>
      </c>
      <c r="D41" s="12">
        <v>250000</v>
      </c>
      <c r="E41" s="12">
        <f t="shared" si="4"/>
        <v>1650000</v>
      </c>
      <c r="G41" s="31" t="s">
        <v>107</v>
      </c>
      <c r="H41" s="31"/>
    </row>
    <row r="42" spans="1:13" x14ac:dyDescent="0.25">
      <c r="A42" s="11" t="s">
        <v>47</v>
      </c>
      <c r="B42" s="12">
        <v>400000</v>
      </c>
      <c r="C42" s="12">
        <v>1000000</v>
      </c>
      <c r="D42" s="12">
        <v>250000</v>
      </c>
      <c r="E42" s="12">
        <f t="shared" si="4"/>
        <v>1650000</v>
      </c>
      <c r="G42" s="9" t="s">
        <v>83</v>
      </c>
    </row>
    <row r="43" spans="1:13" x14ac:dyDescent="0.25">
      <c r="A43" s="11" t="s">
        <v>48</v>
      </c>
      <c r="B43" s="12">
        <v>400000</v>
      </c>
      <c r="C43" s="12">
        <v>1000000</v>
      </c>
      <c r="D43" s="12">
        <v>250000</v>
      </c>
      <c r="E43" s="12">
        <f t="shared" si="4"/>
        <v>1650000</v>
      </c>
    </row>
    <row r="44" spans="1:13" x14ac:dyDescent="0.25">
      <c r="A44" s="11" t="s">
        <v>49</v>
      </c>
      <c r="B44" s="12">
        <v>400000</v>
      </c>
      <c r="C44" s="12">
        <v>1000000</v>
      </c>
      <c r="D44" s="12">
        <v>250000</v>
      </c>
      <c r="E44" s="12">
        <f t="shared" si="4"/>
        <v>1650000</v>
      </c>
    </row>
    <row r="45" spans="1:13" x14ac:dyDescent="0.25">
      <c r="A45" s="11" t="s">
        <v>50</v>
      </c>
      <c r="B45" s="12">
        <v>400000</v>
      </c>
      <c r="C45" s="12">
        <v>1000000</v>
      </c>
      <c r="D45" s="12">
        <v>250000</v>
      </c>
      <c r="E45" s="12">
        <f t="shared" si="4"/>
        <v>1650000</v>
      </c>
    </row>
    <row r="46" spans="1:13" x14ac:dyDescent="0.25">
      <c r="A46" s="11" t="s">
        <v>51</v>
      </c>
      <c r="B46" s="12">
        <v>400000</v>
      </c>
      <c r="C46" s="12">
        <v>1000000</v>
      </c>
      <c r="D46" s="12">
        <v>250000</v>
      </c>
      <c r="E46" s="12">
        <f t="shared" si="4"/>
        <v>1650000</v>
      </c>
      <c r="I46" s="29"/>
      <c r="J46" s="29"/>
      <c r="K46" s="29"/>
      <c r="L46" s="29"/>
      <c r="M46" s="29"/>
    </row>
    <row r="47" spans="1:13" x14ac:dyDescent="0.25">
      <c r="A47" s="11" t="s">
        <v>52</v>
      </c>
      <c r="B47" s="12">
        <v>400000</v>
      </c>
      <c r="C47" s="12">
        <v>1000000</v>
      </c>
      <c r="D47" s="12">
        <v>250000</v>
      </c>
      <c r="E47" s="12">
        <f t="shared" si="4"/>
        <v>1650000</v>
      </c>
      <c r="I47" s="29"/>
      <c r="J47" s="29"/>
      <c r="K47" s="29"/>
      <c r="L47" s="29"/>
      <c r="M47" s="29"/>
    </row>
    <row r="48" spans="1:13" x14ac:dyDescent="0.25">
      <c r="A48" s="40" t="s">
        <v>53</v>
      </c>
      <c r="B48" s="39">
        <f>SUM(B36:B47)</f>
        <v>4800000</v>
      </c>
      <c r="C48" s="39">
        <f>SUM(C36:C47)</f>
        <v>12000000</v>
      </c>
      <c r="D48" s="39">
        <f>SUM(D36:D47)</f>
        <v>3000000</v>
      </c>
      <c r="E48" s="39">
        <f>SUM(E36:E47)</f>
        <v>19800000</v>
      </c>
      <c r="I48" s="29"/>
      <c r="J48" s="29"/>
      <c r="K48" s="43"/>
      <c r="L48" s="29"/>
      <c r="M48" s="29"/>
    </row>
    <row r="49" spans="1:14" x14ac:dyDescent="0.25">
      <c r="I49" s="29"/>
      <c r="J49" s="29"/>
      <c r="K49" s="29"/>
      <c r="L49" s="29"/>
      <c r="M49" s="29"/>
    </row>
    <row r="50" spans="1:14" ht="23.25" x14ac:dyDescent="0.35">
      <c r="A50" s="32" t="s">
        <v>64</v>
      </c>
      <c r="B50" s="31"/>
      <c r="I50" s="29"/>
      <c r="J50" s="29"/>
      <c r="K50" s="43"/>
      <c r="L50" s="29"/>
      <c r="M50" s="29"/>
    </row>
    <row r="51" spans="1:14" x14ac:dyDescent="0.25">
      <c r="A51" s="33" t="s">
        <v>65</v>
      </c>
      <c r="B51" s="33" t="s">
        <v>66</v>
      </c>
      <c r="C51" s="33" t="s">
        <v>67</v>
      </c>
      <c r="D51" s="33" t="s">
        <v>68</v>
      </c>
      <c r="E51" s="33" t="s">
        <v>111</v>
      </c>
      <c r="F51" s="33" t="s">
        <v>112</v>
      </c>
      <c r="I51" s="29"/>
      <c r="J51" s="29"/>
      <c r="K51" s="29"/>
      <c r="L51" s="29"/>
      <c r="M51" s="29"/>
    </row>
    <row r="52" spans="1:14" x14ac:dyDescent="0.25">
      <c r="A52" s="16" t="s">
        <v>93</v>
      </c>
      <c r="B52" s="19">
        <f>E48</f>
        <v>19800000</v>
      </c>
      <c r="C52" s="20"/>
      <c r="D52" s="19">
        <f>B52*C52</f>
        <v>0</v>
      </c>
      <c r="E52" s="19">
        <f>D52/52</f>
        <v>0</v>
      </c>
      <c r="F52" s="19">
        <f>E52/12</f>
        <v>0</v>
      </c>
      <c r="I52" s="29"/>
      <c r="J52" s="29"/>
      <c r="K52" s="29"/>
      <c r="L52" s="29"/>
      <c r="M52" s="29"/>
    </row>
    <row r="54" spans="1:14" ht="23.25" x14ac:dyDescent="0.35">
      <c r="A54" s="32" t="s">
        <v>100</v>
      </c>
      <c r="B54" s="32"/>
      <c r="C54" s="32"/>
      <c r="D54" s="32"/>
    </row>
    <row r="55" spans="1:14" x14ac:dyDescent="0.25">
      <c r="A55" s="40" t="s">
        <v>40</v>
      </c>
      <c r="B55" s="40" t="s">
        <v>94</v>
      </c>
      <c r="C55" s="40" t="s">
        <v>95</v>
      </c>
      <c r="D55" s="40" t="s">
        <v>96</v>
      </c>
      <c r="E55" s="40" t="s">
        <v>22</v>
      </c>
      <c r="F55" s="40" t="s">
        <v>2</v>
      </c>
      <c r="G55" s="40" t="s">
        <v>57</v>
      </c>
    </row>
    <row r="56" spans="1:14" x14ac:dyDescent="0.25">
      <c r="A56" s="11" t="s">
        <v>41</v>
      </c>
      <c r="B56" s="17">
        <v>993</v>
      </c>
      <c r="C56" s="17">
        <v>1218</v>
      </c>
      <c r="D56" s="10">
        <f>C56-B56</f>
        <v>225</v>
      </c>
      <c r="E56" s="12">
        <v>6200000</v>
      </c>
      <c r="F56" s="12">
        <f>$F$52*D56</f>
        <v>0</v>
      </c>
      <c r="G56" s="12">
        <f>E56+F56</f>
        <v>6200000</v>
      </c>
    </row>
    <row r="57" spans="1:14" x14ac:dyDescent="0.25">
      <c r="A57" s="11" t="s">
        <v>42</v>
      </c>
      <c r="B57" s="17">
        <v>1147</v>
      </c>
      <c r="C57" s="17">
        <v>1250</v>
      </c>
      <c r="D57" s="10">
        <f>D56+C57-B57</f>
        <v>328</v>
      </c>
      <c r="E57" s="12">
        <v>6200000</v>
      </c>
      <c r="F57" s="12">
        <f t="shared" ref="F57:F67" si="5">$F$52*D57</f>
        <v>0</v>
      </c>
      <c r="G57" s="12">
        <f t="shared" ref="G57:G62" si="6">G56+E57+F57</f>
        <v>12400000</v>
      </c>
    </row>
    <row r="58" spans="1:14" x14ac:dyDescent="0.25">
      <c r="A58" s="11" t="s">
        <v>43</v>
      </c>
      <c r="B58" s="17">
        <v>733</v>
      </c>
      <c r="C58" s="17">
        <v>876</v>
      </c>
      <c r="D58" s="10">
        <f>D57+C58-B58</f>
        <v>471</v>
      </c>
      <c r="E58" s="12">
        <v>6200000</v>
      </c>
      <c r="F58" s="12">
        <f t="shared" si="5"/>
        <v>0</v>
      </c>
      <c r="G58" s="12">
        <f t="shared" si="6"/>
        <v>18600000</v>
      </c>
    </row>
    <row r="59" spans="1:14" x14ac:dyDescent="0.25">
      <c r="A59" s="11" t="s">
        <v>44</v>
      </c>
      <c r="B59" s="17">
        <v>833</v>
      </c>
      <c r="C59" s="17">
        <v>958</v>
      </c>
      <c r="D59" s="10">
        <f>D58+C59-B59</f>
        <v>596</v>
      </c>
      <c r="E59" s="12">
        <v>6200000</v>
      </c>
      <c r="F59" s="12">
        <f t="shared" si="5"/>
        <v>0</v>
      </c>
      <c r="G59" s="12">
        <f t="shared" si="6"/>
        <v>24800000</v>
      </c>
      <c r="I59" s="31" t="s">
        <v>105</v>
      </c>
      <c r="J59" s="31"/>
      <c r="K59" s="31"/>
    </row>
    <row r="60" spans="1:14" x14ac:dyDescent="0.25">
      <c r="A60" s="11" t="s">
        <v>45</v>
      </c>
      <c r="B60" s="17">
        <v>587</v>
      </c>
      <c r="C60" s="17">
        <v>749</v>
      </c>
      <c r="D60" s="10">
        <f>D59+C60-B60</f>
        <v>758</v>
      </c>
      <c r="E60" s="12">
        <v>6200000</v>
      </c>
      <c r="F60" s="12">
        <f t="shared" si="5"/>
        <v>0</v>
      </c>
      <c r="G60" s="12">
        <f t="shared" si="6"/>
        <v>31000000</v>
      </c>
      <c r="I60" s="9" t="s">
        <v>106</v>
      </c>
    </row>
    <row r="61" spans="1:14" x14ac:dyDescent="0.25">
      <c r="A61" s="11" t="s">
        <v>46</v>
      </c>
      <c r="B61" s="17">
        <v>1220</v>
      </c>
      <c r="C61" s="17">
        <v>1295</v>
      </c>
      <c r="D61" s="17">
        <f>D60+C61-B61</f>
        <v>833</v>
      </c>
      <c r="E61" s="12">
        <v>6200000</v>
      </c>
      <c r="F61" s="12">
        <f t="shared" si="5"/>
        <v>0</v>
      </c>
      <c r="G61" s="12">
        <f t="shared" si="6"/>
        <v>37200000</v>
      </c>
    </row>
    <row r="62" spans="1:14" x14ac:dyDescent="0.25">
      <c r="A62" s="11" t="s">
        <v>47</v>
      </c>
      <c r="B62" s="17">
        <v>753</v>
      </c>
      <c r="C62" s="17">
        <v>863</v>
      </c>
      <c r="D62" s="10">
        <f t="shared" ref="D62:D67" si="7">D61+C62-B62</f>
        <v>943</v>
      </c>
      <c r="E62" s="12">
        <v>6200000</v>
      </c>
      <c r="F62" s="12">
        <f t="shared" si="5"/>
        <v>0</v>
      </c>
      <c r="G62" s="12">
        <f t="shared" si="6"/>
        <v>43400000</v>
      </c>
      <c r="I62" s="31" t="s">
        <v>58</v>
      </c>
      <c r="J62" s="9">
        <v>11110</v>
      </c>
      <c r="M62" s="31" t="s">
        <v>74</v>
      </c>
      <c r="N62" s="13" t="e">
        <f>(2*J63*J62)/J64</f>
        <v>#DIV/0!</v>
      </c>
    </row>
    <row r="63" spans="1:14" x14ac:dyDescent="0.25">
      <c r="A63" s="11" t="s">
        <v>48</v>
      </c>
      <c r="B63" s="17">
        <v>1187</v>
      </c>
      <c r="C63" s="10">
        <v>1200</v>
      </c>
      <c r="D63" s="10">
        <f t="shared" si="7"/>
        <v>956</v>
      </c>
      <c r="E63" s="12">
        <v>6200000</v>
      </c>
      <c r="F63" s="12">
        <f t="shared" si="5"/>
        <v>0</v>
      </c>
      <c r="G63" s="12">
        <f t="shared" ref="G63:G64" si="8">G62+E63+F63</f>
        <v>49600000</v>
      </c>
      <c r="I63" s="31" t="s">
        <v>69</v>
      </c>
      <c r="J63" s="13">
        <f>E31</f>
        <v>6200000</v>
      </c>
      <c r="K63" s="13">
        <f>2*J62*J63</f>
        <v>137764000000</v>
      </c>
      <c r="M63" s="31" t="s">
        <v>74</v>
      </c>
      <c r="N63" s="9">
        <v>1902</v>
      </c>
    </row>
    <row r="64" spans="1:14" x14ac:dyDescent="0.25">
      <c r="A64" s="11" t="s">
        <v>49</v>
      </c>
      <c r="B64" s="17">
        <v>660</v>
      </c>
      <c r="C64" s="10">
        <v>749</v>
      </c>
      <c r="D64" s="10">
        <f t="shared" si="7"/>
        <v>1045</v>
      </c>
      <c r="E64" s="12">
        <v>6200000</v>
      </c>
      <c r="F64" s="12">
        <f t="shared" si="5"/>
        <v>0</v>
      </c>
      <c r="G64" s="12">
        <f t="shared" si="8"/>
        <v>55800000</v>
      </c>
      <c r="I64" s="31" t="s">
        <v>59</v>
      </c>
      <c r="J64" s="13">
        <f>E52</f>
        <v>0</v>
      </c>
      <c r="K64" s="9" t="e">
        <f>K63/J64</f>
        <v>#DIV/0!</v>
      </c>
      <c r="M64" s="31" t="s">
        <v>74</v>
      </c>
      <c r="N64" s="9" t="s">
        <v>113</v>
      </c>
    </row>
    <row r="65" spans="1:17" x14ac:dyDescent="0.25">
      <c r="A65" s="11" t="s">
        <v>50</v>
      </c>
      <c r="B65" s="17">
        <v>1307</v>
      </c>
      <c r="C65" s="10">
        <v>1388</v>
      </c>
      <c r="D65" s="10">
        <f t="shared" si="7"/>
        <v>1126</v>
      </c>
      <c r="E65" s="12">
        <v>6200000</v>
      </c>
      <c r="F65" s="12">
        <f t="shared" si="5"/>
        <v>0</v>
      </c>
      <c r="G65" s="12">
        <f>G64+E65+F65</f>
        <v>62000000</v>
      </c>
      <c r="K65" s="22" t="e">
        <f>SQRT(K64)</f>
        <v>#DIV/0!</v>
      </c>
    </row>
    <row r="66" spans="1:17" x14ac:dyDescent="0.25">
      <c r="A66" s="11" t="s">
        <v>51</v>
      </c>
      <c r="B66" s="17">
        <v>963</v>
      </c>
      <c r="C66" s="10">
        <v>1045</v>
      </c>
      <c r="D66" s="10">
        <f t="shared" si="7"/>
        <v>1208</v>
      </c>
      <c r="E66" s="12">
        <v>6200000</v>
      </c>
      <c r="F66" s="12">
        <f t="shared" si="5"/>
        <v>0</v>
      </c>
      <c r="G66" s="12">
        <f>G65+E66+F66</f>
        <v>68200000</v>
      </c>
      <c r="K66" s="21" t="e">
        <f>J62/K65</f>
        <v>#DIV/0!</v>
      </c>
    </row>
    <row r="67" spans="1:17" x14ac:dyDescent="0.25">
      <c r="A67" s="11" t="s">
        <v>52</v>
      </c>
      <c r="B67" s="17">
        <v>727</v>
      </c>
      <c r="C67" s="10">
        <v>896</v>
      </c>
      <c r="D67" s="10">
        <f t="shared" si="7"/>
        <v>1377</v>
      </c>
      <c r="E67" s="12">
        <v>6200000</v>
      </c>
      <c r="F67" s="12">
        <f t="shared" si="5"/>
        <v>0</v>
      </c>
      <c r="G67" s="44">
        <f>G66+E67+F67</f>
        <v>74400000</v>
      </c>
      <c r="I67" s="31" t="s">
        <v>38</v>
      </c>
      <c r="J67" s="31"/>
      <c r="K67" s="31"/>
      <c r="M67" s="31" t="s">
        <v>84</v>
      </c>
      <c r="N67" s="31"/>
      <c r="P67" s="9">
        <f>J62/N63</f>
        <v>5.8412197686645637</v>
      </c>
      <c r="Q67" s="9" t="s">
        <v>85</v>
      </c>
    </row>
    <row r="68" spans="1:17" x14ac:dyDescent="0.25">
      <c r="A68" s="47" t="s">
        <v>14</v>
      </c>
      <c r="B68" s="48">
        <f>SUM(B56+B57+B58+B59+B60+B61+B62+B63+B64+B65+B66+B67)</f>
        <v>11110</v>
      </c>
      <c r="C68" s="48">
        <f>SUM(C56+C57+C58+C59+C60+C61+C62+C63+C64+C65+C66+C67)</f>
        <v>12487</v>
      </c>
      <c r="D68" s="48">
        <f>SUM(D56+D57+D58+D59+D60+D61+D62+D63+D64+D65+D66+D67)</f>
        <v>9866</v>
      </c>
      <c r="E68" s="45">
        <f>SUM(E56:E67)</f>
        <v>74400000</v>
      </c>
      <c r="F68" s="45">
        <f>SUM(F56:F67)</f>
        <v>0</v>
      </c>
      <c r="G68" s="45">
        <f>G67+E67+F67</f>
        <v>80600000</v>
      </c>
      <c r="I68" s="31"/>
      <c r="J68" s="31"/>
      <c r="K68" s="31"/>
      <c r="M68" s="31" t="s">
        <v>89</v>
      </c>
      <c r="N68" s="31"/>
      <c r="P68" s="15">
        <f>(184-100)*1</f>
        <v>84</v>
      </c>
    </row>
    <row r="69" spans="1:17" x14ac:dyDescent="0.25">
      <c r="B69" s="41" t="s">
        <v>90</v>
      </c>
      <c r="C69" s="42">
        <f>AVERAGE(B56:B67)</f>
        <v>925.83333333333337</v>
      </c>
      <c r="I69" s="31"/>
      <c r="J69" s="31"/>
      <c r="K69" s="31"/>
      <c r="M69" s="31" t="s">
        <v>86</v>
      </c>
      <c r="P69" s="15">
        <f>(1*100)+P68</f>
        <v>184</v>
      </c>
    </row>
    <row r="70" spans="1:17" x14ac:dyDescent="0.25">
      <c r="D70" s="31" t="s">
        <v>72</v>
      </c>
      <c r="E70" s="31"/>
      <c r="F70" s="31" t="s">
        <v>71</v>
      </c>
      <c r="G70" s="31"/>
      <c r="I70" s="31" t="s">
        <v>38</v>
      </c>
      <c r="J70" s="31"/>
      <c r="K70" s="31"/>
      <c r="M70" s="31" t="s">
        <v>91</v>
      </c>
      <c r="P70" s="13">
        <f>(J62/1864*E88)+(1864/2*J64)</f>
        <v>0</v>
      </c>
    </row>
    <row r="71" spans="1:17" x14ac:dyDescent="0.25">
      <c r="D71" s="31" t="s">
        <v>60</v>
      </c>
      <c r="E71" s="31"/>
      <c r="F71" s="31" t="s">
        <v>27</v>
      </c>
      <c r="G71" s="31"/>
      <c r="I71" s="31"/>
      <c r="J71" s="31"/>
      <c r="K71" s="31"/>
    </row>
    <row r="72" spans="1:17" x14ac:dyDescent="0.25">
      <c r="D72" s="31"/>
      <c r="E72" s="31"/>
      <c r="F72" s="31"/>
      <c r="G72" s="31"/>
      <c r="I72" s="31"/>
      <c r="J72" s="31"/>
      <c r="K72" s="31"/>
    </row>
    <row r="73" spans="1:17" x14ac:dyDescent="0.25">
      <c r="D73" s="31" t="s">
        <v>60</v>
      </c>
      <c r="E73" s="31"/>
      <c r="F73" s="31" t="s">
        <v>70</v>
      </c>
      <c r="G73" s="31"/>
      <c r="I73" s="31" t="s">
        <v>38</v>
      </c>
      <c r="J73" s="31"/>
      <c r="K73" s="31"/>
    </row>
    <row r="74" spans="1:17" x14ac:dyDescent="0.25">
      <c r="D74" s="31"/>
      <c r="E74" s="31"/>
      <c r="F74" s="31"/>
      <c r="G74" s="31"/>
      <c r="I74" s="31"/>
      <c r="J74" s="31"/>
      <c r="K74" s="31"/>
    </row>
    <row r="75" spans="1:17" x14ac:dyDescent="0.25">
      <c r="D75" s="31" t="s">
        <v>73</v>
      </c>
      <c r="E75" s="31"/>
      <c r="F75" s="31" t="s">
        <v>103</v>
      </c>
      <c r="G75" s="31"/>
      <c r="I75" s="31"/>
      <c r="J75" s="31"/>
      <c r="K75" s="31"/>
    </row>
    <row r="76" spans="1:17" ht="23.25" x14ac:dyDescent="0.35">
      <c r="A76" s="32" t="s">
        <v>101</v>
      </c>
      <c r="B76" s="32"/>
      <c r="I76" s="31" t="s">
        <v>39</v>
      </c>
      <c r="J76" s="31"/>
      <c r="K76" s="31"/>
    </row>
    <row r="77" spans="1:17" x14ac:dyDescent="0.25">
      <c r="A77" s="40" t="s">
        <v>40</v>
      </c>
      <c r="B77" s="40" t="s">
        <v>75</v>
      </c>
      <c r="C77" s="40" t="s">
        <v>74</v>
      </c>
      <c r="D77" s="40" t="s">
        <v>76</v>
      </c>
      <c r="E77" s="40" t="s">
        <v>22</v>
      </c>
      <c r="F77" s="40" t="s">
        <v>2</v>
      </c>
      <c r="G77" s="40" t="s">
        <v>57</v>
      </c>
      <c r="I77" s="31"/>
      <c r="J77" s="31"/>
      <c r="K77" s="31"/>
    </row>
    <row r="78" spans="1:17" x14ac:dyDescent="0.25">
      <c r="A78" s="11" t="s">
        <v>41</v>
      </c>
      <c r="B78" s="17">
        <v>993</v>
      </c>
      <c r="C78" s="17">
        <v>1902</v>
      </c>
      <c r="D78" s="17">
        <f>C78-B78</f>
        <v>909</v>
      </c>
      <c r="E78" s="12">
        <v>6200000</v>
      </c>
      <c r="F78" s="12">
        <f>$F$52*D78</f>
        <v>0</v>
      </c>
      <c r="G78" s="12">
        <f>E78+F78</f>
        <v>6200000</v>
      </c>
      <c r="I78" s="31" t="s">
        <v>38</v>
      </c>
      <c r="J78" s="31" t="s">
        <v>104</v>
      </c>
      <c r="K78" s="31"/>
    </row>
    <row r="79" spans="1:17" x14ac:dyDescent="0.25">
      <c r="A79" s="11" t="s">
        <v>42</v>
      </c>
      <c r="B79" s="17">
        <v>1147</v>
      </c>
      <c r="C79" s="17">
        <v>1902</v>
      </c>
      <c r="D79" s="17">
        <f>D78-B79+C79</f>
        <v>1664</v>
      </c>
      <c r="E79" s="12">
        <v>6200000</v>
      </c>
      <c r="F79" s="12">
        <f t="shared" ref="F79:F89" si="9">$F$52*D79</f>
        <v>0</v>
      </c>
      <c r="G79" s="12">
        <f t="shared" ref="G79:G84" si="10">G78+F79</f>
        <v>6200000</v>
      </c>
    </row>
    <row r="80" spans="1:17" x14ac:dyDescent="0.25">
      <c r="A80" s="11" t="s">
        <v>43</v>
      </c>
      <c r="B80" s="17">
        <v>733</v>
      </c>
      <c r="C80" s="17">
        <v>0</v>
      </c>
      <c r="D80" s="17">
        <f t="shared" ref="D80:D89" si="11">D79-B80+C80</f>
        <v>931</v>
      </c>
      <c r="E80" s="12">
        <v>0</v>
      </c>
      <c r="F80" s="12">
        <f t="shared" si="9"/>
        <v>0</v>
      </c>
      <c r="G80" s="12">
        <f t="shared" si="10"/>
        <v>6200000</v>
      </c>
    </row>
    <row r="81" spans="1:7" x14ac:dyDescent="0.25">
      <c r="A81" s="11" t="s">
        <v>44</v>
      </c>
      <c r="B81" s="17">
        <v>833</v>
      </c>
      <c r="C81" s="17">
        <v>1902</v>
      </c>
      <c r="D81" s="17">
        <f t="shared" si="11"/>
        <v>2000</v>
      </c>
      <c r="E81" s="12">
        <v>6200000</v>
      </c>
      <c r="F81" s="12">
        <f t="shared" si="9"/>
        <v>0</v>
      </c>
      <c r="G81" s="12">
        <f t="shared" si="10"/>
        <v>6200000</v>
      </c>
    </row>
    <row r="82" spans="1:7" x14ac:dyDescent="0.25">
      <c r="A82" s="11" t="s">
        <v>45</v>
      </c>
      <c r="B82" s="17">
        <v>587</v>
      </c>
      <c r="C82" s="17">
        <v>0</v>
      </c>
      <c r="D82" s="17">
        <f t="shared" si="11"/>
        <v>1413</v>
      </c>
      <c r="E82" s="12">
        <v>0</v>
      </c>
      <c r="F82" s="12">
        <f t="shared" si="9"/>
        <v>0</v>
      </c>
      <c r="G82" s="12">
        <f t="shared" si="10"/>
        <v>6200000</v>
      </c>
    </row>
    <row r="83" spans="1:7" x14ac:dyDescent="0.25">
      <c r="A83" s="11" t="s">
        <v>46</v>
      </c>
      <c r="B83" s="17">
        <v>1220</v>
      </c>
      <c r="C83" s="17">
        <v>0</v>
      </c>
      <c r="D83" s="17">
        <f t="shared" si="11"/>
        <v>193</v>
      </c>
      <c r="E83" s="12">
        <v>0</v>
      </c>
      <c r="F83" s="12">
        <f t="shared" si="9"/>
        <v>0</v>
      </c>
      <c r="G83" s="12">
        <f t="shared" si="10"/>
        <v>6200000</v>
      </c>
    </row>
    <row r="84" spans="1:7" x14ac:dyDescent="0.25">
      <c r="A84" s="11" t="s">
        <v>47</v>
      </c>
      <c r="B84" s="17">
        <v>753</v>
      </c>
      <c r="C84" s="17">
        <v>1902</v>
      </c>
      <c r="D84" s="17">
        <f t="shared" si="11"/>
        <v>1342</v>
      </c>
      <c r="E84" s="12">
        <v>6200000</v>
      </c>
      <c r="F84" s="12">
        <f t="shared" si="9"/>
        <v>0</v>
      </c>
      <c r="G84" s="12">
        <f t="shared" si="10"/>
        <v>6200000</v>
      </c>
    </row>
    <row r="85" spans="1:7" x14ac:dyDescent="0.25">
      <c r="A85" s="11" t="s">
        <v>48</v>
      </c>
      <c r="B85" s="17">
        <v>1187</v>
      </c>
      <c r="C85" s="17">
        <v>0</v>
      </c>
      <c r="D85" s="17">
        <f t="shared" si="11"/>
        <v>155</v>
      </c>
      <c r="E85" s="12">
        <v>0</v>
      </c>
      <c r="F85" s="12">
        <f t="shared" si="9"/>
        <v>0</v>
      </c>
      <c r="G85" s="12">
        <f>G84+E85+F85</f>
        <v>6200000</v>
      </c>
    </row>
    <row r="86" spans="1:7" x14ac:dyDescent="0.25">
      <c r="A86" s="11" t="s">
        <v>49</v>
      </c>
      <c r="B86" s="17">
        <v>660</v>
      </c>
      <c r="C86" s="17">
        <v>1902</v>
      </c>
      <c r="D86" s="17">
        <f t="shared" si="11"/>
        <v>1397</v>
      </c>
      <c r="E86" s="12">
        <v>6200000</v>
      </c>
      <c r="F86" s="12">
        <f t="shared" si="9"/>
        <v>0</v>
      </c>
      <c r="G86" s="12">
        <f>G85+F86</f>
        <v>6200000</v>
      </c>
    </row>
    <row r="87" spans="1:7" x14ac:dyDescent="0.25">
      <c r="A87" s="11" t="s">
        <v>50</v>
      </c>
      <c r="B87" s="17">
        <v>1307</v>
      </c>
      <c r="C87" s="17">
        <v>1902</v>
      </c>
      <c r="D87" s="17">
        <f t="shared" si="11"/>
        <v>1992</v>
      </c>
      <c r="E87" s="12">
        <v>6200000</v>
      </c>
      <c r="F87" s="12">
        <f t="shared" si="9"/>
        <v>0</v>
      </c>
      <c r="G87" s="12">
        <f>G86+F87</f>
        <v>6200000</v>
      </c>
    </row>
    <row r="88" spans="1:7" x14ac:dyDescent="0.25">
      <c r="A88" s="11" t="s">
        <v>51</v>
      </c>
      <c r="B88" s="17">
        <v>963</v>
      </c>
      <c r="C88" s="17">
        <v>0</v>
      </c>
      <c r="D88" s="17">
        <f t="shared" si="11"/>
        <v>1029</v>
      </c>
      <c r="E88" s="12">
        <v>0</v>
      </c>
      <c r="F88" s="12">
        <f t="shared" si="9"/>
        <v>0</v>
      </c>
      <c r="G88" s="12">
        <f>G87+F88</f>
        <v>6200000</v>
      </c>
    </row>
    <row r="89" spans="1:7" x14ac:dyDescent="0.25">
      <c r="A89" s="11" t="s">
        <v>52</v>
      </c>
      <c r="B89" s="17">
        <v>727</v>
      </c>
      <c r="C89" s="17">
        <v>0</v>
      </c>
      <c r="D89" s="17">
        <f t="shared" si="11"/>
        <v>302</v>
      </c>
      <c r="E89" s="12">
        <v>0</v>
      </c>
      <c r="F89" s="12">
        <f t="shared" si="9"/>
        <v>0</v>
      </c>
      <c r="G89" s="46">
        <f>G88+F89</f>
        <v>6200000</v>
      </c>
    </row>
    <row r="90" spans="1:7" x14ac:dyDescent="0.25">
      <c r="A90" s="49" t="s">
        <v>14</v>
      </c>
      <c r="B90" s="48">
        <f>SUM(B78+B79+B80+B81+B82+B83+B84+B85+B86+B87+B88+B89)</f>
        <v>11110</v>
      </c>
      <c r="C90" s="48">
        <f>SUM(C78+C79+C80+C81+C82+C83+C84+C85+C86+C87+C88+C89)</f>
        <v>11412</v>
      </c>
      <c r="D90" s="48">
        <f>SUM(D78+D79+D80+D81+D82+D83+D84+D85+D86+D87+D88+D89)</f>
        <v>13327</v>
      </c>
      <c r="E90" s="45">
        <f>SUM(E78:E89)</f>
        <v>37200000</v>
      </c>
      <c r="F90" s="45">
        <f>SUM(F78:F89)</f>
        <v>0</v>
      </c>
      <c r="G90" s="45">
        <f>G89+F89</f>
        <v>6200000</v>
      </c>
    </row>
    <row r="92" spans="1:7" ht="23.25" x14ac:dyDescent="0.35">
      <c r="A92" s="32" t="s">
        <v>102</v>
      </c>
      <c r="B92" s="32"/>
      <c r="C92" s="15">
        <f>C90-B90</f>
        <v>302</v>
      </c>
    </row>
    <row r="93" spans="1:7" x14ac:dyDescent="0.25">
      <c r="A93" s="139" t="s">
        <v>77</v>
      </c>
      <c r="B93" s="139"/>
      <c r="C93" s="36" t="s">
        <v>87</v>
      </c>
      <c r="D93" s="36" t="s">
        <v>74</v>
      </c>
      <c r="E93" s="36" t="s">
        <v>88</v>
      </c>
    </row>
    <row r="94" spans="1:7" x14ac:dyDescent="0.25">
      <c r="A94" s="16" t="s">
        <v>22</v>
      </c>
      <c r="B94" s="19">
        <f>E68</f>
        <v>74400000</v>
      </c>
      <c r="C94" s="13">
        <f>B96</f>
        <v>80600000</v>
      </c>
      <c r="D94" s="13">
        <f>B100</f>
        <v>6200000</v>
      </c>
      <c r="E94" s="13">
        <f>C94-D94</f>
        <v>74400000</v>
      </c>
    </row>
    <row r="95" spans="1:7" x14ac:dyDescent="0.25">
      <c r="A95" s="16" t="s">
        <v>2</v>
      </c>
      <c r="B95" s="19">
        <f>F68</f>
        <v>0</v>
      </c>
    </row>
    <row r="96" spans="1:7" x14ac:dyDescent="0.25">
      <c r="A96" s="16" t="s">
        <v>57</v>
      </c>
      <c r="B96" s="19">
        <f>G68</f>
        <v>80600000</v>
      </c>
    </row>
    <row r="97" spans="1:7" x14ac:dyDescent="0.25">
      <c r="A97" s="139" t="s">
        <v>78</v>
      </c>
      <c r="B97" s="139"/>
      <c r="C97" s="13">
        <f>B96-B100</f>
        <v>74400000</v>
      </c>
      <c r="D97" s="23">
        <f>((B96-B100)/B96)*100%</f>
        <v>0.92307692307692313</v>
      </c>
      <c r="E97" s="13">
        <f>B96-B100</f>
        <v>74400000</v>
      </c>
      <c r="F97" s="9">
        <f>E97/B96</f>
        <v>0.92307692307692313</v>
      </c>
      <c r="G97" s="25">
        <v>1</v>
      </c>
    </row>
    <row r="98" spans="1:7" x14ac:dyDescent="0.25">
      <c r="A98" s="16" t="s">
        <v>22</v>
      </c>
      <c r="B98" s="19">
        <f>E90</f>
        <v>37200000</v>
      </c>
      <c r="G98" s="21">
        <f>F97*G97</f>
        <v>0.92307692307692313</v>
      </c>
    </row>
    <row r="99" spans="1:7" x14ac:dyDescent="0.25">
      <c r="A99" s="16" t="s">
        <v>2</v>
      </c>
      <c r="B99" s="19">
        <f>F90</f>
        <v>0</v>
      </c>
    </row>
    <row r="100" spans="1:7" x14ac:dyDescent="0.25">
      <c r="A100" s="16" t="s">
        <v>57</v>
      </c>
      <c r="B100" s="19">
        <f>G90</f>
        <v>6200000</v>
      </c>
      <c r="C100" s="13"/>
    </row>
    <row r="101" spans="1:7" x14ac:dyDescent="0.25">
      <c r="B101" s="13">
        <f>B96-B100</f>
        <v>74400000</v>
      </c>
    </row>
    <row r="102" spans="1:7" x14ac:dyDescent="0.25">
      <c r="A102" s="9" t="s">
        <v>79</v>
      </c>
      <c r="D102" s="18"/>
      <c r="F102" s="15"/>
      <c r="G102" s="15"/>
    </row>
    <row r="103" spans="1:7" x14ac:dyDescent="0.25">
      <c r="A103" s="9" t="s">
        <v>37</v>
      </c>
      <c r="D103" s="18"/>
      <c r="F103" s="15"/>
      <c r="G103" s="15"/>
    </row>
    <row r="104" spans="1:7" x14ac:dyDescent="0.25">
      <c r="D104" s="18"/>
      <c r="F104" s="15"/>
      <c r="G104" s="15"/>
    </row>
    <row r="105" spans="1:7" x14ac:dyDescent="0.25">
      <c r="D105" s="18"/>
      <c r="F105" s="15"/>
      <c r="G105" s="15"/>
    </row>
    <row r="106" spans="1:7" x14ac:dyDescent="0.25">
      <c r="A106" s="9" t="s">
        <v>37</v>
      </c>
      <c r="D106" s="18"/>
      <c r="F106" s="15"/>
      <c r="G106" s="15"/>
    </row>
    <row r="107" spans="1:7" x14ac:dyDescent="0.25">
      <c r="D107" s="18"/>
      <c r="F107" s="15"/>
      <c r="G107" s="15"/>
    </row>
    <row r="108" spans="1:7" x14ac:dyDescent="0.25">
      <c r="D108" s="18"/>
      <c r="F108" s="15"/>
      <c r="G108" s="15"/>
    </row>
    <row r="109" spans="1:7" x14ac:dyDescent="0.25">
      <c r="A109" s="9" t="s">
        <v>80</v>
      </c>
      <c r="D109" s="18"/>
      <c r="F109" s="15"/>
      <c r="G109" s="15"/>
    </row>
    <row r="110" spans="1:7" x14ac:dyDescent="0.25">
      <c r="D110" s="18"/>
      <c r="F110" s="15"/>
      <c r="G110" s="15"/>
    </row>
    <row r="111" spans="1:7" x14ac:dyDescent="0.25">
      <c r="A111" s="9" t="s">
        <v>81</v>
      </c>
      <c r="D111" s="18"/>
      <c r="F111" s="15"/>
      <c r="G111" s="15"/>
    </row>
    <row r="112" spans="1:7" x14ac:dyDescent="0.25">
      <c r="D112" s="18"/>
      <c r="F112" s="15"/>
      <c r="G112" s="15"/>
    </row>
    <row r="113" spans="2:10" x14ac:dyDescent="0.25">
      <c r="D113" s="18"/>
      <c r="F113" s="15"/>
      <c r="G113" s="15"/>
    </row>
    <row r="115" spans="2:10" x14ac:dyDescent="0.25">
      <c r="E115" s="24"/>
    </row>
    <row r="116" spans="2:10" x14ac:dyDescent="0.25">
      <c r="D116" s="22"/>
      <c r="E116" s="24"/>
      <c r="I116" s="21"/>
    </row>
    <row r="117" spans="2:10" x14ac:dyDescent="0.25">
      <c r="J117" s="15"/>
    </row>
    <row r="119" spans="2:10" x14ac:dyDescent="0.25">
      <c r="B119" s="9">
        <v>3</v>
      </c>
    </row>
  </sheetData>
  <mergeCells count="4">
    <mergeCell ref="A93:B93"/>
    <mergeCell ref="A97:B97"/>
    <mergeCell ref="A2:A3"/>
    <mergeCell ref="B2:B3"/>
  </mergeCells>
  <phoneticPr fontId="4" type="noConversion"/>
  <pageMargins left="0.7" right="0.7" top="0.75" bottom="0.75" header="0.3" footer="0.3"/>
  <pageSetup paperSize="9" orientation="portrait" r:id="rId1"/>
  <ignoredErrors>
    <ignoredError sqref="G85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66EE-FCF4-4E90-98E0-33E664C85B75}">
  <dimension ref="A1:O71"/>
  <sheetViews>
    <sheetView topLeftCell="C10" zoomScale="85" zoomScaleNormal="85" workbookViewId="0">
      <selection activeCell="G25" sqref="G25"/>
    </sheetView>
  </sheetViews>
  <sheetFormatPr defaultRowHeight="12.75" x14ac:dyDescent="0.2"/>
  <cols>
    <col min="1" max="1" width="12.85546875" style="51" customWidth="1"/>
    <col min="2" max="2" width="18.7109375" style="51" customWidth="1"/>
    <col min="3" max="3" width="15.7109375" style="51" customWidth="1"/>
    <col min="4" max="4" width="18" style="51" customWidth="1"/>
    <col min="5" max="5" width="20.5703125" style="51" customWidth="1"/>
    <col min="6" max="6" width="18.7109375" style="51" customWidth="1"/>
    <col min="7" max="7" width="27" style="51" bestFit="1" customWidth="1"/>
    <col min="8" max="8" width="18.85546875" style="51" bestFit="1" customWidth="1"/>
    <col min="9" max="9" width="9.28515625" style="51" bestFit="1" customWidth="1"/>
    <col min="10" max="10" width="29.42578125" style="51" bestFit="1" customWidth="1"/>
    <col min="11" max="11" width="18.140625" style="51" bestFit="1" customWidth="1"/>
    <col min="12" max="12" width="20" style="51" bestFit="1" customWidth="1"/>
    <col min="13" max="13" width="12.5703125" style="51" bestFit="1" customWidth="1"/>
    <col min="14" max="14" width="9.140625" style="51"/>
    <col min="15" max="15" width="16.140625" style="51" bestFit="1" customWidth="1"/>
    <col min="16" max="16384" width="9.140625" style="51"/>
  </cols>
  <sheetData>
    <row r="1" spans="1:13" x14ac:dyDescent="0.2">
      <c r="A1" s="50" t="s">
        <v>97</v>
      </c>
      <c r="B1" s="50"/>
      <c r="C1" s="50"/>
      <c r="D1" s="50"/>
      <c r="E1" s="50"/>
    </row>
    <row r="2" spans="1:13" x14ac:dyDescent="0.2">
      <c r="A2" s="142"/>
      <c r="B2" s="143" t="s">
        <v>40</v>
      </c>
      <c r="C2" s="52" t="s">
        <v>61</v>
      </c>
      <c r="D2" s="52" t="s">
        <v>62</v>
      </c>
      <c r="E2" s="53"/>
      <c r="F2" s="80" t="s">
        <v>117</v>
      </c>
      <c r="G2" s="80" t="s">
        <v>119</v>
      </c>
      <c r="H2" s="80" t="s">
        <v>118</v>
      </c>
      <c r="J2" s="51">
        <f>_xlfn.STDEV.P(C4:C15)</f>
        <v>212.63836998267479</v>
      </c>
      <c r="L2" s="80" t="s">
        <v>117</v>
      </c>
      <c r="M2" s="80" t="s">
        <v>120</v>
      </c>
    </row>
    <row r="3" spans="1:13" x14ac:dyDescent="0.2">
      <c r="A3" s="142"/>
      <c r="B3" s="143"/>
      <c r="C3" s="52" t="s">
        <v>92</v>
      </c>
      <c r="D3" s="52" t="s">
        <v>92</v>
      </c>
      <c r="E3" s="53"/>
      <c r="F3" s="79" t="s">
        <v>41</v>
      </c>
      <c r="G3" s="79">
        <v>3</v>
      </c>
      <c r="H3" s="79">
        <v>3400</v>
      </c>
      <c r="J3" s="51" t="s">
        <v>115</v>
      </c>
      <c r="L3" s="79" t="s">
        <v>41</v>
      </c>
      <c r="M3" s="79">
        <v>3375</v>
      </c>
    </row>
    <row r="4" spans="1:13" x14ac:dyDescent="0.2">
      <c r="A4" s="54"/>
      <c r="B4" s="55" t="s">
        <v>41</v>
      </c>
      <c r="C4" s="56">
        <v>1218</v>
      </c>
      <c r="D4" s="56">
        <v>993</v>
      </c>
      <c r="E4" s="57"/>
      <c r="F4" s="79" t="s">
        <v>42</v>
      </c>
      <c r="G4" s="79">
        <v>3</v>
      </c>
      <c r="H4" s="79">
        <v>3400</v>
      </c>
      <c r="L4" s="79" t="s">
        <v>42</v>
      </c>
      <c r="M4" s="79">
        <v>3365</v>
      </c>
    </row>
    <row r="5" spans="1:13" x14ac:dyDescent="0.2">
      <c r="A5" s="54"/>
      <c r="B5" s="55" t="s">
        <v>42</v>
      </c>
      <c r="C5" s="56">
        <v>1250</v>
      </c>
      <c r="D5" s="56">
        <v>1147</v>
      </c>
      <c r="E5" s="57"/>
      <c r="F5" s="79" t="s">
        <v>43</v>
      </c>
      <c r="G5" s="79">
        <v>3</v>
      </c>
      <c r="H5" s="79">
        <v>3400</v>
      </c>
      <c r="L5" s="79" t="s">
        <v>43</v>
      </c>
      <c r="M5" s="79">
        <v>3375</v>
      </c>
    </row>
    <row r="6" spans="1:13" x14ac:dyDescent="0.2">
      <c r="A6" s="54"/>
      <c r="B6" s="55" t="s">
        <v>43</v>
      </c>
      <c r="C6" s="56">
        <v>876</v>
      </c>
      <c r="D6" s="56">
        <v>733</v>
      </c>
      <c r="E6" s="57"/>
      <c r="F6" s="79" t="s">
        <v>44</v>
      </c>
      <c r="G6" s="79">
        <v>3</v>
      </c>
      <c r="H6" s="79">
        <v>3400</v>
      </c>
      <c r="L6" s="79" t="s">
        <v>44</v>
      </c>
      <c r="M6" s="79">
        <v>3385</v>
      </c>
    </row>
    <row r="7" spans="1:13" x14ac:dyDescent="0.2">
      <c r="A7" s="54"/>
      <c r="B7" s="55" t="s">
        <v>44</v>
      </c>
      <c r="C7" s="56">
        <v>958</v>
      </c>
      <c r="D7" s="56">
        <v>833</v>
      </c>
      <c r="E7" s="57"/>
      <c r="F7" s="79" t="s">
        <v>45</v>
      </c>
      <c r="G7" s="79">
        <v>4</v>
      </c>
      <c r="H7" s="79">
        <v>4200</v>
      </c>
      <c r="L7" s="79" t="s">
        <v>45</v>
      </c>
      <c r="M7" s="79">
        <v>4195</v>
      </c>
    </row>
    <row r="8" spans="1:13" x14ac:dyDescent="0.2">
      <c r="A8" s="54"/>
      <c r="B8" s="55" t="s">
        <v>45</v>
      </c>
      <c r="C8" s="56">
        <v>749</v>
      </c>
      <c r="D8" s="56">
        <v>587</v>
      </c>
      <c r="E8" s="57"/>
      <c r="F8" s="79" t="s">
        <v>46</v>
      </c>
      <c r="G8" s="79">
        <v>3</v>
      </c>
      <c r="H8" s="79">
        <v>3400</v>
      </c>
      <c r="L8" s="79" t="s">
        <v>46</v>
      </c>
      <c r="M8" s="79">
        <v>3385</v>
      </c>
    </row>
    <row r="9" spans="1:13" x14ac:dyDescent="0.2">
      <c r="A9" s="54"/>
      <c r="B9" s="55" t="s">
        <v>46</v>
      </c>
      <c r="C9" s="56">
        <v>1295</v>
      </c>
      <c r="D9" s="56">
        <v>1220</v>
      </c>
      <c r="E9" s="57"/>
      <c r="F9" s="79" t="s">
        <v>47</v>
      </c>
      <c r="G9" s="79">
        <v>3</v>
      </c>
      <c r="H9" s="79">
        <v>3400</v>
      </c>
      <c r="L9" s="79" t="s">
        <v>47</v>
      </c>
      <c r="M9" s="79">
        <v>3385</v>
      </c>
    </row>
    <row r="10" spans="1:13" x14ac:dyDescent="0.2">
      <c r="A10" s="54"/>
      <c r="B10" s="55" t="s">
        <v>47</v>
      </c>
      <c r="C10" s="56">
        <v>863</v>
      </c>
      <c r="D10" s="56">
        <v>753</v>
      </c>
      <c r="E10" s="57"/>
      <c r="F10" s="79" t="s">
        <v>48</v>
      </c>
      <c r="G10" s="79">
        <v>3</v>
      </c>
      <c r="H10" s="79">
        <v>3400</v>
      </c>
      <c r="L10" s="79" t="s">
        <v>48</v>
      </c>
      <c r="M10" s="79">
        <v>3365</v>
      </c>
    </row>
    <row r="11" spans="1:13" x14ac:dyDescent="0.2">
      <c r="A11" s="54"/>
      <c r="B11" s="55" t="s">
        <v>48</v>
      </c>
      <c r="C11" s="58">
        <v>1200</v>
      </c>
      <c r="D11" s="56">
        <v>1187</v>
      </c>
      <c r="E11" s="57"/>
      <c r="F11" s="79" t="s">
        <v>49</v>
      </c>
      <c r="G11" s="79">
        <v>4</v>
      </c>
      <c r="H11" s="79">
        <v>4200</v>
      </c>
      <c r="L11" s="79" t="s">
        <v>49</v>
      </c>
      <c r="M11" s="79">
        <v>4185</v>
      </c>
    </row>
    <row r="12" spans="1:13" x14ac:dyDescent="0.2">
      <c r="A12" s="54"/>
      <c r="B12" s="55" t="s">
        <v>49</v>
      </c>
      <c r="C12" s="58">
        <v>749</v>
      </c>
      <c r="D12" s="56">
        <v>660</v>
      </c>
      <c r="E12" s="57"/>
      <c r="F12" s="79" t="s">
        <v>50</v>
      </c>
      <c r="G12" s="79">
        <v>4</v>
      </c>
      <c r="H12" s="79">
        <v>4200</v>
      </c>
      <c r="L12" s="79" t="s">
        <v>50</v>
      </c>
      <c r="M12" s="79">
        <v>4175</v>
      </c>
    </row>
    <row r="13" spans="1:13" x14ac:dyDescent="0.2">
      <c r="A13" s="54"/>
      <c r="B13" s="55" t="s">
        <v>50</v>
      </c>
      <c r="C13" s="58">
        <v>1388</v>
      </c>
      <c r="D13" s="56">
        <v>1307</v>
      </c>
      <c r="E13" s="57"/>
      <c r="F13" s="79" t="s">
        <v>51</v>
      </c>
      <c r="G13" s="79">
        <v>3</v>
      </c>
      <c r="H13" s="79">
        <v>3400</v>
      </c>
      <c r="L13" s="79" t="s">
        <v>51</v>
      </c>
      <c r="M13" s="79">
        <v>3385</v>
      </c>
    </row>
    <row r="14" spans="1:13" x14ac:dyDescent="0.2">
      <c r="A14" s="54"/>
      <c r="B14" s="55" t="s">
        <v>51</v>
      </c>
      <c r="C14" s="58">
        <v>1045</v>
      </c>
      <c r="D14" s="56">
        <v>963</v>
      </c>
      <c r="E14" s="57"/>
      <c r="F14" s="79" t="s">
        <v>52</v>
      </c>
      <c r="G14" s="79">
        <v>4</v>
      </c>
      <c r="H14" s="79">
        <v>4200</v>
      </c>
      <c r="L14" s="79" t="s">
        <v>52</v>
      </c>
      <c r="M14" s="79">
        <v>4185</v>
      </c>
    </row>
    <row r="15" spans="1:13" x14ac:dyDescent="0.2">
      <c r="A15" s="54"/>
      <c r="B15" s="55" t="s">
        <v>52</v>
      </c>
      <c r="C15" s="58">
        <v>896</v>
      </c>
      <c r="D15" s="56">
        <v>727</v>
      </c>
      <c r="E15" s="57"/>
      <c r="F15" s="80" t="s">
        <v>14</v>
      </c>
      <c r="G15" s="79">
        <f>SUM(G3:G14)</f>
        <v>40</v>
      </c>
      <c r="H15" s="79">
        <f>SUM(H3:H13)</f>
        <v>39800</v>
      </c>
      <c r="L15" s="80" t="s">
        <v>14</v>
      </c>
      <c r="M15" s="80">
        <f>SUM(M3:M13)</f>
        <v>39575</v>
      </c>
    </row>
    <row r="16" spans="1:13" x14ac:dyDescent="0.2">
      <c r="A16" s="59"/>
      <c r="B16" s="60" t="s">
        <v>14</v>
      </c>
      <c r="C16" s="61">
        <f>SUM(C4:C15)</f>
        <v>12487</v>
      </c>
      <c r="D16" s="61">
        <f>SUM(D4:D15)</f>
        <v>11110</v>
      </c>
      <c r="E16" s="53"/>
      <c r="F16" s="54"/>
      <c r="G16" s="54"/>
      <c r="H16" s="54"/>
      <c r="L16" s="80" t="s">
        <v>121</v>
      </c>
      <c r="M16" s="82">
        <f>M15/12</f>
        <v>3297.9166666666665</v>
      </c>
    </row>
    <row r="17" spans="1:15" x14ac:dyDescent="0.2">
      <c r="C17" s="62"/>
      <c r="D17" s="53"/>
      <c r="J17" s="76"/>
    </row>
    <row r="18" spans="1:15" x14ac:dyDescent="0.2">
      <c r="A18" s="50" t="s">
        <v>98</v>
      </c>
      <c r="B18" s="50"/>
      <c r="C18" s="50"/>
      <c r="D18" s="50"/>
      <c r="E18" s="83"/>
      <c r="G18" s="83"/>
      <c r="H18" s="83"/>
      <c r="I18" s="83"/>
    </row>
    <row r="19" spans="1:15" x14ac:dyDescent="0.2">
      <c r="A19" s="52" t="s">
        <v>40</v>
      </c>
      <c r="B19" s="63" t="s">
        <v>82</v>
      </c>
      <c r="C19" s="52" t="s">
        <v>7</v>
      </c>
      <c r="D19" s="64" t="s">
        <v>3</v>
      </c>
      <c r="F19" s="85" t="s">
        <v>122</v>
      </c>
      <c r="G19" s="86" t="s">
        <v>123</v>
      </c>
      <c r="H19" s="83"/>
      <c r="I19" s="80" t="s">
        <v>40</v>
      </c>
      <c r="J19" s="82" t="s">
        <v>127</v>
      </c>
      <c r="K19" s="80" t="s">
        <v>128</v>
      </c>
      <c r="L19" s="80" t="s">
        <v>129</v>
      </c>
      <c r="O19" s="77"/>
    </row>
    <row r="20" spans="1:15" x14ac:dyDescent="0.2">
      <c r="A20" s="55" t="s">
        <v>41</v>
      </c>
      <c r="B20" s="65">
        <v>100000</v>
      </c>
      <c r="C20" s="65">
        <v>4200000</v>
      </c>
      <c r="D20" s="65">
        <f t="shared" ref="D20:D31" ca="1" si="0">SUM(B20:D20)</f>
        <v>4300000</v>
      </c>
      <c r="F20" s="79" t="s">
        <v>124</v>
      </c>
      <c r="G20" s="87">
        <v>360000</v>
      </c>
      <c r="H20" s="83"/>
      <c r="I20" s="79" t="s">
        <v>41</v>
      </c>
      <c r="J20" s="89">
        <v>360000</v>
      </c>
      <c r="K20" s="79">
        <v>4</v>
      </c>
      <c r="L20" s="89">
        <f>J20*K20</f>
        <v>1440000</v>
      </c>
      <c r="O20" s="76"/>
    </row>
    <row r="21" spans="1:15" x14ac:dyDescent="0.2">
      <c r="A21" s="55" t="s">
        <v>42</v>
      </c>
      <c r="B21" s="65">
        <v>100000</v>
      </c>
      <c r="C21" s="65">
        <v>4200000</v>
      </c>
      <c r="D21" s="65">
        <f t="shared" ca="1" si="0"/>
        <v>4300000</v>
      </c>
      <c r="F21" s="79" t="s">
        <v>125</v>
      </c>
      <c r="G21" s="87" t="s">
        <v>126</v>
      </c>
      <c r="H21" s="83"/>
      <c r="I21" s="79" t="s">
        <v>42</v>
      </c>
      <c r="J21" s="89">
        <v>360000</v>
      </c>
      <c r="K21" s="79">
        <v>4</v>
      </c>
      <c r="L21" s="89">
        <f t="shared" ref="L21:L31" si="1">J21*K21</f>
        <v>1440000</v>
      </c>
      <c r="N21" s="83"/>
      <c r="O21" s="76"/>
    </row>
    <row r="22" spans="1:15" x14ac:dyDescent="0.2">
      <c r="A22" s="55" t="s">
        <v>43</v>
      </c>
      <c r="B22" s="65">
        <v>100000</v>
      </c>
      <c r="C22" s="65">
        <v>4200000</v>
      </c>
      <c r="D22" s="65">
        <f t="shared" ca="1" si="0"/>
        <v>4300000</v>
      </c>
      <c r="F22" s="80" t="s">
        <v>14</v>
      </c>
      <c r="G22" s="88">
        <f>SUM(G20:G21)</f>
        <v>360000</v>
      </c>
      <c r="H22" s="83"/>
      <c r="I22" s="79" t="s">
        <v>43</v>
      </c>
      <c r="J22" s="89">
        <v>360000</v>
      </c>
      <c r="K22" s="79">
        <v>4</v>
      </c>
      <c r="L22" s="89">
        <f t="shared" si="1"/>
        <v>1440000</v>
      </c>
    </row>
    <row r="23" spans="1:15" x14ac:dyDescent="0.2">
      <c r="A23" s="55" t="s">
        <v>44</v>
      </c>
      <c r="B23" s="65">
        <v>100000</v>
      </c>
      <c r="C23" s="65">
        <v>4200000</v>
      </c>
      <c r="D23" s="65">
        <f t="shared" ca="1" si="0"/>
        <v>4300000</v>
      </c>
      <c r="G23" s="83"/>
      <c r="H23" s="83"/>
      <c r="I23" s="79" t="s">
        <v>44</v>
      </c>
      <c r="J23" s="89">
        <v>360000</v>
      </c>
      <c r="K23" s="79">
        <v>4</v>
      </c>
      <c r="L23" s="89">
        <f t="shared" si="1"/>
        <v>1440000</v>
      </c>
    </row>
    <row r="24" spans="1:15" x14ac:dyDescent="0.2">
      <c r="A24" s="55" t="s">
        <v>45</v>
      </c>
      <c r="B24" s="65">
        <v>100000</v>
      </c>
      <c r="C24" s="65">
        <v>4200000</v>
      </c>
      <c r="D24" s="65">
        <f t="shared" ca="1" si="0"/>
        <v>4300000</v>
      </c>
      <c r="G24" s="83"/>
      <c r="H24" s="83"/>
      <c r="I24" s="79" t="s">
        <v>45</v>
      </c>
      <c r="J24" s="89">
        <v>360000</v>
      </c>
      <c r="K24" s="79">
        <v>4</v>
      </c>
      <c r="L24" s="89">
        <f>J24*K24</f>
        <v>1440000</v>
      </c>
    </row>
    <row r="25" spans="1:15" x14ac:dyDescent="0.2">
      <c r="A25" s="55" t="s">
        <v>46</v>
      </c>
      <c r="B25" s="65">
        <v>100000</v>
      </c>
      <c r="C25" s="65">
        <v>4200000</v>
      </c>
      <c r="D25" s="65">
        <f t="shared" ca="1" si="0"/>
        <v>4300000</v>
      </c>
      <c r="F25" s="55" t="s">
        <v>131</v>
      </c>
      <c r="G25" s="84" t="s">
        <v>132</v>
      </c>
      <c r="H25" s="83"/>
      <c r="I25" s="79" t="s">
        <v>46</v>
      </c>
      <c r="J25" s="89">
        <v>360000</v>
      </c>
      <c r="K25" s="79">
        <v>4</v>
      </c>
      <c r="L25" s="89">
        <f t="shared" si="1"/>
        <v>1440000</v>
      </c>
    </row>
    <row r="26" spans="1:15" x14ac:dyDescent="0.2">
      <c r="A26" s="55" t="s">
        <v>47</v>
      </c>
      <c r="B26" s="65">
        <v>100000</v>
      </c>
      <c r="C26" s="65">
        <v>4200000</v>
      </c>
      <c r="D26" s="65">
        <f t="shared" ca="1" si="0"/>
        <v>4300000</v>
      </c>
      <c r="F26" s="55"/>
      <c r="G26" s="84"/>
      <c r="H26" s="83"/>
      <c r="I26" s="79" t="s">
        <v>47</v>
      </c>
      <c r="J26" s="89">
        <v>360000</v>
      </c>
      <c r="K26" s="79">
        <v>4</v>
      </c>
      <c r="L26" s="89">
        <f t="shared" si="1"/>
        <v>1440000</v>
      </c>
    </row>
    <row r="27" spans="1:15" x14ac:dyDescent="0.2">
      <c r="A27" s="55" t="s">
        <v>48</v>
      </c>
      <c r="B27" s="65">
        <v>100000</v>
      </c>
      <c r="C27" s="65">
        <v>4200000</v>
      </c>
      <c r="D27" s="65">
        <f t="shared" ca="1" si="0"/>
        <v>4300000</v>
      </c>
      <c r="F27" s="55"/>
      <c r="G27" s="55"/>
      <c r="I27" s="79" t="s">
        <v>48</v>
      </c>
      <c r="J27" s="89">
        <v>360000</v>
      </c>
      <c r="K27" s="79">
        <v>4</v>
      </c>
      <c r="L27" s="89">
        <f t="shared" si="1"/>
        <v>1440000</v>
      </c>
    </row>
    <row r="28" spans="1:15" x14ac:dyDescent="0.2">
      <c r="A28" s="55" t="s">
        <v>49</v>
      </c>
      <c r="B28" s="65">
        <v>100000</v>
      </c>
      <c r="C28" s="65">
        <v>4200000</v>
      </c>
      <c r="D28" s="65">
        <f t="shared" ca="1" si="0"/>
        <v>4300000</v>
      </c>
      <c r="F28" s="55"/>
      <c r="G28" s="55"/>
      <c r="I28" s="79" t="s">
        <v>49</v>
      </c>
      <c r="J28" s="89">
        <v>360000</v>
      </c>
      <c r="K28" s="79">
        <v>4</v>
      </c>
      <c r="L28" s="89">
        <f t="shared" si="1"/>
        <v>1440000</v>
      </c>
    </row>
    <row r="29" spans="1:15" x14ac:dyDescent="0.2">
      <c r="A29" s="55" t="s">
        <v>50</v>
      </c>
      <c r="B29" s="65">
        <v>100000</v>
      </c>
      <c r="C29" s="65">
        <v>4200000</v>
      </c>
      <c r="D29" s="65">
        <f t="shared" ca="1" si="0"/>
        <v>4300000</v>
      </c>
      <c r="I29" s="79" t="s">
        <v>50</v>
      </c>
      <c r="J29" s="89">
        <v>360000</v>
      </c>
      <c r="K29" s="79">
        <v>4</v>
      </c>
      <c r="L29" s="89">
        <f t="shared" si="1"/>
        <v>1440000</v>
      </c>
    </row>
    <row r="30" spans="1:15" x14ac:dyDescent="0.2">
      <c r="A30" s="55" t="s">
        <v>51</v>
      </c>
      <c r="B30" s="65">
        <v>100000</v>
      </c>
      <c r="C30" s="65">
        <v>4200000</v>
      </c>
      <c r="D30" s="65">
        <f t="shared" ca="1" si="0"/>
        <v>4300000</v>
      </c>
      <c r="I30" s="79" t="s">
        <v>51</v>
      </c>
      <c r="J30" s="89">
        <v>360000</v>
      </c>
      <c r="K30" s="79">
        <v>4</v>
      </c>
      <c r="L30" s="89">
        <f t="shared" si="1"/>
        <v>1440000</v>
      </c>
    </row>
    <row r="31" spans="1:15" x14ac:dyDescent="0.2">
      <c r="A31" s="55" t="s">
        <v>52</v>
      </c>
      <c r="B31" s="65">
        <v>100000</v>
      </c>
      <c r="C31" s="65">
        <v>4200000</v>
      </c>
      <c r="D31" s="65">
        <f t="shared" ca="1" si="0"/>
        <v>4300000</v>
      </c>
      <c r="I31" s="79" t="s">
        <v>52</v>
      </c>
      <c r="J31" s="89">
        <v>360000</v>
      </c>
      <c r="K31" s="79">
        <v>4</v>
      </c>
      <c r="L31" s="89">
        <f t="shared" si="1"/>
        <v>1440000</v>
      </c>
    </row>
    <row r="32" spans="1:15" x14ac:dyDescent="0.2">
      <c r="A32" s="60" t="s">
        <v>14</v>
      </c>
      <c r="B32" s="66">
        <f>SUM(B20:B31)</f>
        <v>1200000</v>
      </c>
      <c r="C32" s="66">
        <f t="shared" ref="C32" si="2">SUM(C20:C31)</f>
        <v>50400000</v>
      </c>
      <c r="D32" s="66">
        <f ca="1">SUM(D20:D31)</f>
        <v>51600000</v>
      </c>
      <c r="I32" s="80" t="s">
        <v>14</v>
      </c>
      <c r="J32" s="90">
        <f>SUM(J20:J31)</f>
        <v>4320000</v>
      </c>
      <c r="K32" s="81" t="s">
        <v>130</v>
      </c>
      <c r="L32" s="90">
        <f>SUM(L20:L31)</f>
        <v>17280000</v>
      </c>
    </row>
    <row r="33" spans="1:12" x14ac:dyDescent="0.2">
      <c r="I33" s="54"/>
      <c r="J33" s="54"/>
      <c r="K33" s="54"/>
      <c r="L33" s="54"/>
    </row>
    <row r="34" spans="1:12" x14ac:dyDescent="0.2">
      <c r="A34" s="50" t="s">
        <v>99</v>
      </c>
      <c r="B34" s="50"/>
      <c r="C34" s="50"/>
      <c r="D34" s="50"/>
      <c r="E34" s="50"/>
      <c r="I34" s="54"/>
      <c r="J34" s="54"/>
      <c r="K34" s="54"/>
      <c r="L34" s="54"/>
    </row>
    <row r="35" spans="1:12" x14ac:dyDescent="0.2">
      <c r="A35" s="67" t="s">
        <v>40</v>
      </c>
      <c r="B35" s="67" t="s">
        <v>54</v>
      </c>
      <c r="C35" s="67" t="s">
        <v>55</v>
      </c>
      <c r="D35" s="67" t="s">
        <v>3</v>
      </c>
      <c r="I35" s="54"/>
      <c r="J35" s="54"/>
      <c r="K35" s="54"/>
      <c r="L35" s="54"/>
    </row>
    <row r="36" spans="1:12" x14ac:dyDescent="0.2">
      <c r="A36" s="68" t="s">
        <v>41</v>
      </c>
      <c r="B36" s="65">
        <v>5000000</v>
      </c>
      <c r="C36" s="65">
        <v>1000000</v>
      </c>
      <c r="D36" s="65">
        <f t="shared" ref="D36:D47" ca="1" si="3">SUM(B36:D36)</f>
        <v>6000000</v>
      </c>
    </row>
    <row r="37" spans="1:12" x14ac:dyDescent="0.2">
      <c r="A37" s="68" t="s">
        <v>42</v>
      </c>
      <c r="B37" s="65">
        <v>5000000</v>
      </c>
      <c r="C37" s="65">
        <v>1000000</v>
      </c>
      <c r="D37" s="65">
        <f t="shared" ca="1" si="3"/>
        <v>6000000</v>
      </c>
    </row>
    <row r="38" spans="1:12" x14ac:dyDescent="0.2">
      <c r="A38" s="68" t="s">
        <v>43</v>
      </c>
      <c r="B38" s="65">
        <v>5000000</v>
      </c>
      <c r="C38" s="65">
        <v>1000000</v>
      </c>
      <c r="D38" s="65">
        <f t="shared" ca="1" si="3"/>
        <v>6000000</v>
      </c>
    </row>
    <row r="39" spans="1:12" x14ac:dyDescent="0.2">
      <c r="A39" s="68" t="s">
        <v>44</v>
      </c>
      <c r="B39" s="65">
        <v>5000000</v>
      </c>
      <c r="C39" s="65">
        <v>1000000</v>
      </c>
      <c r="D39" s="65">
        <f t="shared" ca="1" si="3"/>
        <v>6000000</v>
      </c>
    </row>
    <row r="40" spans="1:12" x14ac:dyDescent="0.2">
      <c r="A40" s="68" t="s">
        <v>45</v>
      </c>
      <c r="B40" s="65">
        <v>5000000</v>
      </c>
      <c r="C40" s="65">
        <v>1000000</v>
      </c>
      <c r="D40" s="65">
        <f t="shared" ca="1" si="3"/>
        <v>6000000</v>
      </c>
    </row>
    <row r="41" spans="1:12" x14ac:dyDescent="0.2">
      <c r="A41" s="68" t="s">
        <v>46</v>
      </c>
      <c r="B41" s="65">
        <v>5000000</v>
      </c>
      <c r="C41" s="65">
        <v>1000000</v>
      </c>
      <c r="D41" s="65">
        <f t="shared" ca="1" si="3"/>
        <v>6000000</v>
      </c>
    </row>
    <row r="42" spans="1:12" x14ac:dyDescent="0.2">
      <c r="A42" s="68" t="s">
        <v>47</v>
      </c>
      <c r="B42" s="65">
        <v>5000000</v>
      </c>
      <c r="C42" s="65">
        <v>1000000</v>
      </c>
      <c r="D42" s="65">
        <f t="shared" ca="1" si="3"/>
        <v>6000000</v>
      </c>
    </row>
    <row r="43" spans="1:12" x14ac:dyDescent="0.2">
      <c r="A43" s="68" t="s">
        <v>48</v>
      </c>
      <c r="B43" s="65">
        <v>5000000</v>
      </c>
      <c r="C43" s="65">
        <v>1000000</v>
      </c>
      <c r="D43" s="65">
        <f t="shared" ca="1" si="3"/>
        <v>6000000</v>
      </c>
    </row>
    <row r="44" spans="1:12" x14ac:dyDescent="0.2">
      <c r="A44" s="68" t="s">
        <v>49</v>
      </c>
      <c r="B44" s="65">
        <v>5000000</v>
      </c>
      <c r="C44" s="65">
        <v>1000000</v>
      </c>
      <c r="D44" s="65">
        <f t="shared" ca="1" si="3"/>
        <v>6000000</v>
      </c>
    </row>
    <row r="45" spans="1:12" x14ac:dyDescent="0.2">
      <c r="A45" s="68" t="s">
        <v>50</v>
      </c>
      <c r="B45" s="65">
        <v>5000000</v>
      </c>
      <c r="C45" s="65">
        <v>1000000</v>
      </c>
      <c r="D45" s="65">
        <f t="shared" ca="1" si="3"/>
        <v>6000000</v>
      </c>
    </row>
    <row r="46" spans="1:12" x14ac:dyDescent="0.2">
      <c r="A46" s="68" t="s">
        <v>51</v>
      </c>
      <c r="B46" s="65">
        <v>5000000</v>
      </c>
      <c r="C46" s="65">
        <v>1000000</v>
      </c>
      <c r="D46" s="65">
        <f t="shared" ca="1" si="3"/>
        <v>6000000</v>
      </c>
    </row>
    <row r="47" spans="1:12" x14ac:dyDescent="0.2">
      <c r="A47" s="68" t="s">
        <v>52</v>
      </c>
      <c r="B47" s="65">
        <v>5000000</v>
      </c>
      <c r="C47" s="65">
        <v>1000000</v>
      </c>
      <c r="D47" s="65">
        <f t="shared" ca="1" si="3"/>
        <v>6000000</v>
      </c>
    </row>
    <row r="48" spans="1:12" x14ac:dyDescent="0.2">
      <c r="A48" s="67" t="s">
        <v>53</v>
      </c>
      <c r="B48" s="66">
        <f>SUM(B36:B47)</f>
        <v>60000000</v>
      </c>
      <c r="C48" s="66">
        <f>SUM(C36:C47)</f>
        <v>12000000</v>
      </c>
      <c r="D48" s="66">
        <f ca="1">SUM(D36:D47)</f>
        <v>72000000</v>
      </c>
    </row>
    <row r="51" spans="1:7" x14ac:dyDescent="0.2">
      <c r="A51" s="50" t="s">
        <v>64</v>
      </c>
      <c r="B51" s="50"/>
    </row>
    <row r="52" spans="1:7" x14ac:dyDescent="0.2">
      <c r="A52" s="52" t="s">
        <v>65</v>
      </c>
      <c r="B52" s="52" t="s">
        <v>66</v>
      </c>
      <c r="C52" s="52" t="s">
        <v>114</v>
      </c>
      <c r="D52" s="52" t="s">
        <v>68</v>
      </c>
      <c r="E52" s="52" t="s">
        <v>111</v>
      </c>
      <c r="F52" s="52" t="s">
        <v>112</v>
      </c>
    </row>
    <row r="53" spans="1:7" x14ac:dyDescent="0.2">
      <c r="A53" s="55" t="s">
        <v>93</v>
      </c>
      <c r="B53" s="69">
        <f ca="1">D48</f>
        <v>72000000</v>
      </c>
      <c r="C53" s="70">
        <v>0.1</v>
      </c>
      <c r="D53" s="69">
        <f ca="1">B53*C53</f>
        <v>7200000</v>
      </c>
      <c r="E53" s="69">
        <f ca="1">D32/12</f>
        <v>4300000</v>
      </c>
      <c r="F53" s="69">
        <f ca="1">D48/B71</f>
        <v>6480.6480648064808</v>
      </c>
    </row>
    <row r="57" spans="1:7" x14ac:dyDescent="0.2">
      <c r="A57" s="50" t="s">
        <v>100</v>
      </c>
      <c r="B57" s="50"/>
      <c r="C57" s="50"/>
      <c r="D57" s="71"/>
      <c r="E57" s="71"/>
      <c r="F57" s="71"/>
      <c r="G57" s="71"/>
    </row>
    <row r="58" spans="1:7" x14ac:dyDescent="0.2">
      <c r="A58" s="67" t="s">
        <v>40</v>
      </c>
      <c r="B58" s="67" t="s">
        <v>94</v>
      </c>
      <c r="C58" s="67" t="s">
        <v>95</v>
      </c>
      <c r="D58" s="67" t="s">
        <v>96</v>
      </c>
      <c r="E58" s="67" t="s">
        <v>22</v>
      </c>
      <c r="F58" s="67" t="s">
        <v>2</v>
      </c>
      <c r="G58" s="67" t="s">
        <v>57</v>
      </c>
    </row>
    <row r="59" spans="1:7" x14ac:dyDescent="0.2">
      <c r="A59" s="68" t="s">
        <v>41</v>
      </c>
      <c r="B59" s="56">
        <v>993</v>
      </c>
      <c r="C59" s="56">
        <v>1218</v>
      </c>
      <c r="D59" s="58">
        <v>225</v>
      </c>
      <c r="E59" s="65">
        <v>6200000</v>
      </c>
      <c r="F59" s="65">
        <v>713942.30769230775</v>
      </c>
      <c r="G59" s="65">
        <v>6913942.307692308</v>
      </c>
    </row>
    <row r="60" spans="1:7" x14ac:dyDescent="0.2">
      <c r="A60" s="68" t="s">
        <v>42</v>
      </c>
      <c r="B60" s="56">
        <v>1147</v>
      </c>
      <c r="C60" s="56">
        <v>1250</v>
      </c>
      <c r="D60" s="58">
        <v>328</v>
      </c>
      <c r="E60" s="65">
        <v>6200000</v>
      </c>
      <c r="F60" s="65">
        <v>1040769.2307692309</v>
      </c>
      <c r="G60" s="65">
        <v>14154711.538461538</v>
      </c>
    </row>
    <row r="61" spans="1:7" x14ac:dyDescent="0.2">
      <c r="A61" s="68" t="s">
        <v>43</v>
      </c>
      <c r="B61" s="56">
        <v>733</v>
      </c>
      <c r="C61" s="56">
        <v>876</v>
      </c>
      <c r="D61" s="58">
        <v>471</v>
      </c>
      <c r="E61" s="65">
        <v>6200000</v>
      </c>
      <c r="F61" s="65">
        <v>1494519.230769231</v>
      </c>
      <c r="G61" s="65">
        <v>21849230.769230768</v>
      </c>
    </row>
    <row r="62" spans="1:7" x14ac:dyDescent="0.2">
      <c r="A62" s="68" t="s">
        <v>44</v>
      </c>
      <c r="B62" s="56">
        <v>833</v>
      </c>
      <c r="C62" s="56">
        <v>958</v>
      </c>
      <c r="D62" s="58">
        <v>596</v>
      </c>
      <c r="E62" s="65">
        <v>6200000</v>
      </c>
      <c r="F62" s="65">
        <v>1891153.8461538462</v>
      </c>
      <c r="G62" s="65">
        <v>29940384.615384616</v>
      </c>
    </row>
    <row r="63" spans="1:7" x14ac:dyDescent="0.2">
      <c r="A63" s="68" t="s">
        <v>45</v>
      </c>
      <c r="B63" s="56">
        <v>587</v>
      </c>
      <c r="C63" s="56">
        <v>749</v>
      </c>
      <c r="D63" s="58">
        <v>758</v>
      </c>
      <c r="E63" s="65">
        <v>6200000</v>
      </c>
      <c r="F63" s="65">
        <v>2405192.307692308</v>
      </c>
      <c r="G63" s="65">
        <v>38545576.923076928</v>
      </c>
    </row>
    <row r="64" spans="1:7" x14ac:dyDescent="0.2">
      <c r="A64" s="68" t="s">
        <v>46</v>
      </c>
      <c r="B64" s="56">
        <v>1220</v>
      </c>
      <c r="C64" s="56">
        <v>1295</v>
      </c>
      <c r="D64" s="56">
        <v>833</v>
      </c>
      <c r="E64" s="65">
        <v>6200000</v>
      </c>
      <c r="F64" s="65">
        <v>2643173.076923077</v>
      </c>
      <c r="G64" s="65">
        <v>47388750.000000007</v>
      </c>
    </row>
    <row r="65" spans="1:7" x14ac:dyDescent="0.2">
      <c r="A65" s="68" t="s">
        <v>47</v>
      </c>
      <c r="B65" s="56">
        <v>753</v>
      </c>
      <c r="C65" s="56">
        <v>863</v>
      </c>
      <c r="D65" s="58">
        <v>943</v>
      </c>
      <c r="E65" s="65">
        <v>6200000</v>
      </c>
      <c r="F65" s="65">
        <v>2992211.5384615385</v>
      </c>
      <c r="G65" s="65">
        <v>56580961.538461544</v>
      </c>
    </row>
    <row r="66" spans="1:7" x14ac:dyDescent="0.2">
      <c r="A66" s="68" t="s">
        <v>48</v>
      </c>
      <c r="B66" s="56">
        <v>1187</v>
      </c>
      <c r="C66" s="58">
        <v>1200</v>
      </c>
      <c r="D66" s="58">
        <v>956</v>
      </c>
      <c r="E66" s="65">
        <v>6200000</v>
      </c>
      <c r="F66" s="65">
        <v>3033461.5384615385</v>
      </c>
      <c r="G66" s="65">
        <v>65814423.07692308</v>
      </c>
    </row>
    <row r="67" spans="1:7" x14ac:dyDescent="0.2">
      <c r="A67" s="68" t="s">
        <v>49</v>
      </c>
      <c r="B67" s="56">
        <v>660</v>
      </c>
      <c r="C67" s="58">
        <v>749</v>
      </c>
      <c r="D67" s="58">
        <v>1045</v>
      </c>
      <c r="E67" s="65">
        <v>6200000</v>
      </c>
      <c r="F67" s="65">
        <v>3315865.384615385</v>
      </c>
      <c r="G67" s="65">
        <v>75330288.461538464</v>
      </c>
    </row>
    <row r="68" spans="1:7" x14ac:dyDescent="0.2">
      <c r="A68" s="68" t="s">
        <v>50</v>
      </c>
      <c r="B68" s="56">
        <v>1307</v>
      </c>
      <c r="C68" s="58">
        <v>1388</v>
      </c>
      <c r="D68" s="58">
        <v>1126</v>
      </c>
      <c r="E68" s="65">
        <v>6200000</v>
      </c>
      <c r="F68" s="65">
        <v>3572884.6153846155</v>
      </c>
      <c r="G68" s="65">
        <v>85103173.076923072</v>
      </c>
    </row>
    <row r="69" spans="1:7" x14ac:dyDescent="0.2">
      <c r="A69" s="68" t="s">
        <v>51</v>
      </c>
      <c r="B69" s="56">
        <v>963</v>
      </c>
      <c r="C69" s="58">
        <v>1045</v>
      </c>
      <c r="D69" s="58">
        <v>1208</v>
      </c>
      <c r="E69" s="65">
        <v>6200000</v>
      </c>
      <c r="F69" s="65">
        <v>3833076.9230769235</v>
      </c>
      <c r="G69" s="65">
        <v>95136250</v>
      </c>
    </row>
    <row r="70" spans="1:7" x14ac:dyDescent="0.2">
      <c r="A70" s="68" t="s">
        <v>52</v>
      </c>
      <c r="B70" s="56">
        <v>727</v>
      </c>
      <c r="C70" s="58">
        <v>896</v>
      </c>
      <c r="D70" s="58">
        <v>1377</v>
      </c>
      <c r="E70" s="65">
        <v>6200000</v>
      </c>
      <c r="F70" s="65">
        <v>4369326.923076923</v>
      </c>
      <c r="G70" s="72">
        <v>105705576.92307693</v>
      </c>
    </row>
    <row r="71" spans="1:7" x14ac:dyDescent="0.2">
      <c r="A71" s="73" t="s">
        <v>14</v>
      </c>
      <c r="B71" s="74">
        <v>11110</v>
      </c>
      <c r="C71" s="74">
        <v>12487</v>
      </c>
      <c r="D71" s="74">
        <v>9866</v>
      </c>
      <c r="E71" s="75">
        <v>74400000</v>
      </c>
      <c r="F71" s="75">
        <v>31305576.923076924</v>
      </c>
      <c r="G71" s="75">
        <v>116274903.84615386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B1822-1FC2-4DE9-9135-C2A2349D2C1C}">
  <dimension ref="A1:O54"/>
  <sheetViews>
    <sheetView tabSelected="1" topLeftCell="C37" zoomScale="70" zoomScaleNormal="70" workbookViewId="0">
      <selection activeCell="K11" sqref="K11"/>
    </sheetView>
  </sheetViews>
  <sheetFormatPr defaultRowHeight="15" x14ac:dyDescent="0.25"/>
  <cols>
    <col min="1" max="1" width="23.42578125" customWidth="1"/>
    <col min="2" max="2" width="29.42578125" bestFit="1" customWidth="1"/>
    <col min="3" max="3" width="19.5703125" bestFit="1" customWidth="1"/>
    <col min="4" max="4" width="21.7109375" bestFit="1" customWidth="1"/>
    <col min="5" max="5" width="26.140625" bestFit="1" customWidth="1"/>
    <col min="6" max="6" width="20.140625" customWidth="1"/>
    <col min="7" max="7" width="44.85546875" bestFit="1" customWidth="1"/>
    <col min="8" max="8" width="26.140625" bestFit="1" customWidth="1"/>
    <col min="9" max="9" width="16" customWidth="1"/>
    <col min="10" max="10" width="12.7109375" customWidth="1"/>
    <col min="11" max="11" width="18.28515625" bestFit="1" customWidth="1"/>
    <col min="12" max="12" width="27.42578125" customWidth="1"/>
    <col min="13" max="13" width="22.42578125" bestFit="1" customWidth="1"/>
  </cols>
  <sheetData>
    <row r="1" spans="1:15" ht="15.75" x14ac:dyDescent="0.25">
      <c r="A1" s="144" t="s">
        <v>40</v>
      </c>
      <c r="B1" s="105" t="s">
        <v>138</v>
      </c>
      <c r="C1" s="108" t="s">
        <v>61</v>
      </c>
    </row>
    <row r="2" spans="1:15" ht="15.75" x14ac:dyDescent="0.25">
      <c r="A2" s="144"/>
      <c r="B2" s="106" t="s">
        <v>92</v>
      </c>
      <c r="C2" s="109" t="s">
        <v>92</v>
      </c>
      <c r="G2" s="103" t="s">
        <v>133</v>
      </c>
      <c r="H2" s="92"/>
      <c r="I2" s="92"/>
      <c r="J2" s="92"/>
      <c r="K2" s="92"/>
      <c r="O2">
        <f>2254/52</f>
        <v>43.346153846153847</v>
      </c>
    </row>
    <row r="3" spans="1:15" ht="15.75" x14ac:dyDescent="0.25">
      <c r="A3" s="16" t="s">
        <v>41</v>
      </c>
      <c r="B3" s="107">
        <v>1350</v>
      </c>
      <c r="C3" s="107">
        <v>1495</v>
      </c>
      <c r="G3" s="155" t="s">
        <v>135</v>
      </c>
      <c r="H3" s="155"/>
      <c r="I3" s="155"/>
      <c r="J3" s="155" t="s">
        <v>134</v>
      </c>
      <c r="K3" s="155"/>
      <c r="L3" s="155"/>
      <c r="M3" s="96"/>
    </row>
    <row r="4" spans="1:15" ht="15.75" x14ac:dyDescent="0.25">
      <c r="A4" s="16" t="s">
        <v>42</v>
      </c>
      <c r="B4" s="17">
        <v>1536</v>
      </c>
      <c r="C4" s="17">
        <v>1723</v>
      </c>
      <c r="G4" s="145">
        <f>E33/12</f>
        <v>6200000</v>
      </c>
      <c r="H4" s="145"/>
      <c r="I4" s="145"/>
      <c r="J4" s="146">
        <f>E50/B15</f>
        <v>1927.1580154860912</v>
      </c>
      <c r="K4" s="146"/>
      <c r="L4" s="146"/>
      <c r="M4" s="95"/>
      <c r="O4" s="91">
        <f>B15/12</f>
        <v>1452.9166666666667</v>
      </c>
    </row>
    <row r="5" spans="1:15" ht="15.75" x14ac:dyDescent="0.25">
      <c r="A5" s="16" t="s">
        <v>43</v>
      </c>
      <c r="B5" s="17">
        <v>1801</v>
      </c>
      <c r="C5" s="17">
        <v>2108</v>
      </c>
      <c r="G5" s="29"/>
      <c r="H5" s="27"/>
      <c r="I5" s="27"/>
      <c r="J5" s="93"/>
      <c r="K5" s="7"/>
    </row>
    <row r="6" spans="1:15" ht="15.75" x14ac:dyDescent="0.25">
      <c r="A6" s="16" t="s">
        <v>44</v>
      </c>
      <c r="B6" s="17">
        <v>1154</v>
      </c>
      <c r="C6" s="17">
        <v>1258</v>
      </c>
      <c r="G6" s="150" t="s">
        <v>136</v>
      </c>
      <c r="H6" s="97"/>
      <c r="I6" s="28">
        <f>B15/C16</f>
        <v>12</v>
      </c>
      <c r="J6" s="93"/>
      <c r="K6" s="7"/>
    </row>
    <row r="7" spans="1:15" ht="15.75" x14ac:dyDescent="0.25">
      <c r="A7" s="16" t="s">
        <v>45</v>
      </c>
      <c r="B7" s="17">
        <v>775</v>
      </c>
      <c r="C7" s="17">
        <v>886</v>
      </c>
      <c r="G7" s="29"/>
      <c r="H7" s="27"/>
      <c r="I7" s="27"/>
      <c r="J7" s="93"/>
      <c r="K7" s="7"/>
    </row>
    <row r="8" spans="1:15" ht="15.75" x14ac:dyDescent="0.25">
      <c r="A8" s="16" t="s">
        <v>46</v>
      </c>
      <c r="B8" s="17">
        <v>1644</v>
      </c>
      <c r="C8" s="17">
        <v>1834</v>
      </c>
      <c r="G8" s="150" t="s">
        <v>137</v>
      </c>
      <c r="H8" s="97"/>
      <c r="I8" s="28">
        <f>B15/12</f>
        <v>1452.9166666666667</v>
      </c>
      <c r="J8" s="93"/>
      <c r="K8" s="7"/>
    </row>
    <row r="9" spans="1:15" ht="15.75" x14ac:dyDescent="0.25">
      <c r="A9" s="16" t="s">
        <v>47</v>
      </c>
      <c r="B9" s="17">
        <v>1005</v>
      </c>
      <c r="C9" s="17">
        <v>1137</v>
      </c>
      <c r="G9" s="29"/>
      <c r="H9" s="27"/>
      <c r="I9" s="27"/>
      <c r="J9" s="93"/>
      <c r="K9" s="7"/>
    </row>
    <row r="10" spans="1:15" ht="15.75" x14ac:dyDescent="0.25">
      <c r="A10" s="16" t="s">
        <v>48</v>
      </c>
      <c r="B10" s="10">
        <v>1567</v>
      </c>
      <c r="C10" s="10">
        <v>1789</v>
      </c>
      <c r="G10" s="150" t="s">
        <v>91</v>
      </c>
      <c r="H10" s="97"/>
      <c r="I10" s="28">
        <f>(I8*J4)+(G4*12)</f>
        <v>77200000</v>
      </c>
      <c r="J10" s="93"/>
      <c r="K10" s="7"/>
    </row>
    <row r="11" spans="1:15" ht="15.75" x14ac:dyDescent="0.25">
      <c r="A11" s="16" t="s">
        <v>49</v>
      </c>
      <c r="B11" s="10">
        <v>948</v>
      </c>
      <c r="C11" s="10">
        <v>994</v>
      </c>
      <c r="G11" s="29"/>
      <c r="H11" s="94"/>
      <c r="I11" s="27"/>
      <c r="J11" s="93"/>
      <c r="K11" s="7"/>
    </row>
    <row r="12" spans="1:15" ht="15.75" x14ac:dyDescent="0.25">
      <c r="A12" s="16" t="s">
        <v>50</v>
      </c>
      <c r="B12" s="10">
        <v>1698</v>
      </c>
      <c r="C12" s="10">
        <v>1964</v>
      </c>
      <c r="G12" s="29"/>
      <c r="H12" s="94"/>
      <c r="I12" s="27"/>
      <c r="J12" s="93"/>
      <c r="K12" s="7"/>
      <c r="L12" s="102"/>
    </row>
    <row r="13" spans="1:15" ht="15.75" x14ac:dyDescent="0.25">
      <c r="A13" s="16" t="s">
        <v>51</v>
      </c>
      <c r="B13" s="10">
        <v>2114</v>
      </c>
      <c r="C13" s="10">
        <v>2448</v>
      </c>
      <c r="G13" s="150" t="s">
        <v>144</v>
      </c>
      <c r="H13" s="94"/>
      <c r="I13" s="27"/>
      <c r="J13" s="93"/>
      <c r="K13" s="7"/>
    </row>
    <row r="14" spans="1:15" ht="15.75" x14ac:dyDescent="0.25">
      <c r="A14" s="16" t="s">
        <v>52</v>
      </c>
      <c r="B14" s="10">
        <v>1843</v>
      </c>
      <c r="C14" s="10">
        <v>2093</v>
      </c>
      <c r="G14" s="30" t="s">
        <v>74</v>
      </c>
      <c r="H14" s="99">
        <f>(2*B15*G4)/J4</f>
        <v>112182809.22619048</v>
      </c>
      <c r="I14" s="152">
        <f>SQRT(H14)</f>
        <v>10591.638646885121</v>
      </c>
      <c r="J14" s="93"/>
      <c r="K14" s="7"/>
    </row>
    <row r="15" spans="1:15" ht="15.75" x14ac:dyDescent="0.25">
      <c r="A15" s="34" t="s">
        <v>14</v>
      </c>
      <c r="B15" s="35">
        <f>SUM(B3:B14)</f>
        <v>17435</v>
      </c>
      <c r="C15" s="35">
        <f>SUM(C3:C14)</f>
        <v>19729</v>
      </c>
      <c r="G15" s="29"/>
      <c r="H15" s="94"/>
      <c r="I15" s="27"/>
      <c r="J15" s="93"/>
      <c r="K15" s="7"/>
    </row>
    <row r="16" spans="1:15" ht="15.75" x14ac:dyDescent="0.25">
      <c r="B16" s="92" t="s">
        <v>139</v>
      </c>
      <c r="C16" s="110">
        <f>B15/12</f>
        <v>1452.9166666666667</v>
      </c>
      <c r="G16" s="150" t="s">
        <v>145</v>
      </c>
      <c r="H16" s="101">
        <f>B15/I14</f>
        <v>1.6461097835062031</v>
      </c>
      <c r="I16" s="100"/>
      <c r="J16" s="100"/>
    </row>
    <row r="18" spans="1:11" x14ac:dyDescent="0.25">
      <c r="G18" s="103" t="s">
        <v>91</v>
      </c>
      <c r="H18" s="7">
        <f>2*B15*G4*J4</f>
        <v>416640000000000</v>
      </c>
      <c r="I18" s="153">
        <f>SQRT(H18)</f>
        <v>20411761.315476917</v>
      </c>
      <c r="J18" s="91">
        <f>I18*2</f>
        <v>40823522.630953833</v>
      </c>
      <c r="K18" s="104"/>
    </row>
    <row r="19" spans="1:11" ht="23.25" x14ac:dyDescent="0.35">
      <c r="A19" s="32" t="s">
        <v>98</v>
      </c>
      <c r="B19" s="32"/>
      <c r="C19" s="32"/>
      <c r="D19" s="31"/>
      <c r="E19" s="9"/>
    </row>
    <row r="20" spans="1:11" ht="15.75" x14ac:dyDescent="0.25">
      <c r="A20" s="33" t="s">
        <v>40</v>
      </c>
      <c r="B20" s="37" t="s">
        <v>82</v>
      </c>
      <c r="C20" s="33" t="s">
        <v>7</v>
      </c>
      <c r="D20" s="33" t="s">
        <v>63</v>
      </c>
      <c r="E20" s="38" t="s">
        <v>3</v>
      </c>
      <c r="G20" s="151" t="s">
        <v>146</v>
      </c>
      <c r="H20" s="153">
        <f>(C13-C16)*2</f>
        <v>1990.1666666666665</v>
      </c>
    </row>
    <row r="21" spans="1:11" ht="15.75" x14ac:dyDescent="0.25">
      <c r="A21" s="16" t="s">
        <v>41</v>
      </c>
      <c r="B21" s="12">
        <v>100000</v>
      </c>
      <c r="C21" s="12">
        <v>6000000</v>
      </c>
      <c r="D21" s="14">
        <v>100000</v>
      </c>
      <c r="E21" s="12">
        <f>B21+C21+D21</f>
        <v>6200000</v>
      </c>
    </row>
    <row r="22" spans="1:11" ht="15.75" x14ac:dyDescent="0.25">
      <c r="A22" s="16" t="s">
        <v>42</v>
      </c>
      <c r="B22" s="12">
        <v>100000</v>
      </c>
      <c r="C22" s="12">
        <v>6000000</v>
      </c>
      <c r="D22" s="14">
        <v>100000</v>
      </c>
      <c r="E22" s="12">
        <f t="shared" ref="E22:E32" si="0">B22+C22+D22</f>
        <v>6200000</v>
      </c>
      <c r="G22" s="103" t="s">
        <v>86</v>
      </c>
      <c r="H22" s="98">
        <f>B15/360</f>
        <v>48.430555555555557</v>
      </c>
    </row>
    <row r="23" spans="1:11" ht="15.75" x14ac:dyDescent="0.25">
      <c r="A23" s="16" t="s">
        <v>43</v>
      </c>
      <c r="B23" s="12">
        <v>100000</v>
      </c>
      <c r="C23" s="12">
        <v>6000000</v>
      </c>
      <c r="D23" s="14">
        <v>100000</v>
      </c>
      <c r="E23" s="12">
        <f t="shared" si="0"/>
        <v>6200000</v>
      </c>
      <c r="H23" s="154">
        <f>(2*H22)+H20</f>
        <v>2087.0277777777778</v>
      </c>
    </row>
    <row r="24" spans="1:11" ht="15.75" x14ac:dyDescent="0.25">
      <c r="A24" s="16" t="s">
        <v>44</v>
      </c>
      <c r="B24" s="12">
        <v>100000</v>
      </c>
      <c r="C24" s="12">
        <v>6000000</v>
      </c>
      <c r="D24" s="14">
        <v>100000</v>
      </c>
      <c r="E24" s="12">
        <f t="shared" si="0"/>
        <v>6200000</v>
      </c>
    </row>
    <row r="25" spans="1:11" ht="15.75" x14ac:dyDescent="0.25">
      <c r="A25" s="16" t="s">
        <v>45</v>
      </c>
      <c r="B25" s="12">
        <v>100000</v>
      </c>
      <c r="C25" s="12">
        <v>6000000</v>
      </c>
      <c r="D25" s="14">
        <v>100000</v>
      </c>
      <c r="E25" s="12">
        <f t="shared" si="0"/>
        <v>6200000</v>
      </c>
    </row>
    <row r="26" spans="1:11" ht="15.75" x14ac:dyDescent="0.25">
      <c r="A26" s="16" t="s">
        <v>46</v>
      </c>
      <c r="B26" s="12">
        <v>100000</v>
      </c>
      <c r="C26" s="12">
        <v>6000000</v>
      </c>
      <c r="D26" s="14">
        <v>100000</v>
      </c>
      <c r="E26" s="12">
        <f t="shared" si="0"/>
        <v>6200000</v>
      </c>
    </row>
    <row r="27" spans="1:11" ht="15.75" x14ac:dyDescent="0.25">
      <c r="A27" s="16" t="s">
        <v>47</v>
      </c>
      <c r="B27" s="12">
        <v>100000</v>
      </c>
      <c r="C27" s="12">
        <v>6000000</v>
      </c>
      <c r="D27" s="14">
        <v>100000</v>
      </c>
      <c r="E27" s="12">
        <f t="shared" si="0"/>
        <v>6200000</v>
      </c>
    </row>
    <row r="28" spans="1:11" ht="15.75" x14ac:dyDescent="0.25">
      <c r="A28" s="16" t="s">
        <v>48</v>
      </c>
      <c r="B28" s="12">
        <v>100000</v>
      </c>
      <c r="C28" s="12">
        <v>6000000</v>
      </c>
      <c r="D28" s="14">
        <v>100000</v>
      </c>
      <c r="E28" s="12">
        <f t="shared" si="0"/>
        <v>6200000</v>
      </c>
    </row>
    <row r="29" spans="1:11" ht="15.75" x14ac:dyDescent="0.25">
      <c r="A29" s="16" t="s">
        <v>49</v>
      </c>
      <c r="B29" s="12">
        <v>100000</v>
      </c>
      <c r="C29" s="12">
        <v>6000000</v>
      </c>
      <c r="D29" s="14">
        <v>100000</v>
      </c>
      <c r="E29" s="12">
        <f t="shared" si="0"/>
        <v>6200000</v>
      </c>
    </row>
    <row r="30" spans="1:11" ht="15.75" x14ac:dyDescent="0.25">
      <c r="A30" s="16" t="s">
        <v>50</v>
      </c>
      <c r="B30" s="12">
        <v>100000</v>
      </c>
      <c r="C30" s="12">
        <v>6000000</v>
      </c>
      <c r="D30" s="14">
        <v>100000</v>
      </c>
      <c r="E30" s="12">
        <f t="shared" si="0"/>
        <v>6200000</v>
      </c>
    </row>
    <row r="31" spans="1:11" ht="15.75" x14ac:dyDescent="0.25">
      <c r="A31" s="16" t="s">
        <v>51</v>
      </c>
      <c r="B31" s="12">
        <v>100000</v>
      </c>
      <c r="C31" s="12">
        <v>6000000</v>
      </c>
      <c r="D31" s="14">
        <v>100000</v>
      </c>
      <c r="E31" s="12">
        <f t="shared" si="0"/>
        <v>6200000</v>
      </c>
    </row>
    <row r="32" spans="1:11" ht="15.75" x14ac:dyDescent="0.25">
      <c r="A32" s="16" t="s">
        <v>52</v>
      </c>
      <c r="B32" s="12">
        <v>100000</v>
      </c>
      <c r="C32" s="12">
        <v>6000000</v>
      </c>
      <c r="D32" s="14">
        <v>100000</v>
      </c>
      <c r="E32" s="12">
        <f t="shared" si="0"/>
        <v>6200000</v>
      </c>
    </row>
    <row r="33" spans="1:5" ht="15.75" x14ac:dyDescent="0.25">
      <c r="A33" s="34" t="s">
        <v>14</v>
      </c>
      <c r="B33" s="39">
        <f t="shared" ref="B33:D33" si="1">SUM(B21:B32)</f>
        <v>1200000</v>
      </c>
      <c r="C33" s="39">
        <f t="shared" si="1"/>
        <v>72000000</v>
      </c>
      <c r="D33" s="39">
        <f t="shared" si="1"/>
        <v>1200000</v>
      </c>
      <c r="E33" s="39">
        <f>SUM(E21:E32)</f>
        <v>74400000</v>
      </c>
    </row>
    <row r="36" spans="1:5" ht="23.25" x14ac:dyDescent="0.35">
      <c r="A36" s="32" t="s">
        <v>99</v>
      </c>
      <c r="B36" s="32"/>
      <c r="C36" s="32"/>
      <c r="D36" s="31"/>
      <c r="E36" s="9"/>
    </row>
    <row r="37" spans="1:5" ht="15.75" x14ac:dyDescent="0.25">
      <c r="A37" s="78" t="s">
        <v>40</v>
      </c>
      <c r="B37" s="78" t="s">
        <v>54</v>
      </c>
      <c r="C37" s="78" t="s">
        <v>55</v>
      </c>
      <c r="D37" s="78" t="s">
        <v>56</v>
      </c>
      <c r="E37" s="78" t="s">
        <v>3</v>
      </c>
    </row>
    <row r="38" spans="1:5" ht="15.75" x14ac:dyDescent="0.25">
      <c r="A38" s="11" t="s">
        <v>41</v>
      </c>
      <c r="B38" s="12">
        <v>1000000</v>
      </c>
      <c r="C38" s="12">
        <v>1500000</v>
      </c>
      <c r="D38" s="12">
        <v>300000</v>
      </c>
      <c r="E38" s="12">
        <f>B38+C38+D38</f>
        <v>2800000</v>
      </c>
    </row>
    <row r="39" spans="1:5" ht="15.75" x14ac:dyDescent="0.25">
      <c r="A39" s="11" t="s">
        <v>42</v>
      </c>
      <c r="B39" s="12">
        <v>1000000</v>
      </c>
      <c r="C39" s="12">
        <v>1500000</v>
      </c>
      <c r="D39" s="12">
        <v>300000</v>
      </c>
      <c r="E39" s="12">
        <f t="shared" ref="E39:E49" si="2">B39+C39+D39</f>
        <v>2800000</v>
      </c>
    </row>
    <row r="40" spans="1:5" ht="15.75" x14ac:dyDescent="0.25">
      <c r="A40" s="11" t="s">
        <v>43</v>
      </c>
      <c r="B40" s="12">
        <v>1000000</v>
      </c>
      <c r="C40" s="12">
        <v>1500000</v>
      </c>
      <c r="D40" s="12">
        <v>300000</v>
      </c>
      <c r="E40" s="12">
        <f t="shared" si="2"/>
        <v>2800000</v>
      </c>
    </row>
    <row r="41" spans="1:5" ht="15.75" x14ac:dyDescent="0.25">
      <c r="A41" s="11" t="s">
        <v>44</v>
      </c>
      <c r="B41" s="12">
        <v>1000000</v>
      </c>
      <c r="C41" s="12">
        <v>1500000</v>
      </c>
      <c r="D41" s="12">
        <v>300000</v>
      </c>
      <c r="E41" s="12">
        <f t="shared" si="2"/>
        <v>2800000</v>
      </c>
    </row>
    <row r="42" spans="1:5" ht="15.75" x14ac:dyDescent="0.25">
      <c r="A42" s="11" t="s">
        <v>45</v>
      </c>
      <c r="B42" s="12">
        <v>1000000</v>
      </c>
      <c r="C42" s="12">
        <v>1500000</v>
      </c>
      <c r="D42" s="12">
        <v>300000</v>
      </c>
      <c r="E42" s="12">
        <f t="shared" si="2"/>
        <v>2800000</v>
      </c>
    </row>
    <row r="43" spans="1:5" ht="15.75" x14ac:dyDescent="0.25">
      <c r="A43" s="11" t="s">
        <v>46</v>
      </c>
      <c r="B43" s="12">
        <v>1000000</v>
      </c>
      <c r="C43" s="12">
        <v>1500000</v>
      </c>
      <c r="D43" s="12">
        <v>300000</v>
      </c>
      <c r="E43" s="12">
        <f t="shared" si="2"/>
        <v>2800000</v>
      </c>
    </row>
    <row r="44" spans="1:5" ht="15.75" x14ac:dyDescent="0.25">
      <c r="A44" s="11" t="s">
        <v>47</v>
      </c>
      <c r="B44" s="12">
        <v>1000000</v>
      </c>
      <c r="C44" s="12">
        <v>1500000</v>
      </c>
      <c r="D44" s="12">
        <v>300000</v>
      </c>
      <c r="E44" s="12">
        <f t="shared" si="2"/>
        <v>2800000</v>
      </c>
    </row>
    <row r="45" spans="1:5" ht="15.75" x14ac:dyDescent="0.25">
      <c r="A45" s="11" t="s">
        <v>48</v>
      </c>
      <c r="B45" s="12">
        <v>1000000</v>
      </c>
      <c r="C45" s="12">
        <v>1500000</v>
      </c>
      <c r="D45" s="12">
        <v>300000</v>
      </c>
      <c r="E45" s="12">
        <f t="shared" si="2"/>
        <v>2800000</v>
      </c>
    </row>
    <row r="46" spans="1:5" ht="15.75" x14ac:dyDescent="0.25">
      <c r="A46" s="11" t="s">
        <v>49</v>
      </c>
      <c r="B46" s="12">
        <v>1000000</v>
      </c>
      <c r="C46" s="12">
        <v>1500000</v>
      </c>
      <c r="D46" s="12">
        <v>300000</v>
      </c>
      <c r="E46" s="12">
        <f t="shared" si="2"/>
        <v>2800000</v>
      </c>
    </row>
    <row r="47" spans="1:5" ht="15.75" x14ac:dyDescent="0.25">
      <c r="A47" s="11" t="s">
        <v>50</v>
      </c>
      <c r="B47" s="12">
        <v>1000000</v>
      </c>
      <c r="C47" s="12">
        <v>1500000</v>
      </c>
      <c r="D47" s="12">
        <v>300000</v>
      </c>
      <c r="E47" s="12">
        <f t="shared" si="2"/>
        <v>2800000</v>
      </c>
    </row>
    <row r="48" spans="1:5" ht="15.75" x14ac:dyDescent="0.25">
      <c r="A48" s="11" t="s">
        <v>51</v>
      </c>
      <c r="B48" s="12">
        <v>1000000</v>
      </c>
      <c r="C48" s="12">
        <v>1500000</v>
      </c>
      <c r="D48" s="12">
        <v>300000</v>
      </c>
      <c r="E48" s="12">
        <f t="shared" si="2"/>
        <v>2800000</v>
      </c>
    </row>
    <row r="49" spans="1:6" ht="15.75" x14ac:dyDescent="0.25">
      <c r="A49" s="11" t="s">
        <v>52</v>
      </c>
      <c r="B49" s="12">
        <v>1000000</v>
      </c>
      <c r="C49" s="12">
        <v>1500000</v>
      </c>
      <c r="D49" s="12">
        <v>300000</v>
      </c>
      <c r="E49" s="12">
        <f t="shared" si="2"/>
        <v>2800000</v>
      </c>
    </row>
    <row r="50" spans="1:6" ht="15.75" x14ac:dyDescent="0.25">
      <c r="A50" s="78" t="s">
        <v>53</v>
      </c>
      <c r="B50" s="39">
        <f t="shared" ref="B50:C50" si="3">SUM(B38:B49)</f>
        <v>12000000</v>
      </c>
      <c r="C50" s="39">
        <f t="shared" si="3"/>
        <v>18000000</v>
      </c>
      <c r="D50" s="39">
        <f>SUM(D38:D49)</f>
        <v>3600000</v>
      </c>
      <c r="E50" s="39">
        <f>SUM(E38:E49)</f>
        <v>33600000</v>
      </c>
      <c r="F50" s="149">
        <f>E50+E33</f>
        <v>108000000</v>
      </c>
    </row>
    <row r="52" spans="1:6" x14ac:dyDescent="0.25">
      <c r="A52" s="103" t="s">
        <v>140</v>
      </c>
      <c r="B52" s="92"/>
      <c r="C52" s="92"/>
    </row>
    <row r="53" spans="1:6" x14ac:dyDescent="0.25">
      <c r="A53" s="148" t="s">
        <v>143</v>
      </c>
      <c r="B53" s="148" t="s">
        <v>142</v>
      </c>
      <c r="C53" s="148" t="s">
        <v>141</v>
      </c>
      <c r="D53" s="148"/>
    </row>
    <row r="54" spans="1:6" x14ac:dyDescent="0.25">
      <c r="A54" s="147">
        <f>E33</f>
        <v>74400000</v>
      </c>
      <c r="B54" s="147">
        <f>E50</f>
        <v>33600000</v>
      </c>
      <c r="C54" s="122">
        <f>A54+B54</f>
        <v>108000000</v>
      </c>
      <c r="D54" s="124"/>
    </row>
  </sheetData>
  <mergeCells count="6">
    <mergeCell ref="C54:D54"/>
    <mergeCell ref="A1:A2"/>
    <mergeCell ref="G3:I3"/>
    <mergeCell ref="G4:I4"/>
    <mergeCell ref="J3:L3"/>
    <mergeCell ref="J4:L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Kelebihan Bahan Baku (2)</vt:lpstr>
      <vt:lpstr>DATA SKRIPSI </vt:lpstr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Bllio</cp:lastModifiedBy>
  <cp:lastPrinted>2023-07-10T07:34:14Z</cp:lastPrinted>
  <dcterms:created xsi:type="dcterms:W3CDTF">2023-07-04T04:41:29Z</dcterms:created>
  <dcterms:modified xsi:type="dcterms:W3CDTF">2024-08-01T15:49:18Z</dcterms:modified>
</cp:coreProperties>
</file>