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kampus\Skripsi\Bab 1 Pendahuluan\"/>
    </mc:Choice>
  </mc:AlternateContent>
  <xr:revisionPtr revIDLastSave="0" documentId="13_ncr:1_{33AFFF83-2282-4878-87F9-FEECF3D4EB18}" xr6:coauthVersionLast="47" xr6:coauthVersionMax="47" xr10:uidLastSave="{00000000-0000-0000-0000-000000000000}"/>
  <bookViews>
    <workbookView xWindow="-120" yWindow="-120" windowWidth="20730" windowHeight="11310" activeTab="7" xr2:uid="{00000000-000D-0000-FFFF-FFFF00000000}"/>
  </bookViews>
  <sheets>
    <sheet name="Beta BC" sheetId="1" r:id="rId1"/>
    <sheet name="EPS BC" sheetId="2" r:id="rId2"/>
    <sheet name="LA BC" sheetId="3" r:id="rId3"/>
    <sheet name="Return BC" sheetId="4" r:id="rId4"/>
    <sheet name="Beta LQ" sheetId="5" r:id="rId5"/>
    <sheet name="EPS LQ" sheetId="6" r:id="rId6"/>
    <sheet name="LA LQ" sheetId="7" r:id="rId7"/>
    <sheet name="Return LQ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8" i="5" l="1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J115" i="5"/>
  <c r="J114" i="5"/>
  <c r="J113" i="5"/>
  <c r="J112" i="5"/>
  <c r="J111" i="5"/>
  <c r="J110" i="5"/>
  <c r="J109" i="5"/>
  <c r="J108" i="5"/>
  <c r="J107" i="5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H116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E116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48" i="5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F114" i="8"/>
  <c r="F113" i="8"/>
  <c r="F112" i="8"/>
  <c r="F110" i="8"/>
  <c r="F109" i="8"/>
  <c r="F108" i="8"/>
  <c r="F106" i="8"/>
  <c r="F105" i="8"/>
  <c r="F104" i="8"/>
  <c r="F102" i="8"/>
  <c r="F101" i="8"/>
  <c r="F100" i="8"/>
  <c r="F98" i="8"/>
  <c r="F97" i="8"/>
  <c r="F96" i="8"/>
  <c r="F94" i="8"/>
  <c r="F93" i="8"/>
  <c r="F92" i="8"/>
  <c r="F90" i="8"/>
  <c r="F89" i="8"/>
  <c r="F88" i="8"/>
  <c r="F86" i="8"/>
  <c r="F85" i="8"/>
  <c r="F84" i="8"/>
  <c r="F82" i="8"/>
  <c r="F81" i="8"/>
  <c r="F80" i="8"/>
  <c r="F78" i="8"/>
  <c r="F77" i="8"/>
  <c r="F76" i="8"/>
  <c r="F74" i="8"/>
  <c r="F73" i="8"/>
  <c r="F72" i="8"/>
  <c r="F70" i="8"/>
  <c r="F69" i="8"/>
  <c r="F68" i="8"/>
  <c r="F66" i="8"/>
  <c r="F65" i="8"/>
  <c r="F64" i="8"/>
  <c r="F62" i="8"/>
  <c r="F61" i="8"/>
  <c r="F60" i="8"/>
  <c r="F58" i="8"/>
  <c r="F57" i="8"/>
  <c r="F56" i="8"/>
  <c r="F54" i="8"/>
  <c r="F53" i="8"/>
  <c r="F52" i="8"/>
  <c r="F50" i="8"/>
  <c r="F49" i="8"/>
  <c r="F48" i="8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47" i="6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3" i="7"/>
  <c r="G15" i="6" l="1"/>
  <c r="G18" i="6"/>
  <c r="G19" i="6"/>
  <c r="G20" i="6"/>
  <c r="G21" i="6"/>
  <c r="G22" i="6"/>
  <c r="G23" i="6"/>
  <c r="G24" i="6"/>
  <c r="G25" i="6"/>
  <c r="G26" i="6"/>
  <c r="G27" i="6"/>
  <c r="G28" i="6"/>
  <c r="G29" i="6"/>
  <c r="G34" i="6"/>
  <c r="G36" i="6"/>
  <c r="G37" i="6"/>
  <c r="G38" i="6"/>
  <c r="G44" i="6"/>
  <c r="G45" i="6"/>
  <c r="E4" i="6"/>
  <c r="G4" i="6" s="1"/>
  <c r="E5" i="6"/>
  <c r="G5" i="6" s="1"/>
  <c r="E6" i="6"/>
  <c r="G6" i="6" s="1"/>
  <c r="E7" i="6"/>
  <c r="G7" i="6" s="1"/>
  <c r="E8" i="6"/>
  <c r="G8" i="6" s="1"/>
  <c r="E9" i="6"/>
  <c r="G9" i="6" s="1"/>
  <c r="E10" i="6"/>
  <c r="G10" i="6" s="1"/>
  <c r="E11" i="6"/>
  <c r="G11" i="6" s="1"/>
  <c r="E12" i="6"/>
  <c r="G12" i="6" s="1"/>
  <c r="E13" i="6"/>
  <c r="G13" i="6" s="1"/>
  <c r="E14" i="6"/>
  <c r="G14" i="6" s="1"/>
  <c r="E15" i="6"/>
  <c r="E16" i="6"/>
  <c r="G16" i="6" s="1"/>
  <c r="E17" i="6"/>
  <c r="G17" i="6" s="1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G30" i="6" s="1"/>
  <c r="E31" i="6"/>
  <c r="G31" i="6" s="1"/>
  <c r="E32" i="6"/>
  <c r="G32" i="6" s="1"/>
  <c r="E33" i="6"/>
  <c r="G33" i="6" s="1"/>
  <c r="E34" i="6"/>
  <c r="E35" i="6"/>
  <c r="G35" i="6" s="1"/>
  <c r="E36" i="6"/>
  <c r="E37" i="6"/>
  <c r="E38" i="6"/>
  <c r="E39" i="6"/>
  <c r="G39" i="6" s="1"/>
  <c r="E40" i="6"/>
  <c r="G40" i="6" s="1"/>
  <c r="E41" i="6"/>
  <c r="G41" i="6" s="1"/>
  <c r="E42" i="6"/>
  <c r="G42" i="6" s="1"/>
  <c r="E43" i="6"/>
  <c r="G43" i="6" s="1"/>
  <c r="E44" i="6"/>
  <c r="E45" i="6"/>
  <c r="E46" i="6"/>
  <c r="G46" i="6" s="1"/>
  <c r="E3" i="6"/>
  <c r="G3" i="6" s="1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28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" i="5"/>
  <c r="F34" i="8"/>
  <c r="G34" i="8" s="1"/>
  <c r="F33" i="8"/>
  <c r="G33" i="8" s="1"/>
  <c r="F32" i="8"/>
  <c r="G32" i="8" s="1"/>
  <c r="G31" i="8"/>
  <c r="F30" i="8"/>
  <c r="G30" i="8" s="1"/>
  <c r="F29" i="8"/>
  <c r="G29" i="8" s="1"/>
  <c r="F28" i="8"/>
  <c r="G28" i="8" s="1"/>
  <c r="G27" i="8"/>
  <c r="F46" i="8"/>
  <c r="G46" i="8" s="1"/>
  <c r="F45" i="8"/>
  <c r="G45" i="8" s="1"/>
  <c r="F44" i="8"/>
  <c r="G44" i="8" s="1"/>
  <c r="G43" i="8"/>
  <c r="F42" i="8"/>
  <c r="G42" i="8" s="1"/>
  <c r="F41" i="8"/>
  <c r="G41" i="8" s="1"/>
  <c r="F40" i="8"/>
  <c r="G40" i="8" s="1"/>
  <c r="G39" i="8"/>
  <c r="F38" i="8"/>
  <c r="G38" i="8" s="1"/>
  <c r="F37" i="8"/>
  <c r="G37" i="8" s="1"/>
  <c r="F36" i="8"/>
  <c r="G36" i="8" s="1"/>
  <c r="G35" i="8"/>
  <c r="F26" i="8"/>
  <c r="G26" i="8" s="1"/>
  <c r="E27" i="5" s="1"/>
  <c r="F25" i="8"/>
  <c r="G25" i="8" s="1"/>
  <c r="E26" i="5" s="1"/>
  <c r="F24" i="8"/>
  <c r="G24" i="8" s="1"/>
  <c r="E25" i="5" s="1"/>
  <c r="G23" i="8"/>
  <c r="E24" i="5" s="1"/>
  <c r="F22" i="8"/>
  <c r="G22" i="8" s="1"/>
  <c r="E23" i="5" s="1"/>
  <c r="F21" i="8"/>
  <c r="G21" i="8" s="1"/>
  <c r="E22" i="5" s="1"/>
  <c r="F20" i="8"/>
  <c r="G20" i="8" s="1"/>
  <c r="E21" i="5" s="1"/>
  <c r="G19" i="8"/>
  <c r="E20" i="5" s="1"/>
  <c r="F18" i="8"/>
  <c r="G18" i="8" s="1"/>
  <c r="E19" i="5" s="1"/>
  <c r="F17" i="8"/>
  <c r="G17" i="8" s="1"/>
  <c r="E18" i="5" s="1"/>
  <c r="F16" i="8"/>
  <c r="G16" i="8" s="1"/>
  <c r="E17" i="5" s="1"/>
  <c r="G15" i="8"/>
  <c r="E16" i="5" s="1"/>
  <c r="F14" i="8"/>
  <c r="G14" i="8" s="1"/>
  <c r="E15" i="5" s="1"/>
  <c r="F13" i="8"/>
  <c r="G13" i="8" s="1"/>
  <c r="E14" i="5" s="1"/>
  <c r="F12" i="8"/>
  <c r="G12" i="8" s="1"/>
  <c r="E13" i="5" s="1"/>
  <c r="G11" i="8"/>
  <c r="E12" i="5" s="1"/>
  <c r="F10" i="8"/>
  <c r="G10" i="8" s="1"/>
  <c r="E11" i="5" s="1"/>
  <c r="F9" i="8"/>
  <c r="G9" i="8" s="1"/>
  <c r="E10" i="5" s="1"/>
  <c r="F8" i="8"/>
  <c r="G8" i="8" s="1"/>
  <c r="E9" i="5" s="1"/>
  <c r="G7" i="8"/>
  <c r="E8" i="5" s="1"/>
  <c r="F6" i="8"/>
  <c r="G6" i="8" s="1"/>
  <c r="E7" i="5" s="1"/>
  <c r="F5" i="8"/>
  <c r="G5" i="8" s="1"/>
  <c r="E6" i="5" s="1"/>
  <c r="F4" i="8"/>
  <c r="G4" i="8" s="1"/>
  <c r="E5" i="5" s="1"/>
  <c r="G3" i="8"/>
  <c r="E4" i="5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" i="1"/>
  <c r="F46" i="4"/>
  <c r="G46" i="4" s="1"/>
  <c r="F45" i="4"/>
  <c r="G45" i="4" s="1"/>
  <c r="F44" i="4"/>
  <c r="G44" i="4" s="1"/>
  <c r="G43" i="4"/>
  <c r="F42" i="4"/>
  <c r="G42" i="4" s="1"/>
  <c r="F41" i="4"/>
  <c r="G41" i="4" s="1"/>
  <c r="F40" i="4"/>
  <c r="G40" i="4" s="1"/>
  <c r="G39" i="4"/>
  <c r="F38" i="4"/>
  <c r="G38" i="4" s="1"/>
  <c r="F37" i="4"/>
  <c r="G37" i="4" s="1"/>
  <c r="F36" i="4"/>
  <c r="G36" i="4" s="1"/>
  <c r="G35" i="4"/>
  <c r="F34" i="4"/>
  <c r="G34" i="4" s="1"/>
  <c r="F33" i="4"/>
  <c r="G33" i="4" s="1"/>
  <c r="F32" i="4"/>
  <c r="G32" i="4" s="1"/>
  <c r="G31" i="4"/>
  <c r="F30" i="4"/>
  <c r="G30" i="4" s="1"/>
  <c r="F29" i="4"/>
  <c r="G29" i="4" s="1"/>
  <c r="F28" i="4"/>
  <c r="G28" i="4" s="1"/>
  <c r="G27" i="4"/>
  <c r="F26" i="4"/>
  <c r="G26" i="4" s="1"/>
  <c r="F25" i="4"/>
  <c r="G25" i="4" s="1"/>
  <c r="F24" i="4"/>
  <c r="G24" i="4" s="1"/>
  <c r="G23" i="4"/>
  <c r="F22" i="4"/>
  <c r="G22" i="4" s="1"/>
  <c r="F21" i="4"/>
  <c r="G21" i="4" s="1"/>
  <c r="F20" i="4"/>
  <c r="G20" i="4" s="1"/>
  <c r="G19" i="4"/>
  <c r="F18" i="4"/>
  <c r="G18" i="4" s="1"/>
  <c r="F17" i="4"/>
  <c r="G17" i="4" s="1"/>
  <c r="F16" i="4"/>
  <c r="G16" i="4" s="1"/>
  <c r="G15" i="4"/>
  <c r="F14" i="4"/>
  <c r="G14" i="4" s="1"/>
  <c r="F13" i="4"/>
  <c r="G13" i="4" s="1"/>
  <c r="F12" i="4"/>
  <c r="G12" i="4" s="1"/>
  <c r="G11" i="4"/>
  <c r="F10" i="4"/>
  <c r="G10" i="4" s="1"/>
  <c r="F9" i="4"/>
  <c r="G9" i="4" s="1"/>
  <c r="F8" i="4"/>
  <c r="G8" i="4" s="1"/>
  <c r="G7" i="4"/>
  <c r="F6" i="4"/>
  <c r="G6" i="4" s="1"/>
  <c r="F5" i="4"/>
  <c r="G5" i="4" s="1"/>
  <c r="F4" i="4"/>
  <c r="G4" i="4" s="1"/>
  <c r="G3" i="4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3" i="2"/>
  <c r="G46" i="3"/>
  <c r="G45" i="3"/>
  <c r="G44" i="3"/>
  <c r="G43" i="3"/>
  <c r="E42" i="3"/>
  <c r="G42" i="3" s="1"/>
  <c r="E41" i="3"/>
  <c r="G41" i="3" s="1"/>
  <c r="E40" i="3"/>
  <c r="G40" i="3" s="1"/>
  <c r="E39" i="3"/>
  <c r="G39" i="3" s="1"/>
  <c r="G38" i="3"/>
  <c r="G37" i="3"/>
  <c r="G36" i="3"/>
  <c r="G35" i="3"/>
  <c r="G34" i="3"/>
  <c r="G33" i="3"/>
  <c r="G32" i="3"/>
  <c r="G31" i="3"/>
  <c r="F30" i="3"/>
  <c r="E30" i="3"/>
  <c r="G30" i="3" s="1"/>
  <c r="F29" i="3"/>
  <c r="E29" i="3"/>
  <c r="G29" i="3" s="1"/>
  <c r="F28" i="3"/>
  <c r="E28" i="3"/>
  <c r="G28" i="3" s="1"/>
  <c r="F27" i="3"/>
  <c r="E27" i="3"/>
  <c r="G27" i="3" s="1"/>
  <c r="F26" i="3"/>
  <c r="E26" i="3"/>
  <c r="G26" i="3" s="1"/>
  <c r="F25" i="3"/>
  <c r="E25" i="3"/>
  <c r="G25" i="3" s="1"/>
  <c r="F24" i="3"/>
  <c r="E24" i="3"/>
  <c r="G24" i="3" s="1"/>
  <c r="F23" i="3"/>
  <c r="E23" i="3"/>
  <c r="G23" i="3" s="1"/>
  <c r="F22" i="3"/>
  <c r="E22" i="3"/>
  <c r="G22" i="3" s="1"/>
  <c r="F21" i="3"/>
  <c r="E21" i="3"/>
  <c r="G21" i="3" s="1"/>
  <c r="F20" i="3"/>
  <c r="E20" i="3"/>
  <c r="G20" i="3" s="1"/>
  <c r="F19" i="3"/>
  <c r="E19" i="3"/>
  <c r="G19" i="3" s="1"/>
  <c r="F18" i="3"/>
  <c r="E18" i="3"/>
  <c r="G18" i="3" s="1"/>
  <c r="F17" i="3"/>
  <c r="E17" i="3"/>
  <c r="G17" i="3" s="1"/>
  <c r="F16" i="3"/>
  <c r="E16" i="3"/>
  <c r="G16" i="3" s="1"/>
  <c r="F15" i="3"/>
  <c r="E15" i="3"/>
  <c r="G15" i="3" s="1"/>
  <c r="F14" i="3"/>
  <c r="E14" i="3"/>
  <c r="G14" i="3" s="1"/>
  <c r="F13" i="3"/>
  <c r="E13" i="3"/>
  <c r="G13" i="3" s="1"/>
  <c r="F12" i="3"/>
  <c r="E12" i="3"/>
  <c r="G12" i="3" s="1"/>
  <c r="F11" i="3"/>
  <c r="E11" i="3"/>
  <c r="G11" i="3" s="1"/>
  <c r="F10" i="3"/>
  <c r="E10" i="3"/>
  <c r="G10" i="3" s="1"/>
  <c r="F9" i="3"/>
  <c r="E9" i="3"/>
  <c r="G9" i="3" s="1"/>
  <c r="F8" i="3"/>
  <c r="E8" i="3"/>
  <c r="G8" i="3" s="1"/>
  <c r="F7" i="3"/>
  <c r="E7" i="3"/>
  <c r="G7" i="3" s="1"/>
  <c r="F6" i="3"/>
  <c r="E6" i="3"/>
  <c r="G6" i="3" s="1"/>
  <c r="F5" i="3"/>
  <c r="E5" i="3"/>
  <c r="G5" i="3" s="1"/>
  <c r="F4" i="3"/>
  <c r="E4" i="3"/>
  <c r="G4" i="3" s="1"/>
  <c r="F3" i="3"/>
  <c r="E3" i="3"/>
  <c r="G3" i="3" s="1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F18" i="2"/>
  <c r="G18" i="2"/>
  <c r="F17" i="2"/>
  <c r="G17" i="2"/>
  <c r="F16" i="2"/>
  <c r="G16" i="2"/>
  <c r="F15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47" i="1"/>
  <c r="H47" i="1" s="1"/>
  <c r="G46" i="1"/>
  <c r="H46" i="1" s="1"/>
  <c r="G45" i="1"/>
  <c r="H45" i="1" s="1"/>
  <c r="H44" i="1"/>
  <c r="G43" i="1"/>
  <c r="H43" i="1" s="1"/>
  <c r="G42" i="1"/>
  <c r="H42" i="1" s="1"/>
  <c r="G41" i="1"/>
  <c r="H41" i="1" s="1"/>
  <c r="H40" i="1"/>
  <c r="G39" i="1"/>
  <c r="H39" i="1" s="1"/>
  <c r="G38" i="1"/>
  <c r="H38" i="1" s="1"/>
  <c r="G37" i="1"/>
  <c r="H37" i="1" s="1"/>
  <c r="H36" i="1"/>
  <c r="G35" i="1"/>
  <c r="H35" i="1" s="1"/>
  <c r="G34" i="1"/>
  <c r="H34" i="1" s="1"/>
  <c r="G33" i="1"/>
  <c r="H33" i="1" s="1"/>
  <c r="H32" i="1"/>
  <c r="G31" i="1"/>
  <c r="H31" i="1" s="1"/>
  <c r="G30" i="1"/>
  <c r="H30" i="1" s="1"/>
  <c r="G29" i="1"/>
  <c r="H29" i="1" s="1"/>
  <c r="H28" i="1"/>
  <c r="G27" i="1"/>
  <c r="H27" i="1" s="1"/>
  <c r="G26" i="1"/>
  <c r="H26" i="1" s="1"/>
  <c r="G25" i="1"/>
  <c r="H25" i="1" s="1"/>
  <c r="H24" i="1"/>
  <c r="G23" i="1"/>
  <c r="H23" i="1" s="1"/>
  <c r="G22" i="1"/>
  <c r="H22" i="1" s="1"/>
  <c r="G21" i="1"/>
  <c r="H21" i="1" s="1"/>
  <c r="H20" i="1"/>
  <c r="G19" i="1"/>
  <c r="H19" i="1" s="1"/>
  <c r="G18" i="1"/>
  <c r="H18" i="1" s="1"/>
  <c r="G17" i="1"/>
  <c r="H17" i="1" s="1"/>
  <c r="H16" i="1"/>
  <c r="G15" i="1"/>
  <c r="H15" i="1" s="1"/>
  <c r="G14" i="1"/>
  <c r="H14" i="1" s="1"/>
  <c r="G13" i="1"/>
  <c r="H13" i="1" s="1"/>
  <c r="H12" i="1"/>
  <c r="G11" i="1"/>
  <c r="H11" i="1" s="1"/>
  <c r="G10" i="1"/>
  <c r="H10" i="1" s="1"/>
  <c r="G9" i="1"/>
  <c r="H9" i="1" s="1"/>
  <c r="H8" i="1"/>
  <c r="G7" i="1"/>
  <c r="H7" i="1" s="1"/>
  <c r="G6" i="1"/>
  <c r="H6" i="1" s="1"/>
  <c r="G5" i="1"/>
  <c r="H5" i="1" s="1"/>
  <c r="H4" i="1"/>
  <c r="J4" i="5" l="1"/>
  <c r="K4" i="5" s="1"/>
  <c r="K47" i="5"/>
  <c r="J46" i="5"/>
  <c r="K46" i="5" s="1"/>
  <c r="J45" i="5"/>
  <c r="K45" i="5" s="1"/>
  <c r="J44" i="5"/>
  <c r="K44" i="5" s="1"/>
  <c r="J43" i="5"/>
  <c r="K43" i="5" s="1"/>
  <c r="J42" i="5"/>
  <c r="K42" i="5" s="1"/>
  <c r="J41" i="5"/>
  <c r="K41" i="5" s="1"/>
  <c r="J40" i="5"/>
  <c r="K40" i="5" s="1"/>
  <c r="J39" i="5"/>
  <c r="K39" i="5" s="1"/>
  <c r="J38" i="5"/>
  <c r="K38" i="5" s="1"/>
  <c r="J37" i="5"/>
  <c r="K37" i="5" s="1"/>
  <c r="J36" i="5"/>
  <c r="K36" i="5" s="1"/>
  <c r="J35" i="5"/>
  <c r="K35" i="5" s="1"/>
  <c r="J34" i="5"/>
  <c r="K34" i="5" s="1"/>
  <c r="J33" i="5"/>
  <c r="K33" i="5" s="1"/>
  <c r="J32" i="5"/>
  <c r="K32" i="5" s="1"/>
  <c r="J31" i="5"/>
  <c r="K31" i="5" s="1"/>
  <c r="J30" i="5"/>
  <c r="K30" i="5" s="1"/>
  <c r="J29" i="5"/>
  <c r="K29" i="5" s="1"/>
  <c r="J28" i="5"/>
  <c r="K28" i="5" s="1"/>
  <c r="J27" i="5"/>
  <c r="K27" i="5" s="1"/>
  <c r="J26" i="5"/>
  <c r="K26" i="5" s="1"/>
  <c r="J25" i="5"/>
  <c r="K25" i="5" s="1"/>
  <c r="J24" i="5"/>
  <c r="K24" i="5" s="1"/>
  <c r="J23" i="5"/>
  <c r="K23" i="5" s="1"/>
  <c r="J22" i="5"/>
  <c r="K22" i="5" s="1"/>
  <c r="J21" i="5"/>
  <c r="K21" i="5" s="1"/>
  <c r="J20" i="5"/>
  <c r="K20" i="5" s="1"/>
  <c r="J19" i="5"/>
  <c r="K19" i="5" s="1"/>
  <c r="J18" i="5"/>
  <c r="K18" i="5" s="1"/>
  <c r="J17" i="5"/>
  <c r="K17" i="5" s="1"/>
  <c r="J16" i="5"/>
  <c r="K16" i="5" s="1"/>
  <c r="J15" i="5"/>
  <c r="K15" i="5" s="1"/>
  <c r="J14" i="5"/>
  <c r="K14" i="5" s="1"/>
  <c r="J13" i="5"/>
  <c r="K13" i="5" s="1"/>
  <c r="J12" i="5"/>
  <c r="K12" i="5" s="1"/>
  <c r="J11" i="5"/>
  <c r="K11" i="5" s="1"/>
  <c r="J10" i="5"/>
  <c r="K10" i="5" s="1"/>
  <c r="J9" i="5"/>
  <c r="K9" i="5" s="1"/>
  <c r="J8" i="5"/>
  <c r="K8" i="5" s="1"/>
  <c r="J7" i="5"/>
  <c r="K7" i="5" s="1"/>
  <c r="J6" i="5"/>
  <c r="K6" i="5" s="1"/>
  <c r="J5" i="5"/>
  <c r="K5" i="5" s="1"/>
  <c r="E48" i="1"/>
  <c r="H48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I5" i="5" l="1"/>
  <c r="L5" i="5" s="1"/>
  <c r="I6" i="5"/>
  <c r="L6" i="5" s="1"/>
  <c r="I7" i="5"/>
  <c r="L7" i="5" s="1"/>
  <c r="I8" i="5"/>
  <c r="L8" i="5" s="1"/>
  <c r="I9" i="5"/>
  <c r="L9" i="5" s="1"/>
  <c r="I10" i="5"/>
  <c r="L10" i="5" s="1"/>
  <c r="I11" i="5"/>
  <c r="L11" i="5" s="1"/>
  <c r="I12" i="5"/>
  <c r="L12" i="5" s="1"/>
  <c r="I13" i="5"/>
  <c r="L13" i="5" s="1"/>
  <c r="I14" i="5"/>
  <c r="L14" i="5" s="1"/>
  <c r="I15" i="5"/>
  <c r="L15" i="5" s="1"/>
  <c r="I16" i="5"/>
  <c r="L16" i="5" s="1"/>
  <c r="I17" i="5"/>
  <c r="L17" i="5" s="1"/>
  <c r="I18" i="5"/>
  <c r="L18" i="5" s="1"/>
  <c r="I19" i="5"/>
  <c r="L19" i="5" s="1"/>
  <c r="I20" i="5"/>
  <c r="L20" i="5" s="1"/>
  <c r="I21" i="5"/>
  <c r="L21" i="5" s="1"/>
  <c r="I22" i="5"/>
  <c r="L22" i="5" s="1"/>
  <c r="I23" i="5"/>
  <c r="L23" i="5" s="1"/>
  <c r="I24" i="5"/>
  <c r="L24" i="5" s="1"/>
  <c r="I25" i="5"/>
  <c r="L25" i="5" s="1"/>
  <c r="I26" i="5"/>
  <c r="L26" i="5" s="1"/>
  <c r="I27" i="5"/>
  <c r="L27" i="5" s="1"/>
  <c r="I28" i="5"/>
  <c r="L28" i="5" s="1"/>
  <c r="I29" i="5"/>
  <c r="L29" i="5" s="1"/>
  <c r="I30" i="5"/>
  <c r="L30" i="5" s="1"/>
  <c r="I31" i="5"/>
  <c r="L31" i="5" s="1"/>
  <c r="I32" i="5"/>
  <c r="L32" i="5" s="1"/>
  <c r="I33" i="5"/>
  <c r="L33" i="5" s="1"/>
  <c r="I34" i="5"/>
  <c r="L34" i="5" s="1"/>
  <c r="I35" i="5"/>
  <c r="L35" i="5" s="1"/>
  <c r="I36" i="5"/>
  <c r="L36" i="5" s="1"/>
  <c r="I37" i="5"/>
  <c r="L37" i="5" s="1"/>
  <c r="I38" i="5"/>
  <c r="L38" i="5" s="1"/>
  <c r="I39" i="5"/>
  <c r="L39" i="5" s="1"/>
  <c r="I40" i="5"/>
  <c r="L40" i="5" s="1"/>
  <c r="I41" i="5"/>
  <c r="L41" i="5" s="1"/>
  <c r="I42" i="5"/>
  <c r="L42" i="5" s="1"/>
  <c r="I43" i="5"/>
  <c r="L43" i="5" s="1"/>
  <c r="I44" i="5"/>
  <c r="L44" i="5" s="1"/>
  <c r="I45" i="5"/>
  <c r="L45" i="5" s="1"/>
  <c r="I46" i="5"/>
  <c r="L46" i="5" s="1"/>
  <c r="L47" i="5"/>
  <c r="I4" i="5"/>
  <c r="L4" i="5" s="1"/>
  <c r="K47" i="1"/>
  <c r="I47" i="1"/>
  <c r="L47" i="1" s="1"/>
  <c r="K46" i="1"/>
  <c r="I46" i="1"/>
  <c r="L46" i="1" s="1"/>
  <c r="K45" i="1"/>
  <c r="I45" i="1"/>
  <c r="L45" i="1" s="1"/>
  <c r="K44" i="1"/>
  <c r="I44" i="1"/>
  <c r="L44" i="1" s="1"/>
  <c r="K43" i="1"/>
  <c r="I43" i="1"/>
  <c r="L43" i="1" s="1"/>
  <c r="K42" i="1"/>
  <c r="I42" i="1"/>
  <c r="L42" i="1" s="1"/>
  <c r="K41" i="1"/>
  <c r="I41" i="1"/>
  <c r="L41" i="1" s="1"/>
  <c r="K40" i="1"/>
  <c r="I40" i="1"/>
  <c r="L40" i="1" s="1"/>
  <c r="K39" i="1"/>
  <c r="I39" i="1"/>
  <c r="L39" i="1" s="1"/>
  <c r="K38" i="1"/>
  <c r="I38" i="1"/>
  <c r="L38" i="1" s="1"/>
  <c r="K37" i="1"/>
  <c r="I37" i="1"/>
  <c r="L37" i="1" s="1"/>
  <c r="K36" i="1"/>
  <c r="I36" i="1"/>
  <c r="L36" i="1" s="1"/>
  <c r="K35" i="1"/>
  <c r="I35" i="1"/>
  <c r="L35" i="1" s="1"/>
  <c r="K34" i="1"/>
  <c r="I34" i="1"/>
  <c r="L34" i="1" s="1"/>
  <c r="K33" i="1"/>
  <c r="I33" i="1"/>
  <c r="L33" i="1" s="1"/>
  <c r="K32" i="1"/>
  <c r="I32" i="1"/>
  <c r="L32" i="1" s="1"/>
  <c r="K31" i="1"/>
  <c r="I31" i="1"/>
  <c r="L31" i="1" s="1"/>
  <c r="K30" i="1"/>
  <c r="I30" i="1"/>
  <c r="L30" i="1" s="1"/>
  <c r="K29" i="1"/>
  <c r="I29" i="1"/>
  <c r="L29" i="1" s="1"/>
  <c r="K28" i="1"/>
  <c r="I28" i="1"/>
  <c r="L28" i="1" s="1"/>
  <c r="K27" i="1"/>
  <c r="I27" i="1"/>
  <c r="L27" i="1" s="1"/>
  <c r="K26" i="1"/>
  <c r="I26" i="1"/>
  <c r="L26" i="1" s="1"/>
  <c r="K25" i="1"/>
  <c r="I25" i="1"/>
  <c r="L25" i="1" s="1"/>
  <c r="K24" i="1"/>
  <c r="I24" i="1"/>
  <c r="L24" i="1" s="1"/>
  <c r="K23" i="1"/>
  <c r="I23" i="1"/>
  <c r="L23" i="1" s="1"/>
  <c r="K22" i="1"/>
  <c r="I22" i="1"/>
  <c r="L22" i="1" s="1"/>
  <c r="K21" i="1"/>
  <c r="I21" i="1"/>
  <c r="L21" i="1" s="1"/>
  <c r="K20" i="1"/>
  <c r="I20" i="1"/>
  <c r="L20" i="1" s="1"/>
  <c r="K19" i="1"/>
  <c r="I19" i="1"/>
  <c r="L19" i="1" s="1"/>
  <c r="K18" i="1"/>
  <c r="I18" i="1"/>
  <c r="L18" i="1" s="1"/>
  <c r="K17" i="1"/>
  <c r="I17" i="1"/>
  <c r="L17" i="1" s="1"/>
  <c r="K16" i="1"/>
  <c r="I16" i="1"/>
  <c r="L16" i="1" s="1"/>
  <c r="K15" i="1"/>
  <c r="I15" i="1"/>
  <c r="L15" i="1" s="1"/>
  <c r="K14" i="1"/>
  <c r="I14" i="1"/>
  <c r="L14" i="1" s="1"/>
  <c r="K13" i="1"/>
  <c r="I13" i="1"/>
  <c r="L13" i="1" s="1"/>
  <c r="K12" i="1"/>
  <c r="I12" i="1"/>
  <c r="L12" i="1" s="1"/>
  <c r="K11" i="1"/>
  <c r="I11" i="1"/>
  <c r="L11" i="1" s="1"/>
  <c r="K10" i="1"/>
  <c r="I10" i="1"/>
  <c r="L10" i="1" s="1"/>
  <c r="K9" i="1"/>
  <c r="I9" i="1"/>
  <c r="L9" i="1" s="1"/>
  <c r="K8" i="1"/>
  <c r="I8" i="1"/>
  <c r="L8" i="1" s="1"/>
  <c r="K7" i="1"/>
  <c r="I7" i="1"/>
  <c r="L7" i="1" s="1"/>
  <c r="K6" i="1"/>
  <c r="I6" i="1"/>
  <c r="L6" i="1" s="1"/>
  <c r="K5" i="1"/>
  <c r="I5" i="1"/>
  <c r="L5" i="1" s="1"/>
  <c r="K4" i="1"/>
  <c r="I4" i="1"/>
  <c r="L4" i="1" s="1"/>
</calcChain>
</file>

<file path=xl/sharedStrings.xml><?xml version="1.0" encoding="utf-8"?>
<sst xmlns="http://schemas.openxmlformats.org/spreadsheetml/2006/main" count="326" uniqueCount="70">
  <si>
    <t>EPS</t>
  </si>
  <si>
    <t>No</t>
  </si>
  <si>
    <t>Kode</t>
  </si>
  <si>
    <t>IPO</t>
  </si>
  <si>
    <t>Tahun</t>
  </si>
  <si>
    <t>beta saham</t>
  </si>
  <si>
    <t>Rt</t>
  </si>
  <si>
    <t>Harga Pasar</t>
  </si>
  <si>
    <t>Rm</t>
  </si>
  <si>
    <t>(Rt-rata rata Rt)(Rm-rata rata Rm)</t>
  </si>
  <si>
    <t>(Rm-rata rata Rm)</t>
  </si>
  <si>
    <t>(Rm-rata rata Rm)^2</t>
  </si>
  <si>
    <t>beta</t>
  </si>
  <si>
    <t>ht</t>
  </si>
  <si>
    <t>ht-1</t>
  </si>
  <si>
    <t>BBCA</t>
  </si>
  <si>
    <t>31/0/2000</t>
  </si>
  <si>
    <t>BBNI</t>
  </si>
  <si>
    <t>25/11/1996</t>
  </si>
  <si>
    <t>BBRI</t>
  </si>
  <si>
    <t>BBTN</t>
  </si>
  <si>
    <t>17/12/2009</t>
  </si>
  <si>
    <t>BMRI</t>
  </si>
  <si>
    <t>14/06/2003</t>
  </si>
  <si>
    <t>GGRM</t>
  </si>
  <si>
    <t>27/08/`1990</t>
  </si>
  <si>
    <t>HMSP</t>
  </si>
  <si>
    <t>KLBF</t>
  </si>
  <si>
    <t>30/07/1991</t>
  </si>
  <si>
    <t>SMGR</t>
  </si>
  <si>
    <t>TLKM</t>
  </si>
  <si>
    <t>14/11/1995</t>
  </si>
  <si>
    <t>UNVR</t>
  </si>
  <si>
    <t>Rata Rata</t>
  </si>
  <si>
    <t>penilaian pasar</t>
  </si>
  <si>
    <t>EAT</t>
  </si>
  <si>
    <t>Jumlah lembar saham beredar</t>
  </si>
  <si>
    <t>laba akuntansi</t>
  </si>
  <si>
    <t>laba bersih setelah pajak</t>
  </si>
  <si>
    <t>penjualan</t>
  </si>
  <si>
    <t>Return Saham</t>
  </si>
  <si>
    <t>Pt -</t>
  </si>
  <si>
    <t>Pt-1</t>
  </si>
  <si>
    <t>INDF</t>
  </si>
  <si>
    <t>14/07/1994</t>
  </si>
  <si>
    <t>JSMR</t>
  </si>
  <si>
    <t>SMRA</t>
  </si>
  <si>
    <t>TBIG</t>
  </si>
  <si>
    <t>26/10/2010</t>
  </si>
  <si>
    <t>TOWR</t>
  </si>
  <si>
    <t>WIKA</t>
  </si>
  <si>
    <t>29/10/2007</t>
  </si>
  <si>
    <t>ACES</t>
  </si>
  <si>
    <t>ANTM</t>
  </si>
  <si>
    <t>27/11/1997</t>
  </si>
  <si>
    <t>AKRA</t>
  </si>
  <si>
    <t>ASII</t>
  </si>
  <si>
    <t>BMTR</t>
  </si>
  <si>
    <t>17/07/1995</t>
  </si>
  <si>
    <t>CPIN</t>
  </si>
  <si>
    <t>18/03/1991</t>
  </si>
  <si>
    <t>ERAA</t>
  </si>
  <si>
    <t>14/12/2011</t>
  </si>
  <si>
    <t>EXCL</t>
  </si>
  <si>
    <t>29/09/2005</t>
  </si>
  <si>
    <t>ICBP</t>
  </si>
  <si>
    <t>MIKA</t>
  </si>
  <si>
    <t>24/03/2015</t>
  </si>
  <si>
    <t>PTBA</t>
  </si>
  <si>
    <t>PTPP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</si>
</sst>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0000_);_(* \(#,##0.00000\);_(* &quot;-&quot;?????_);_(@_)"/>
    <numFmt numFmtId="166" formatCode="_(* #,##0.000_);_(* \(#,##0.0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9">
    <xf numFmtId="0" fontId="0" fillId="0" borderId="0" xfId="0"/>
    <xf numFmtId="164" fontId="0" fillId="0" borderId="2" xfId="0" applyNumberFormat="1" applyBorder="1"/>
    <xf numFmtId="0" fontId="0" fillId="5" borderId="7" xfId="0" applyFill="1" applyBorder="1"/>
    <xf numFmtId="165" fontId="0" fillId="5" borderId="8" xfId="0" applyNumberFormat="1" applyFill="1" applyBorder="1"/>
    <xf numFmtId="164" fontId="0" fillId="5" borderId="7" xfId="0" applyNumberFormat="1" applyFill="1" applyBorder="1"/>
    <xf numFmtId="165" fontId="0" fillId="5" borderId="7" xfId="0" applyNumberFormat="1" applyFill="1" applyBorder="1"/>
    <xf numFmtId="165" fontId="0" fillId="5" borderId="9" xfId="0" applyNumberFormat="1" applyFill="1" applyBorder="1"/>
    <xf numFmtId="165" fontId="0" fillId="5" borderId="10" xfId="0" applyNumberFormat="1" applyFill="1" applyBorder="1"/>
    <xf numFmtId="165" fontId="0" fillId="5" borderId="11" xfId="0" applyNumberFormat="1" applyFill="1" applyBorder="1"/>
    <xf numFmtId="0" fontId="0" fillId="5" borderId="1" xfId="0" applyFill="1" applyBorder="1"/>
    <xf numFmtId="165" fontId="0" fillId="5" borderId="1" xfId="0" applyNumberFormat="1" applyFill="1" applyBorder="1"/>
    <xf numFmtId="164" fontId="0" fillId="5" borderId="1" xfId="0" applyNumberFormat="1" applyFill="1" applyBorder="1"/>
    <xf numFmtId="0" fontId="0" fillId="5" borderId="16" xfId="0" applyFill="1" applyBorder="1"/>
    <xf numFmtId="165" fontId="0" fillId="5" borderId="17" xfId="0" applyNumberFormat="1" applyFill="1" applyBorder="1"/>
    <xf numFmtId="164" fontId="0" fillId="5" borderId="16" xfId="0" applyNumberFormat="1" applyFill="1" applyBorder="1"/>
    <xf numFmtId="165" fontId="0" fillId="5" borderId="16" xfId="0" applyNumberFormat="1" applyFill="1" applyBorder="1"/>
    <xf numFmtId="165" fontId="0" fillId="5" borderId="18" xfId="0" applyNumberFormat="1" applyFill="1" applyBorder="1"/>
    <xf numFmtId="165" fontId="0" fillId="5" borderId="19" xfId="0" applyNumberFormat="1" applyFill="1" applyBorder="1"/>
    <xf numFmtId="165" fontId="0" fillId="5" borderId="20" xfId="0" applyNumberFormat="1" applyFill="1" applyBorder="1"/>
    <xf numFmtId="0" fontId="0" fillId="0" borderId="7" xfId="0" applyBorder="1"/>
    <xf numFmtId="165" fontId="0" fillId="0" borderId="8" xfId="0" applyNumberFormat="1" applyBorder="1"/>
    <xf numFmtId="164" fontId="0" fillId="0" borderId="7" xfId="0" applyNumberFormat="1" applyBorder="1"/>
    <xf numFmtId="165" fontId="0" fillId="0" borderId="7" xfId="0" applyNumberFormat="1" applyBorder="1"/>
    <xf numFmtId="165" fontId="0" fillId="0" borderId="9" xfId="0" applyNumberFormat="1" applyBorder="1"/>
    <xf numFmtId="165" fontId="0" fillId="0" borderId="10" xfId="0" applyNumberFormat="1" applyBorder="1"/>
    <xf numFmtId="165" fontId="0" fillId="0" borderId="11" xfId="0" applyNumberFormat="1" applyBorder="1"/>
    <xf numFmtId="0" fontId="0" fillId="0" borderId="1" xfId="0" applyBorder="1"/>
    <xf numFmtId="165" fontId="0" fillId="0" borderId="1" xfId="0" applyNumberFormat="1" applyBorder="1"/>
    <xf numFmtId="164" fontId="0" fillId="0" borderId="1" xfId="0" applyNumberFormat="1" applyBorder="1"/>
    <xf numFmtId="0" fontId="0" fillId="0" borderId="16" xfId="0" applyBorder="1"/>
    <xf numFmtId="165" fontId="0" fillId="0" borderId="17" xfId="0" applyNumberFormat="1" applyBorder="1"/>
    <xf numFmtId="164" fontId="0" fillId="0" borderId="16" xfId="0" applyNumberFormat="1" applyBorder="1"/>
    <xf numFmtId="165" fontId="0" fillId="0" borderId="16" xfId="0" applyNumberFormat="1" applyBorder="1"/>
    <xf numFmtId="165" fontId="0" fillId="0" borderId="18" xfId="0" applyNumberFormat="1" applyBorder="1"/>
    <xf numFmtId="165" fontId="0" fillId="0" borderId="19" xfId="0" applyNumberFormat="1" applyBorder="1"/>
    <xf numFmtId="165" fontId="0" fillId="0" borderId="20" xfId="0" applyNumberFormat="1" applyBorder="1"/>
    <xf numFmtId="164" fontId="0" fillId="0" borderId="8" xfId="0" applyNumberFormat="1" applyBorder="1"/>
    <xf numFmtId="164" fontId="0" fillId="0" borderId="17" xfId="0" applyNumberFormat="1" applyBorder="1"/>
    <xf numFmtId="164" fontId="0" fillId="5" borderId="8" xfId="0" applyNumberFormat="1" applyFill="1" applyBorder="1"/>
    <xf numFmtId="164" fontId="0" fillId="5" borderId="17" xfId="0" applyNumberFormat="1" applyFill="1" applyBorder="1"/>
    <xf numFmtId="165" fontId="2" fillId="6" borderId="24" xfId="0" applyNumberFormat="1" applyFont="1" applyFill="1" applyBorder="1"/>
    <xf numFmtId="0" fontId="0" fillId="6" borderId="23" xfId="0" applyFill="1" applyBorder="1"/>
    <xf numFmtId="0" fontId="0" fillId="6" borderId="25" xfId="0" applyFill="1" applyBorder="1"/>
    <xf numFmtId="0" fontId="0" fillId="5" borderId="26" xfId="0" applyFill="1" applyBorder="1"/>
    <xf numFmtId="164" fontId="0" fillId="5" borderId="4" xfId="0" applyNumberFormat="1" applyFill="1" applyBorder="1"/>
    <xf numFmtId="164" fontId="0" fillId="5" borderId="26" xfId="0" applyNumberFormat="1" applyFill="1" applyBorder="1"/>
    <xf numFmtId="166" fontId="0" fillId="4" borderId="14" xfId="0" applyNumberFormat="1" applyFill="1" applyBorder="1"/>
    <xf numFmtId="166" fontId="0" fillId="4" borderId="12" xfId="0" applyNumberFormat="1" applyFill="1" applyBorder="1"/>
    <xf numFmtId="164" fontId="0" fillId="0" borderId="26" xfId="0" applyNumberFormat="1" applyBorder="1"/>
    <xf numFmtId="0" fontId="0" fillId="0" borderId="2" xfId="0" applyBorder="1"/>
    <xf numFmtId="166" fontId="0" fillId="4" borderId="21" xfId="0" applyNumberFormat="1" applyFill="1" applyBorder="1"/>
    <xf numFmtId="164" fontId="0" fillId="2" borderId="2" xfId="0" applyNumberFormat="1" applyFill="1" applyBorder="1"/>
    <xf numFmtId="164" fontId="0" fillId="3" borderId="2" xfId="0" applyNumberFormat="1" applyFill="1" applyBorder="1"/>
    <xf numFmtId="0" fontId="0" fillId="4" borderId="2" xfId="0" applyFill="1" applyBorder="1"/>
    <xf numFmtId="0" fontId="0" fillId="0" borderId="26" xfId="0" applyBorder="1"/>
    <xf numFmtId="164" fontId="3" fillId="7" borderId="2" xfId="0" applyNumberFormat="1" applyFont="1" applyFill="1" applyBorder="1"/>
    <xf numFmtId="164" fontId="3" fillId="4" borderId="2" xfId="0" applyNumberFormat="1" applyFont="1" applyFill="1" applyBorder="1"/>
    <xf numFmtId="41" fontId="0" fillId="3" borderId="0" xfId="0" applyNumberFormat="1" applyFill="1"/>
    <xf numFmtId="41" fontId="0" fillId="3" borderId="10" xfId="0" applyNumberFormat="1" applyFill="1" applyBorder="1"/>
    <xf numFmtId="41" fontId="0" fillId="0" borderId="0" xfId="0" applyNumberFormat="1"/>
    <xf numFmtId="41" fontId="0" fillId="3" borderId="19" xfId="0" applyNumberFormat="1" applyFill="1" applyBorder="1"/>
    <xf numFmtId="0" fontId="0" fillId="5" borderId="32" xfId="0" applyFill="1" applyBorder="1"/>
    <xf numFmtId="0" fontId="0" fillId="5" borderId="33" xfId="0" applyFill="1" applyBorder="1"/>
    <xf numFmtId="0" fontId="0" fillId="5" borderId="34" xfId="0" applyFill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164" fontId="0" fillId="5" borderId="35" xfId="0" applyNumberFormat="1" applyFill="1" applyBorder="1"/>
    <xf numFmtId="164" fontId="0" fillId="5" borderId="36" xfId="0" applyNumberFormat="1" applyFill="1" applyBorder="1"/>
    <xf numFmtId="164" fontId="0" fillId="5" borderId="37" xfId="0" applyNumberFormat="1" applyFill="1" applyBorder="1"/>
    <xf numFmtId="164" fontId="0" fillId="0" borderId="35" xfId="0" applyNumberFormat="1" applyBorder="1"/>
    <xf numFmtId="164" fontId="0" fillId="0" borderId="36" xfId="0" applyNumberFormat="1" applyBorder="1"/>
    <xf numFmtId="164" fontId="0" fillId="0" borderId="37" xfId="0" applyNumberFormat="1" applyBorder="1"/>
    <xf numFmtId="165" fontId="2" fillId="6" borderId="38" xfId="0" applyNumberFormat="1" applyFont="1" applyFill="1" applyBorder="1"/>
    <xf numFmtId="165" fontId="0" fillId="5" borderId="0" xfId="0" applyNumberFormat="1" applyFill="1"/>
    <xf numFmtId="43" fontId="0" fillId="4" borderId="12" xfId="0" applyNumberFormat="1" applyFill="1" applyBorder="1"/>
    <xf numFmtId="43" fontId="0" fillId="4" borderId="12" xfId="2" applyNumberFormat="1" applyFont="1" applyFill="1" applyBorder="1"/>
    <xf numFmtId="43" fontId="0" fillId="4" borderId="14" xfId="2" applyNumberFormat="1" applyFont="1" applyFill="1" applyBorder="1"/>
    <xf numFmtId="43" fontId="0" fillId="4" borderId="21" xfId="2" applyNumberFormat="1" applyFont="1" applyFill="1" applyBorder="1"/>
    <xf numFmtId="41" fontId="0" fillId="4" borderId="12" xfId="0" applyNumberFormat="1" applyFill="1" applyBorder="1"/>
    <xf numFmtId="41" fontId="0" fillId="4" borderId="14" xfId="0" applyNumberFormat="1" applyFill="1" applyBorder="1"/>
    <xf numFmtId="41" fontId="0" fillId="4" borderId="27" xfId="0" applyNumberFormat="1" applyFill="1" applyBorder="1"/>
    <xf numFmtId="41" fontId="0" fillId="4" borderId="28" xfId="0" applyNumberFormat="1" applyFill="1" applyBorder="1"/>
    <xf numFmtId="43" fontId="0" fillId="4" borderId="0" xfId="2" applyNumberFormat="1" applyFont="1" applyFill="1"/>
    <xf numFmtId="43" fontId="0" fillId="0" borderId="0" xfId="1" applyNumberFormat="1" applyFont="1"/>
    <xf numFmtId="165" fontId="0" fillId="0" borderId="32" xfId="0" applyNumberFormat="1" applyBorder="1"/>
    <xf numFmtId="165" fontId="0" fillId="0" borderId="40" xfId="0" applyNumberFormat="1" applyBorder="1"/>
    <xf numFmtId="0" fontId="0" fillId="8" borderId="0" xfId="0" applyFill="1"/>
    <xf numFmtId="43" fontId="0" fillId="4" borderId="39" xfId="2" applyNumberFormat="1" applyFont="1" applyFill="1" applyBorder="1"/>
    <xf numFmtId="43" fontId="0" fillId="0" borderId="7" xfId="0" applyNumberFormat="1" applyBorder="1"/>
    <xf numFmtId="164" fontId="0" fillId="4" borderId="39" xfId="0" applyNumberFormat="1" applyFill="1" applyBorder="1"/>
    <xf numFmtId="0" fontId="0" fillId="5" borderId="6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14" fontId="0" fillId="5" borderId="7" xfId="0" applyNumberFormat="1" applyFill="1" applyBorder="1" applyAlignment="1">
      <alignment horizontal="center" vertical="center"/>
    </xf>
    <xf numFmtId="14" fontId="0" fillId="5" borderId="1" xfId="0" applyNumberFormat="1" applyFill="1" applyBorder="1" applyAlignment="1">
      <alignment horizontal="center" vertical="center"/>
    </xf>
    <xf numFmtId="14" fontId="0" fillId="5" borderId="16" xfId="0" applyNumberFormat="1" applyFill="1" applyBorder="1" applyAlignment="1">
      <alignment horizontal="center" vertical="center"/>
    </xf>
    <xf numFmtId="0" fontId="0" fillId="6" borderId="22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2" borderId="2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3" borderId="1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14" fontId="0" fillId="0" borderId="26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0" fontId="0" fillId="5" borderId="31" xfId="0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14" fontId="0" fillId="5" borderId="8" xfId="0" applyNumberFormat="1" applyFill="1" applyBorder="1" applyAlignment="1">
      <alignment horizontal="center" vertical="center"/>
    </xf>
    <xf numFmtId="14" fontId="0" fillId="5" borderId="4" xfId="0" applyNumberFormat="1" applyFill="1" applyBorder="1" applyAlignment="1">
      <alignment horizontal="center" vertical="center"/>
    </xf>
    <xf numFmtId="14" fontId="0" fillId="5" borderId="17" xfId="0" applyNumberFormat="1" applyFill="1" applyBorder="1" applyAlignment="1">
      <alignment horizontal="center" vertical="center"/>
    </xf>
    <xf numFmtId="164" fontId="3" fillId="7" borderId="1" xfId="0" applyNumberFormat="1" applyFont="1" applyFill="1" applyBorder="1" applyAlignment="1">
      <alignment horizontal="center"/>
    </xf>
    <xf numFmtId="0" fontId="4" fillId="5" borderId="26" xfId="0" applyFont="1" applyFill="1" applyBorder="1" applyAlignment="1">
      <alignment horizontal="center" vertical="center"/>
    </xf>
    <xf numFmtId="14" fontId="0" fillId="5" borderId="26" xfId="0" applyNumberFormat="1" applyFill="1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Border="1"/>
    <xf numFmtId="0" fontId="0" fillId="0" borderId="4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43" fontId="0" fillId="0" borderId="8" xfId="0" applyNumberFormat="1" applyBorder="1"/>
    <xf numFmtId="165" fontId="0" fillId="0" borderId="42" xfId="0" applyNumberFormat="1" applyBorder="1"/>
    <xf numFmtId="0" fontId="0" fillId="0" borderId="10" xfId="0" applyBorder="1"/>
    <xf numFmtId="43" fontId="0" fillId="0" borderId="10" xfId="0" applyNumberFormat="1" applyBorder="1"/>
    <xf numFmtId="164" fontId="0" fillId="0" borderId="10" xfId="0" applyNumberFormat="1" applyBorder="1"/>
    <xf numFmtId="0" fontId="0" fillId="0" borderId="19" xfId="0" applyBorder="1"/>
    <xf numFmtId="164" fontId="0" fillId="0" borderId="19" xfId="0" applyNumberFormat="1" applyBorder="1"/>
    <xf numFmtId="41" fontId="0" fillId="3" borderId="0" xfId="0" applyNumberFormat="1" applyFill="1" applyBorder="1"/>
    <xf numFmtId="41" fontId="0" fillId="3" borderId="20" xfId="0" applyNumberFormat="1" applyFill="1" applyBorder="1"/>
    <xf numFmtId="41" fontId="0" fillId="0" borderId="19" xfId="0" applyNumberFormat="1" applyBorder="1"/>
    <xf numFmtId="41" fontId="0" fillId="3" borderId="42" xfId="0" applyNumberFormat="1" applyFill="1" applyBorder="1"/>
    <xf numFmtId="41" fontId="0" fillId="0" borderId="0" xfId="0" applyNumberFormat="1" applyBorder="1"/>
    <xf numFmtId="0" fontId="2" fillId="8" borderId="0" xfId="0" applyFont="1" applyFill="1" applyBorder="1" applyAlignment="1">
      <alignment horizontal="center"/>
    </xf>
    <xf numFmtId="165" fontId="2" fillId="8" borderId="0" xfId="0" applyNumberFormat="1" applyFont="1" applyFill="1"/>
    <xf numFmtId="0" fontId="2" fillId="8" borderId="0" xfId="0" applyFont="1" applyFill="1"/>
  </cellXfs>
  <cellStyles count="3">
    <cellStyle name="Mata Uang" xfId="1" builtinId="4"/>
    <cellStyle name="Normal" xfId="0" builtinId="0"/>
    <cellStyle name="Persen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8"/>
  <sheetViews>
    <sheetView workbookViewId="0">
      <selection activeCell="L4" sqref="L4"/>
    </sheetView>
  </sheetViews>
  <sheetFormatPr defaultRowHeight="15" x14ac:dyDescent="0.25"/>
  <cols>
    <col min="3" max="3" width="11.28515625" bestFit="1" customWidth="1"/>
    <col min="5" max="5" width="9.85546875" customWidth="1"/>
    <col min="8" max="8" width="9.7109375" bestFit="1" customWidth="1"/>
    <col min="9" max="9" width="32.28515625" bestFit="1" customWidth="1"/>
    <col min="10" max="10" width="18.28515625" bestFit="1" customWidth="1"/>
    <col min="11" max="11" width="20.28515625" bestFit="1" customWidth="1"/>
    <col min="12" max="12" width="12.7109375" bestFit="1" customWidth="1"/>
  </cols>
  <sheetData>
    <row r="1" spans="1:12" x14ac:dyDescent="0.25">
      <c r="A1" s="115" t="s">
        <v>1</v>
      </c>
      <c r="B1" s="115" t="s">
        <v>2</v>
      </c>
      <c r="C1" s="115" t="s">
        <v>3</v>
      </c>
      <c r="D1" s="115" t="s">
        <v>4</v>
      </c>
      <c r="E1" s="117" t="s">
        <v>5</v>
      </c>
      <c r="F1" s="117"/>
      <c r="G1" s="117"/>
      <c r="H1" s="117"/>
      <c r="I1" s="117"/>
      <c r="J1" s="117"/>
      <c r="K1" s="117"/>
      <c r="L1" s="117"/>
    </row>
    <row r="2" spans="1:12" x14ac:dyDescent="0.25">
      <c r="A2" s="116"/>
      <c r="B2" s="116"/>
      <c r="C2" s="116"/>
      <c r="D2" s="116"/>
      <c r="E2" s="118" t="s">
        <v>6</v>
      </c>
      <c r="F2" s="120" t="s">
        <v>7</v>
      </c>
      <c r="G2" s="120"/>
      <c r="H2" s="121" t="s">
        <v>8</v>
      </c>
      <c r="I2" s="112" t="s">
        <v>9</v>
      </c>
      <c r="J2" s="124" t="s">
        <v>10</v>
      </c>
      <c r="K2" s="111" t="s">
        <v>11</v>
      </c>
      <c r="L2" s="113" t="s">
        <v>12</v>
      </c>
    </row>
    <row r="3" spans="1:12" ht="15.75" thickBot="1" x14ac:dyDescent="0.3">
      <c r="A3" s="116"/>
      <c r="B3" s="116"/>
      <c r="C3" s="116"/>
      <c r="D3" s="116"/>
      <c r="E3" s="119"/>
      <c r="F3" s="1" t="s">
        <v>13</v>
      </c>
      <c r="G3" s="1" t="s">
        <v>14</v>
      </c>
      <c r="H3" s="122"/>
      <c r="I3" s="123"/>
      <c r="J3" s="125"/>
      <c r="K3" s="112"/>
      <c r="L3" s="114"/>
    </row>
    <row r="4" spans="1:12" x14ac:dyDescent="0.25">
      <c r="A4" s="91">
        <v>1</v>
      </c>
      <c r="B4" s="94" t="s">
        <v>15</v>
      </c>
      <c r="C4" s="97" t="s">
        <v>16</v>
      </c>
      <c r="D4" s="61">
        <v>2019</v>
      </c>
      <c r="E4" s="74">
        <f>'Return BC'!G3</f>
        <v>0.28557692307692306</v>
      </c>
      <c r="F4" s="67">
        <v>8240</v>
      </c>
      <c r="G4" s="4">
        <v>6194</v>
      </c>
      <c r="H4" s="5">
        <f>(F4-G4)/G4</f>
        <v>0.33031966419115272</v>
      </c>
      <c r="I4" s="6">
        <f>(E4-E48)*J4</f>
        <v>4.7097854481925494E-2</v>
      </c>
      <c r="J4" s="7">
        <f>H4-H48</f>
        <v>0.13672423185318797</v>
      </c>
      <c r="K4" s="8">
        <f>(J4*J4)</f>
        <v>1.86935155758443E-2</v>
      </c>
      <c r="L4" s="76">
        <f>I4/K4</f>
        <v>2.5194754989149919</v>
      </c>
    </row>
    <row r="5" spans="1:12" x14ac:dyDescent="0.25">
      <c r="A5" s="92"/>
      <c r="B5" s="95"/>
      <c r="C5" s="98"/>
      <c r="D5" s="62">
        <v>2020</v>
      </c>
      <c r="E5" s="74">
        <f>'Return BC'!G4</f>
        <v>1.2715033657442034E-2</v>
      </c>
      <c r="F5" s="68">
        <v>8350</v>
      </c>
      <c r="G5" s="11">
        <f>F4</f>
        <v>8240</v>
      </c>
      <c r="H5" s="10">
        <f t="shared" ref="H5:H7" si="0">(F5-G5)/G5</f>
        <v>1.3349514563106795E-2</v>
      </c>
      <c r="I5" s="10">
        <f>(E5-E48)*J5</f>
        <v>-1.2907673843264354E-2</v>
      </c>
      <c r="J5" s="10">
        <f>H5-H48</f>
        <v>-0.18024591777485796</v>
      </c>
      <c r="K5" s="10">
        <f t="shared" ref="K5:K47" si="1">(J5*J5)</f>
        <v>3.2488590874500858E-2</v>
      </c>
      <c r="L5" s="77">
        <f t="shared" ref="L5:L47" si="2">I5/K5</f>
        <v>-0.39729866688047494</v>
      </c>
    </row>
    <row r="6" spans="1:12" x14ac:dyDescent="0.25">
      <c r="A6" s="92"/>
      <c r="B6" s="95"/>
      <c r="C6" s="98"/>
      <c r="D6" s="62">
        <v>2021</v>
      </c>
      <c r="E6" s="74">
        <f>'Return BC'!G5</f>
        <v>7.8286558345642535E-2</v>
      </c>
      <c r="F6" s="68">
        <v>9000</v>
      </c>
      <c r="G6" s="11">
        <f>F5</f>
        <v>8350</v>
      </c>
      <c r="H6" s="10">
        <f t="shared" si="0"/>
        <v>7.7844311377245512E-2</v>
      </c>
      <c r="I6" s="10">
        <f>(E6-E48)*J6</f>
        <v>-1.5879084583430386E-2</v>
      </c>
      <c r="J6" s="10">
        <f>H6-H48</f>
        <v>-0.11575112096071924</v>
      </c>
      <c r="K6" s="10">
        <f t="shared" si="1"/>
        <v>1.3398322003663057E-2</v>
      </c>
      <c r="L6" s="77">
        <f t="shared" si="2"/>
        <v>-1.1851547215456604</v>
      </c>
    </row>
    <row r="7" spans="1:12" ht="15.75" thickBot="1" x14ac:dyDescent="0.3">
      <c r="A7" s="93"/>
      <c r="B7" s="96"/>
      <c r="C7" s="99"/>
      <c r="D7" s="63">
        <v>2022</v>
      </c>
      <c r="E7" s="74">
        <f>'Return BC'!G6</f>
        <v>0.17123287671232876</v>
      </c>
      <c r="F7" s="69">
        <v>1054</v>
      </c>
      <c r="G7" s="14">
        <f>F6</f>
        <v>9000</v>
      </c>
      <c r="H7" s="15">
        <f t="shared" si="0"/>
        <v>-0.88288888888888883</v>
      </c>
      <c r="I7" s="16">
        <f>(E7-E48)*J7</f>
        <v>-0.24773058965346162</v>
      </c>
      <c r="J7" s="17">
        <f>H7-H48</f>
        <v>-1.0764843212268536</v>
      </c>
      <c r="K7" s="18">
        <f t="shared" si="1"/>
        <v>1.1588184938472397</v>
      </c>
      <c r="L7" s="78">
        <f t="shared" si="2"/>
        <v>-0.21377859515428005</v>
      </c>
    </row>
    <row r="8" spans="1:12" x14ac:dyDescent="0.25">
      <c r="A8" s="102">
        <v>2</v>
      </c>
      <c r="B8" s="105" t="s">
        <v>17</v>
      </c>
      <c r="C8" s="108" t="s">
        <v>18</v>
      </c>
      <c r="D8" s="64">
        <v>2019</v>
      </c>
      <c r="E8" s="74">
        <f>'Return BC'!G7</f>
        <v>-0.55397727272727271</v>
      </c>
      <c r="F8" s="70">
        <v>1463</v>
      </c>
      <c r="G8" s="21">
        <v>1646</v>
      </c>
      <c r="H8" s="22">
        <f>(F8-G8)/G8</f>
        <v>-0.11117861482381532</v>
      </c>
      <c r="I8" s="23">
        <f>(E8-E48)*J8</f>
        <v>0.15088779235859873</v>
      </c>
      <c r="J8" s="24">
        <f>H8-H48</f>
        <v>-0.30477404716178008</v>
      </c>
      <c r="K8" s="25">
        <f t="shared" si="1"/>
        <v>9.2887219823370948E-2</v>
      </c>
      <c r="L8" s="76">
        <f t="shared" si="2"/>
        <v>1.6244192973534828</v>
      </c>
    </row>
    <row r="9" spans="1:12" x14ac:dyDescent="0.25">
      <c r="A9" s="103"/>
      <c r="B9" s="106"/>
      <c r="C9" s="109"/>
      <c r="D9" s="65">
        <v>2020</v>
      </c>
      <c r="E9" s="74">
        <f>'Return BC'!G8</f>
        <v>-0.21337579617834396</v>
      </c>
      <c r="F9" s="71">
        <v>1151</v>
      </c>
      <c r="G9" s="28">
        <f>F8</f>
        <v>1463</v>
      </c>
      <c r="H9" s="27">
        <f t="shared" ref="H9:H47" si="3">(F9-G9)/G9</f>
        <v>-0.21326042378673957</v>
      </c>
      <c r="I9" s="27">
        <f>(E9-E48)*J9</f>
        <v>6.2850835111615572E-2</v>
      </c>
      <c r="J9" s="27">
        <f>H9-H48</f>
        <v>-0.40685585612470432</v>
      </c>
      <c r="K9" s="27">
        <f t="shared" si="1"/>
        <v>0.16553168766296611</v>
      </c>
      <c r="L9" s="77">
        <f t="shared" si="2"/>
        <v>0.37969065620586306</v>
      </c>
    </row>
    <row r="10" spans="1:12" x14ac:dyDescent="0.25">
      <c r="A10" s="103"/>
      <c r="B10" s="106"/>
      <c r="C10" s="109"/>
      <c r="D10" s="65">
        <v>2021</v>
      </c>
      <c r="E10" s="74">
        <f>'Return BC'!G9</f>
        <v>9.3117408906882596E-2</v>
      </c>
      <c r="F10" s="71">
        <v>1258</v>
      </c>
      <c r="G10" s="28">
        <f>F9</f>
        <v>1151</v>
      </c>
      <c r="H10" s="27">
        <f t="shared" si="3"/>
        <v>9.2962641181581235E-2</v>
      </c>
      <c r="I10" s="27">
        <f>(E10-E48)*J10</f>
        <v>-1.5297576821596491E-2</v>
      </c>
      <c r="J10" s="27">
        <f>H10-H48</f>
        <v>-0.10063279115638352</v>
      </c>
      <c r="K10" s="27">
        <f t="shared" si="1"/>
        <v>1.0126958655924301E-2</v>
      </c>
      <c r="L10" s="77">
        <f t="shared" si="2"/>
        <v>-1.510579567010216</v>
      </c>
    </row>
    <row r="11" spans="1:12" ht="15.75" thickBot="1" x14ac:dyDescent="0.3">
      <c r="A11" s="104"/>
      <c r="B11" s="107"/>
      <c r="C11" s="110"/>
      <c r="D11" s="66">
        <v>2022</v>
      </c>
      <c r="E11" s="74">
        <f>'Return BC'!G10</f>
        <v>0.36666666666666664</v>
      </c>
      <c r="F11" s="72">
        <v>1720</v>
      </c>
      <c r="G11" s="31">
        <f>F10</f>
        <v>1258</v>
      </c>
      <c r="H11" s="32">
        <f t="shared" si="3"/>
        <v>0.36724960254372019</v>
      </c>
      <c r="I11" s="33">
        <f>(E11-E48)*J11</f>
        <v>7.390080628034075E-2</v>
      </c>
      <c r="J11" s="34">
        <f>H11-H48</f>
        <v>0.17365417020575544</v>
      </c>
      <c r="K11" s="35">
        <f t="shared" si="1"/>
        <v>3.0155770829849479E-2</v>
      </c>
      <c r="L11" s="78">
        <f t="shared" si="2"/>
        <v>2.4506356245150447</v>
      </c>
    </row>
    <row r="12" spans="1:12" x14ac:dyDescent="0.25">
      <c r="A12" s="91">
        <v>3</v>
      </c>
      <c r="B12" s="94" t="s">
        <v>19</v>
      </c>
      <c r="C12" s="97">
        <v>37905</v>
      </c>
      <c r="D12" s="61">
        <v>2019</v>
      </c>
      <c r="E12" s="74">
        <f>'Return BC'!G11</f>
        <v>9.2877297267759507E-2</v>
      </c>
      <c r="F12" s="67">
        <v>5427</v>
      </c>
      <c r="G12" s="4">
        <v>4514</v>
      </c>
      <c r="H12" s="5">
        <f t="shared" si="3"/>
        <v>0.20225963668586619</v>
      </c>
      <c r="I12" s="6">
        <f>(E12-E48)*J12</f>
        <v>1.3149985806305607E-3</v>
      </c>
      <c r="J12" s="7">
        <f>H12-H48</f>
        <v>8.6642043479014386E-3</v>
      </c>
      <c r="K12" s="8">
        <f t="shared" si="1"/>
        <v>7.5068436982194197E-5</v>
      </c>
      <c r="L12" s="76">
        <f t="shared" si="2"/>
        <v>17.517329965754726</v>
      </c>
    </row>
    <row r="13" spans="1:12" x14ac:dyDescent="0.25">
      <c r="A13" s="92"/>
      <c r="B13" s="95"/>
      <c r="C13" s="98"/>
      <c r="D13" s="62">
        <v>2020</v>
      </c>
      <c r="E13" s="74">
        <f>'Return BC'!G12</f>
        <v>-5.2272753407269522E-2</v>
      </c>
      <c r="F13" s="68">
        <v>5143</v>
      </c>
      <c r="G13" s="11">
        <f>F12</f>
        <v>5427</v>
      </c>
      <c r="H13" s="10">
        <f t="shared" si="3"/>
        <v>-5.2330937903077204E-2</v>
      </c>
      <c r="I13" s="10">
        <f>(E13-E48)*J13</f>
        <v>-1.6289365417093129E-3</v>
      </c>
      <c r="J13" s="10">
        <f>H13-H48</f>
        <v>-0.24592637024104197</v>
      </c>
      <c r="K13" s="10">
        <f t="shared" si="1"/>
        <v>6.0479779579934057E-2</v>
      </c>
      <c r="L13" s="77">
        <f t="shared" si="2"/>
        <v>-2.6933572725019662E-2</v>
      </c>
    </row>
    <row r="14" spans="1:12" x14ac:dyDescent="0.25">
      <c r="A14" s="92"/>
      <c r="B14" s="95"/>
      <c r="C14" s="98"/>
      <c r="D14" s="62">
        <v>2021</v>
      </c>
      <c r="E14" s="74">
        <f>'Return BC'!G13</f>
        <v>8.4191419006047416E-2</v>
      </c>
      <c r="F14" s="68">
        <v>6217</v>
      </c>
      <c r="G14" s="11">
        <f>F13</f>
        <v>5143</v>
      </c>
      <c r="H14" s="10">
        <f t="shared" si="3"/>
        <v>0.20882753256853975</v>
      </c>
      <c r="I14" s="10">
        <f>(E14-E48)*J14</f>
        <v>2.1795284454257215E-3</v>
      </c>
      <c r="J14" s="10">
        <f>H14-H48</f>
        <v>1.5232100230575002E-2</v>
      </c>
      <c r="K14" s="10">
        <f t="shared" si="1"/>
        <v>2.3201687743428304E-4</v>
      </c>
      <c r="L14" s="77">
        <f t="shared" si="2"/>
        <v>9.3938357826708359</v>
      </c>
    </row>
    <row r="15" spans="1:12" ht="15.75" thickBot="1" x14ac:dyDescent="0.3">
      <c r="A15" s="93"/>
      <c r="B15" s="96"/>
      <c r="C15" s="99"/>
      <c r="D15" s="63">
        <v>2022</v>
      </c>
      <c r="E15" s="74">
        <f>'Return BC'!G14</f>
        <v>0.20194647201946472</v>
      </c>
      <c r="F15" s="69">
        <v>7487</v>
      </c>
      <c r="G15" s="14">
        <f>F14</f>
        <v>6217</v>
      </c>
      <c r="H15" s="15">
        <f t="shared" si="3"/>
        <v>0.20427859096027023</v>
      </c>
      <c r="I15" s="16">
        <f>(E15-E48)*J15</f>
        <v>2.7866260890713288E-3</v>
      </c>
      <c r="J15" s="17">
        <f>H15-H48</f>
        <v>1.0683158622305483E-2</v>
      </c>
      <c r="K15" s="18">
        <f t="shared" si="1"/>
        <v>1.1412987814933999E-4</v>
      </c>
      <c r="L15" s="78">
        <f t="shared" si="2"/>
        <v>24.416271481732444</v>
      </c>
    </row>
    <row r="16" spans="1:12" x14ac:dyDescent="0.25">
      <c r="A16" s="102">
        <v>4</v>
      </c>
      <c r="B16" s="105" t="s">
        <v>20</v>
      </c>
      <c r="C16" s="108" t="s">
        <v>21</v>
      </c>
      <c r="D16" s="64">
        <v>2019</v>
      </c>
      <c r="E16" s="74">
        <f>'Return BC'!G15</f>
        <v>-0.25849816023622046</v>
      </c>
      <c r="F16" s="70">
        <v>2245</v>
      </c>
      <c r="G16" s="21">
        <v>2690</v>
      </c>
      <c r="H16" s="22">
        <f t="shared" si="3"/>
        <v>-0.1654275092936803</v>
      </c>
      <c r="I16" s="23">
        <f>(E16-E48)*J16</f>
        <v>7.1661600636721362E-2</v>
      </c>
      <c r="J16" s="24">
        <f>H16-H48</f>
        <v>-0.35902294163164505</v>
      </c>
      <c r="K16" s="25">
        <f t="shared" si="1"/>
        <v>0.1288974726178396</v>
      </c>
      <c r="L16" s="76">
        <f t="shared" si="2"/>
        <v>0.5559581517101313</v>
      </c>
    </row>
    <row r="17" spans="1:12" x14ac:dyDescent="0.25">
      <c r="A17" s="103"/>
      <c r="B17" s="106"/>
      <c r="C17" s="109"/>
      <c r="D17" s="65">
        <v>2020</v>
      </c>
      <c r="E17" s="74">
        <f>'Return BC'!G16</f>
        <v>-0.18632072640755096</v>
      </c>
      <c r="F17" s="71">
        <v>1827</v>
      </c>
      <c r="G17" s="28">
        <f>F16</f>
        <v>2245</v>
      </c>
      <c r="H17" s="27">
        <f t="shared" si="3"/>
        <v>-0.18619153674832961</v>
      </c>
      <c r="I17" s="27">
        <f>(E17-E48)*J17</f>
        <v>4.8394087630044227E-2</v>
      </c>
      <c r="J17" s="27">
        <f>H17-H48</f>
        <v>-0.37978696908629439</v>
      </c>
      <c r="K17" s="27">
        <f t="shared" si="1"/>
        <v>0.14423814188775394</v>
      </c>
      <c r="L17" s="77">
        <f t="shared" si="2"/>
        <v>0.33551519034198657</v>
      </c>
    </row>
    <row r="18" spans="1:12" x14ac:dyDescent="0.25">
      <c r="A18" s="103"/>
      <c r="B18" s="106"/>
      <c r="C18" s="109"/>
      <c r="D18" s="65">
        <v>2021</v>
      </c>
      <c r="E18" s="74">
        <f>'Return BC'!G17</f>
        <v>2.8985514471497327E-3</v>
      </c>
      <c r="F18" s="71">
        <v>1832</v>
      </c>
      <c r="G18" s="28">
        <f>F17</f>
        <v>1827</v>
      </c>
      <c r="H18" s="27">
        <f t="shared" si="3"/>
        <v>2.7367268746579091E-3</v>
      </c>
      <c r="I18" s="27">
        <f>(E18-E48)*J18</f>
        <v>-1.1794110007612131E-2</v>
      </c>
      <c r="J18" s="27">
        <f>H18-H48</f>
        <v>-0.19085870546330685</v>
      </c>
      <c r="K18" s="27">
        <f t="shared" si="1"/>
        <v>3.642704545112932E-2</v>
      </c>
      <c r="L18" s="77">
        <f t="shared" si="2"/>
        <v>-0.32377344529451779</v>
      </c>
    </row>
    <row r="19" spans="1:12" ht="15.75" thickBot="1" x14ac:dyDescent="0.3">
      <c r="A19" s="104"/>
      <c r="B19" s="107"/>
      <c r="C19" s="110"/>
      <c r="D19" s="66">
        <v>2022</v>
      </c>
      <c r="E19" s="74">
        <f>'Return BC'!G18</f>
        <v>-0.12162986458460412</v>
      </c>
      <c r="F19" s="72">
        <v>1746</v>
      </c>
      <c r="G19" s="31">
        <f>F18</f>
        <v>1832</v>
      </c>
      <c r="H19" s="32">
        <f t="shared" si="3"/>
        <v>-4.6943231441048033E-2</v>
      </c>
      <c r="I19" s="33">
        <f>(E19-E48)*J19</f>
        <v>1.5089816725250092E-2</v>
      </c>
      <c r="J19" s="34">
        <f>H19-H48</f>
        <v>-0.24053866377901278</v>
      </c>
      <c r="K19" s="35">
        <f t="shared" si="1"/>
        <v>5.7858848772592959E-2</v>
      </c>
      <c r="L19" s="78">
        <f t="shared" si="2"/>
        <v>0.26080395730925698</v>
      </c>
    </row>
    <row r="20" spans="1:12" x14ac:dyDescent="0.25">
      <c r="A20" s="91">
        <v>5</v>
      </c>
      <c r="B20" s="94" t="s">
        <v>22</v>
      </c>
      <c r="C20" s="97" t="s">
        <v>23</v>
      </c>
      <c r="D20" s="61">
        <v>2019</v>
      </c>
      <c r="E20" s="74">
        <f>'Return BC'!G19</f>
        <v>4.0677966101694912E-2</v>
      </c>
      <c r="F20" s="67">
        <v>3581</v>
      </c>
      <c r="G20" s="4">
        <v>3441</v>
      </c>
      <c r="H20" s="5">
        <f t="shared" si="3"/>
        <v>4.0685847137460041E-2</v>
      </c>
      <c r="I20" s="6">
        <f>(E20-E48)*J20</f>
        <v>-1.5225879479903576E-2</v>
      </c>
      <c r="J20" s="7">
        <f>H20-H48</f>
        <v>-0.15290958520050471</v>
      </c>
      <c r="K20" s="8">
        <f t="shared" si="1"/>
        <v>2.3381341246190408E-2</v>
      </c>
      <c r="L20" s="76">
        <f t="shared" si="2"/>
        <v>-0.65119786412528302</v>
      </c>
    </row>
    <row r="21" spans="1:12" x14ac:dyDescent="0.25">
      <c r="A21" s="92"/>
      <c r="B21" s="95"/>
      <c r="C21" s="98"/>
      <c r="D21" s="62">
        <v>2020</v>
      </c>
      <c r="E21" s="74">
        <f>'Return BC'!G20</f>
        <v>-0.1758957654723127</v>
      </c>
      <c r="F21" s="68">
        <v>2951</v>
      </c>
      <c r="G21" s="11">
        <f>F20</f>
        <v>3581</v>
      </c>
      <c r="H21" s="10">
        <f t="shared" si="3"/>
        <v>-0.17592851158894163</v>
      </c>
      <c r="I21" s="10">
        <f>(E21-E48)*J21</f>
        <v>4.3234056181660277E-2</v>
      </c>
      <c r="J21" s="10">
        <f>H21-H48</f>
        <v>-0.36952394392690635</v>
      </c>
      <c r="K21" s="10">
        <f t="shared" si="1"/>
        <v>0.13654794513529542</v>
      </c>
      <c r="L21" s="77">
        <f t="shared" si="2"/>
        <v>0.31662180004849433</v>
      </c>
    </row>
    <row r="22" spans="1:12" x14ac:dyDescent="0.25">
      <c r="A22" s="92"/>
      <c r="B22" s="95"/>
      <c r="C22" s="98"/>
      <c r="D22" s="62">
        <v>2021</v>
      </c>
      <c r="E22" s="74">
        <f>'Return BC'!G21</f>
        <v>0.11067193675889328</v>
      </c>
      <c r="F22" s="68">
        <v>3278</v>
      </c>
      <c r="G22" s="11">
        <f>F21</f>
        <v>2951</v>
      </c>
      <c r="H22" s="10">
        <f t="shared" si="3"/>
        <v>0.11080989495086412</v>
      </c>
      <c r="I22" s="10">
        <f>(E22-E48)*J22</f>
        <v>-1.4037808298530713E-2</v>
      </c>
      <c r="J22" s="10">
        <f>H22-H48</f>
        <v>-8.2785537387100636E-2</v>
      </c>
      <c r="K22" s="10">
        <f t="shared" si="1"/>
        <v>6.853445200471037E-3</v>
      </c>
      <c r="L22" s="77">
        <f t="shared" si="2"/>
        <v>-2.0482848972901824</v>
      </c>
    </row>
    <row r="23" spans="1:12" ht="15.75" thickBot="1" x14ac:dyDescent="0.3">
      <c r="A23" s="93"/>
      <c r="B23" s="96"/>
      <c r="C23" s="99"/>
      <c r="D23" s="63">
        <v>2022</v>
      </c>
      <c r="E23" s="74">
        <f>'Return BC'!G22</f>
        <v>0.41281138790035588</v>
      </c>
      <c r="F23" s="69">
        <v>4631</v>
      </c>
      <c r="G23" s="14">
        <f>F22</f>
        <v>3278</v>
      </c>
      <c r="H23" s="15">
        <f t="shared" si="3"/>
        <v>0.41275167785234901</v>
      </c>
      <c r="I23" s="16">
        <f>(E23-E48)*J23</f>
        <v>0.10337771417224687</v>
      </c>
      <c r="J23" s="17">
        <f>H23-H48</f>
        <v>0.21915624551438426</v>
      </c>
      <c r="K23" s="18">
        <f t="shared" si="1"/>
        <v>4.8029459947961067E-2</v>
      </c>
      <c r="L23" s="78">
        <f t="shared" si="2"/>
        <v>2.1523813568641934</v>
      </c>
    </row>
    <row r="24" spans="1:12" x14ac:dyDescent="0.25">
      <c r="A24" s="102">
        <v>6</v>
      </c>
      <c r="B24" s="105" t="s">
        <v>24</v>
      </c>
      <c r="C24" s="108" t="s">
        <v>25</v>
      </c>
      <c r="D24" s="64">
        <v>2019</v>
      </c>
      <c r="E24" s="74">
        <f>'Return BC'!G23</f>
        <v>-0.36621823617339311</v>
      </c>
      <c r="F24" s="70">
        <v>1020</v>
      </c>
      <c r="G24" s="21">
        <v>1609</v>
      </c>
      <c r="H24" s="22">
        <f t="shared" si="3"/>
        <v>-0.36606587942821628</v>
      </c>
      <c r="I24" s="23">
        <f>(E24-E48)*J24</f>
        <v>0.17199612563338948</v>
      </c>
      <c r="J24" s="24">
        <f>H24-H48</f>
        <v>-0.55966131176618106</v>
      </c>
      <c r="K24" s="25">
        <f t="shared" si="1"/>
        <v>0.31322078388784252</v>
      </c>
      <c r="L24" s="76">
        <f t="shared" si="2"/>
        <v>0.54912104969055153</v>
      </c>
    </row>
    <row r="25" spans="1:12" x14ac:dyDescent="0.25">
      <c r="A25" s="103"/>
      <c r="B25" s="106"/>
      <c r="C25" s="109"/>
      <c r="D25" s="65">
        <v>2020</v>
      </c>
      <c r="E25" s="74">
        <f>'Return BC'!G24</f>
        <v>-0.22641509433962265</v>
      </c>
      <c r="F25" s="71">
        <v>7889</v>
      </c>
      <c r="G25" s="28">
        <f>F24</f>
        <v>1020</v>
      </c>
      <c r="H25" s="27">
        <f t="shared" si="3"/>
        <v>6.7343137254901961</v>
      </c>
      <c r="I25" s="27">
        <f>(E25-E48)*J25</f>
        <v>-1.0956923976202584</v>
      </c>
      <c r="J25" s="27">
        <f>H25-H48</f>
        <v>6.5407182931522314</v>
      </c>
      <c r="K25" s="27">
        <f t="shared" si="1"/>
        <v>42.780995790376238</v>
      </c>
      <c r="L25" s="77">
        <f t="shared" si="2"/>
        <v>-2.5611661846046577E-2</v>
      </c>
    </row>
    <row r="26" spans="1:12" x14ac:dyDescent="0.25">
      <c r="A26" s="103"/>
      <c r="B26" s="106"/>
      <c r="C26" s="109"/>
      <c r="D26" s="65">
        <v>2021</v>
      </c>
      <c r="E26" s="74">
        <f>'Return BC'!G25</f>
        <v>-0.25365853658536586</v>
      </c>
      <c r="F26" s="71">
        <v>5888</v>
      </c>
      <c r="G26" s="28">
        <f>F25</f>
        <v>7889</v>
      </c>
      <c r="H26" s="27">
        <f t="shared" si="3"/>
        <v>-0.25364431486880468</v>
      </c>
      <c r="I26" s="27">
        <f>(E26-E48)*J26</f>
        <v>8.7105355679127194E-2</v>
      </c>
      <c r="J26" s="27">
        <f>H26-H48</f>
        <v>-0.4472397472067694</v>
      </c>
      <c r="K26" s="27">
        <f t="shared" si="1"/>
        <v>0.200023391481575</v>
      </c>
      <c r="L26" s="77">
        <f t="shared" si="2"/>
        <v>0.43547584626946412</v>
      </c>
    </row>
    <row r="27" spans="1:12" ht="15.75" thickBot="1" x14ac:dyDescent="0.3">
      <c r="A27" s="104"/>
      <c r="B27" s="107"/>
      <c r="C27" s="110"/>
      <c r="D27" s="66">
        <v>2022</v>
      </c>
      <c r="E27" s="74">
        <f>'Return BC'!G26</f>
        <v>-0.41176470588235292</v>
      </c>
      <c r="F27" s="72">
        <v>3463</v>
      </c>
      <c r="G27" s="31">
        <f>F26</f>
        <v>5888</v>
      </c>
      <c r="H27" s="32">
        <f t="shared" si="3"/>
        <v>-0.41185461956521741</v>
      </c>
      <c r="I27" s="33">
        <f>(E27-E48)*J27</f>
        <v>0.21364411644130385</v>
      </c>
      <c r="J27" s="34">
        <f>H27-H48</f>
        <v>-0.60545005190318213</v>
      </c>
      <c r="K27" s="35">
        <f t="shared" si="1"/>
        <v>0.36656976534956592</v>
      </c>
      <c r="L27" s="78">
        <f t="shared" si="2"/>
        <v>0.58281979758360569</v>
      </c>
    </row>
    <row r="28" spans="1:12" x14ac:dyDescent="0.25">
      <c r="A28" s="91">
        <v>7</v>
      </c>
      <c r="B28" s="94" t="s">
        <v>26</v>
      </c>
      <c r="C28" s="97">
        <v>32881</v>
      </c>
      <c r="D28" s="61">
        <v>2019</v>
      </c>
      <c r="E28" s="74">
        <f>'Return BC'!G27</f>
        <v>-0.43396226415094341</v>
      </c>
      <c r="F28" s="67">
        <v>2442</v>
      </c>
      <c r="G28" s="4">
        <v>4315</v>
      </c>
      <c r="H28" s="5">
        <f t="shared" si="3"/>
        <v>-0.43406720741599075</v>
      </c>
      <c r="I28" s="6">
        <f>(E28-E48)*J28</f>
        <v>0.23541481205614709</v>
      </c>
      <c r="J28" s="7">
        <f>H28-H48</f>
        <v>-0.62766263975395553</v>
      </c>
      <c r="K28" s="8">
        <f t="shared" si="1"/>
        <v>0.39396038934290378</v>
      </c>
      <c r="L28" s="76">
        <f t="shared" si="2"/>
        <v>0.59755959843780548</v>
      </c>
    </row>
    <row r="29" spans="1:12" x14ac:dyDescent="0.25">
      <c r="A29" s="92"/>
      <c r="B29" s="95"/>
      <c r="C29" s="98"/>
      <c r="D29" s="62">
        <v>2020</v>
      </c>
      <c r="E29" s="74">
        <f>'Return BC'!G28</f>
        <v>-0.28333333333333333</v>
      </c>
      <c r="F29" s="68">
        <v>1750</v>
      </c>
      <c r="G29" s="11">
        <f>F28</f>
        <v>2442</v>
      </c>
      <c r="H29" s="10">
        <f t="shared" si="3"/>
        <v>-0.28337428337428339</v>
      </c>
      <c r="I29" s="10">
        <f>(E29-E48)*J29</f>
        <v>0.10704960636689285</v>
      </c>
      <c r="J29" s="10">
        <f>H29-H48</f>
        <v>-0.47696971571224811</v>
      </c>
      <c r="K29" s="10">
        <f t="shared" si="1"/>
        <v>0.22750010970662279</v>
      </c>
      <c r="L29" s="77">
        <f t="shared" si="2"/>
        <v>0.47054749338336921</v>
      </c>
    </row>
    <row r="30" spans="1:12" x14ac:dyDescent="0.25">
      <c r="A30" s="92"/>
      <c r="B30" s="95"/>
      <c r="C30" s="98"/>
      <c r="D30" s="62">
        <v>2021</v>
      </c>
      <c r="E30" s="74">
        <f>'Return BC'!G29</f>
        <v>-0.35880398671096347</v>
      </c>
      <c r="F30" s="68">
        <v>9770</v>
      </c>
      <c r="G30" s="11">
        <f>F29</f>
        <v>1750</v>
      </c>
      <c r="H30" s="10">
        <f t="shared" si="3"/>
        <v>4.5828571428571427</v>
      </c>
      <c r="I30" s="10">
        <f>(E30-E48)*J30</f>
        <v>-1.3163727589433512</v>
      </c>
      <c r="J30" s="10">
        <f>H30-H48</f>
        <v>4.389261710519178</v>
      </c>
      <c r="K30" s="10">
        <f t="shared" si="1"/>
        <v>19.265618363429741</v>
      </c>
      <c r="L30" s="77">
        <f t="shared" si="2"/>
        <v>-6.8327563336462005E-2</v>
      </c>
    </row>
    <row r="31" spans="1:12" ht="15.75" thickBot="1" x14ac:dyDescent="0.3">
      <c r="A31" s="93"/>
      <c r="B31" s="96"/>
      <c r="C31" s="99"/>
      <c r="D31" s="63">
        <v>2022</v>
      </c>
      <c r="E31" s="74">
        <f>'Return BC'!G30</f>
        <v>-0.12953367875647667</v>
      </c>
      <c r="F31" s="69">
        <v>1122</v>
      </c>
      <c r="G31" s="14">
        <f>F30</f>
        <v>9770</v>
      </c>
      <c r="H31" s="15">
        <f t="shared" si="3"/>
        <v>-0.88515864892528151</v>
      </c>
      <c r="I31" s="16">
        <f>(E31-E48)*J31</f>
        <v>7.6200221264271881E-2</v>
      </c>
      <c r="J31" s="17">
        <f>H31-H48</f>
        <v>-1.0787540812632463</v>
      </c>
      <c r="K31" s="18">
        <f t="shared" si="1"/>
        <v>1.1637103678421108</v>
      </c>
      <c r="L31" s="78">
        <f t="shared" si="2"/>
        <v>6.5480400768080579E-2</v>
      </c>
    </row>
    <row r="32" spans="1:12" x14ac:dyDescent="0.25">
      <c r="A32" s="102">
        <v>8</v>
      </c>
      <c r="B32" s="105" t="s">
        <v>27</v>
      </c>
      <c r="C32" s="108" t="s">
        <v>28</v>
      </c>
      <c r="D32" s="64">
        <v>2019</v>
      </c>
      <c r="E32" s="74">
        <f>'Return BC'!G31</f>
        <v>6.5789473684210523E-2</v>
      </c>
      <c r="F32" s="70">
        <v>7593</v>
      </c>
      <c r="G32" s="36">
        <v>7125</v>
      </c>
      <c r="H32" s="20">
        <f t="shared" si="3"/>
        <v>6.5684210526315789E-2</v>
      </c>
      <c r="I32" s="23">
        <f>(E32-E48)*J32</f>
        <v>-1.5948726178709353E-2</v>
      </c>
      <c r="J32" s="24">
        <f>H32-H48</f>
        <v>-0.12791122181164896</v>
      </c>
      <c r="K32" s="25">
        <f t="shared" si="1"/>
        <v>1.6361280665348862E-2</v>
      </c>
      <c r="L32" s="76">
        <f t="shared" si="2"/>
        <v>-0.97478470695064556</v>
      </c>
    </row>
    <row r="33" spans="1:12" x14ac:dyDescent="0.25">
      <c r="A33" s="103"/>
      <c r="B33" s="106"/>
      <c r="C33" s="109"/>
      <c r="D33" s="65">
        <v>2020</v>
      </c>
      <c r="E33" s="74">
        <f>'Return BC'!G32</f>
        <v>-8.6419753086419748E-2</v>
      </c>
      <c r="F33" s="71">
        <v>6938</v>
      </c>
      <c r="G33" s="28">
        <f t="shared" ref="G33:G43" si="4">F32</f>
        <v>7593</v>
      </c>
      <c r="H33" s="27">
        <f t="shared" si="3"/>
        <v>-8.6263663900961407E-2</v>
      </c>
      <c r="I33" s="27">
        <f>(E33-E48)*J33</f>
        <v>7.7026525524987004E-3</v>
      </c>
      <c r="J33" s="27">
        <f>H33-H48</f>
        <v>-0.27985909623892613</v>
      </c>
      <c r="K33" s="27">
        <f t="shared" si="1"/>
        <v>7.8321113747668522E-2</v>
      </c>
      <c r="L33" s="77">
        <f t="shared" si="2"/>
        <v>9.8347076336462266E-2</v>
      </c>
    </row>
    <row r="34" spans="1:12" x14ac:dyDescent="0.25">
      <c r="A34" s="103"/>
      <c r="B34" s="106"/>
      <c r="C34" s="109"/>
      <c r="D34" s="65">
        <v>2021</v>
      </c>
      <c r="E34" s="74">
        <f>'Return BC'!G33</f>
        <v>9.1216216216216214E-2</v>
      </c>
      <c r="F34" s="71">
        <v>7570</v>
      </c>
      <c r="G34" s="28">
        <f t="shared" si="4"/>
        <v>6938</v>
      </c>
      <c r="H34" s="27">
        <f t="shared" si="3"/>
        <v>9.1092533871432693E-2</v>
      </c>
      <c r="I34" s="27">
        <f>(E34-E48)*J34</f>
        <v>-1.5386981250119463E-2</v>
      </c>
      <c r="J34" s="27">
        <f>H34-H48</f>
        <v>-0.10250289846653206</v>
      </c>
      <c r="K34" s="27">
        <f t="shared" si="1"/>
        <v>1.0506844194040179E-2</v>
      </c>
      <c r="L34" s="77">
        <f t="shared" si="2"/>
        <v>-1.4644722017337475</v>
      </c>
    </row>
    <row r="35" spans="1:12" ht="15.75" thickBot="1" x14ac:dyDescent="0.3">
      <c r="A35" s="104"/>
      <c r="B35" s="107"/>
      <c r="C35" s="110"/>
      <c r="D35" s="66">
        <v>2022</v>
      </c>
      <c r="E35" s="74">
        <f>'Return BC'!G34</f>
        <v>0.29411764705882354</v>
      </c>
      <c r="F35" s="72">
        <v>9667</v>
      </c>
      <c r="G35" s="37">
        <f t="shared" si="4"/>
        <v>7570</v>
      </c>
      <c r="H35" s="30">
        <f t="shared" si="3"/>
        <v>0.27701453104359314</v>
      </c>
      <c r="I35" s="33">
        <f>(E35-E48)*J35</f>
        <v>2.9448116070672818E-2</v>
      </c>
      <c r="J35" s="34">
        <f>H35-H48</f>
        <v>8.3419098705628386E-2</v>
      </c>
      <c r="K35" s="35">
        <f t="shared" si="1"/>
        <v>6.9587460288593715E-3</v>
      </c>
      <c r="L35" s="78">
        <f t="shared" si="2"/>
        <v>4.2318135981030691</v>
      </c>
    </row>
    <row r="36" spans="1:12" x14ac:dyDescent="0.25">
      <c r="A36" s="91">
        <v>9</v>
      </c>
      <c r="B36" s="94" t="s">
        <v>29</v>
      </c>
      <c r="C36" s="97">
        <v>33457</v>
      </c>
      <c r="D36" s="61">
        <v>2019</v>
      </c>
      <c r="E36" s="74">
        <f>'Return BC'!G35</f>
        <v>4.3478220170636517E-2</v>
      </c>
      <c r="F36" s="67">
        <v>71178</v>
      </c>
      <c r="G36" s="38">
        <v>68212</v>
      </c>
      <c r="H36" s="3">
        <f t="shared" si="3"/>
        <v>4.3482085263589987E-2</v>
      </c>
      <c r="I36" s="6">
        <f>(E36-E48)*J36</f>
        <v>-1.536780127036361E-2</v>
      </c>
      <c r="J36" s="7">
        <f>H36-H48</f>
        <v>-0.15011334707437476</v>
      </c>
      <c r="K36" s="8">
        <f t="shared" si="1"/>
        <v>2.2534016969871697E-2</v>
      </c>
      <c r="L36" s="76">
        <f t="shared" si="2"/>
        <v>-0.68198232436367556</v>
      </c>
    </row>
    <row r="37" spans="1:12" x14ac:dyDescent="0.25">
      <c r="A37" s="92"/>
      <c r="B37" s="95"/>
      <c r="C37" s="98"/>
      <c r="D37" s="62">
        <v>2020</v>
      </c>
      <c r="E37" s="74">
        <f>'Return BC'!G36</f>
        <v>3.5416704233569435E-2</v>
      </c>
      <c r="F37" s="68">
        <v>76665</v>
      </c>
      <c r="G37" s="11">
        <f t="shared" si="4"/>
        <v>71178</v>
      </c>
      <c r="H37" s="10">
        <f t="shared" si="3"/>
        <v>7.7088426199106469E-2</v>
      </c>
      <c r="I37" s="10">
        <f>(E37-E48)*J37</f>
        <v>-1.098814081419049E-2</v>
      </c>
      <c r="J37" s="10">
        <f>H37-H48</f>
        <v>-0.11650700613885828</v>
      </c>
      <c r="K37" s="10">
        <f t="shared" si="1"/>
        <v>1.3573882479439961E-2</v>
      </c>
      <c r="L37" s="77">
        <f t="shared" si="2"/>
        <v>-0.80950611078547108</v>
      </c>
    </row>
    <row r="38" spans="1:12" x14ac:dyDescent="0.25">
      <c r="A38" s="92"/>
      <c r="B38" s="95"/>
      <c r="C38" s="98"/>
      <c r="D38" s="62">
        <v>2021</v>
      </c>
      <c r="E38" s="74">
        <f>'Return BC'!G37</f>
        <v>-0.41649902661318078</v>
      </c>
      <c r="F38" s="68">
        <v>43004</v>
      </c>
      <c r="G38" s="11">
        <f t="shared" si="4"/>
        <v>76665</v>
      </c>
      <c r="H38" s="10">
        <f t="shared" si="3"/>
        <v>-0.43906606665362291</v>
      </c>
      <c r="I38" s="10">
        <f>(E38-E48)*J38</f>
        <v>0.22624139533209894</v>
      </c>
      <c r="J38" s="10">
        <f>H38-H48</f>
        <v>-0.63266149899158763</v>
      </c>
      <c r="K38" s="10">
        <f t="shared" si="1"/>
        <v>0.40026057230628265</v>
      </c>
      <c r="L38" s="77">
        <f t="shared" si="2"/>
        <v>0.56523527668115459</v>
      </c>
    </row>
    <row r="39" spans="1:12" ht="15.75" thickBot="1" x14ac:dyDescent="0.3">
      <c r="A39" s="93"/>
      <c r="B39" s="96"/>
      <c r="C39" s="99"/>
      <c r="D39" s="63">
        <v>2022</v>
      </c>
      <c r="E39" s="74">
        <f>'Return BC'!G38</f>
        <v>-9.0580249505459426E-2</v>
      </c>
      <c r="F39" s="69">
        <v>44391</v>
      </c>
      <c r="G39" s="39">
        <f t="shared" si="4"/>
        <v>43004</v>
      </c>
      <c r="H39" s="13">
        <f t="shared" si="3"/>
        <v>3.2252813691749607E-2</v>
      </c>
      <c r="I39" s="16">
        <f>(E39-E48)*J39</f>
        <v>5.1119505391937986E-3</v>
      </c>
      <c r="J39" s="17">
        <f>H39-H48</f>
        <v>-0.16134261864621513</v>
      </c>
      <c r="K39" s="18">
        <f t="shared" si="1"/>
        <v>2.6031440591618007E-2</v>
      </c>
      <c r="L39" s="78">
        <f t="shared" si="2"/>
        <v>0.19637601388990439</v>
      </c>
    </row>
    <row r="40" spans="1:12" x14ac:dyDescent="0.25">
      <c r="A40" s="102">
        <v>10</v>
      </c>
      <c r="B40" s="105" t="s">
        <v>30</v>
      </c>
      <c r="C40" s="108" t="s">
        <v>31</v>
      </c>
      <c r="D40" s="64">
        <v>2019</v>
      </c>
      <c r="E40" s="74">
        <f>'Return BC'!G39</f>
        <v>5.8666666666666666E-2</v>
      </c>
      <c r="F40" s="70">
        <v>39328</v>
      </c>
      <c r="G40" s="36">
        <v>37148</v>
      </c>
      <c r="H40" s="20">
        <f t="shared" si="3"/>
        <v>5.8684182190158286E-2</v>
      </c>
      <c r="I40" s="23">
        <f>(E40-E48)*J40</f>
        <v>-1.5860584232615896E-2</v>
      </c>
      <c r="J40" s="24">
        <f>H40-H48</f>
        <v>-0.13491125014780647</v>
      </c>
      <c r="K40" s="25">
        <f t="shared" si="1"/>
        <v>1.820104541644401E-2</v>
      </c>
      <c r="L40" s="76">
        <f t="shared" si="2"/>
        <v>-0.87141061789156415</v>
      </c>
    </row>
    <row r="41" spans="1:12" x14ac:dyDescent="0.25">
      <c r="A41" s="103"/>
      <c r="B41" s="106"/>
      <c r="C41" s="109"/>
      <c r="D41" s="65">
        <v>2020</v>
      </c>
      <c r="E41" s="74">
        <f>'Return BC'!G40</f>
        <v>-0.16624685138539042</v>
      </c>
      <c r="F41" s="71">
        <v>32790</v>
      </c>
      <c r="G41" s="28">
        <f t="shared" si="4"/>
        <v>39328</v>
      </c>
      <c r="H41" s="27">
        <f t="shared" si="3"/>
        <v>-0.16624288039056143</v>
      </c>
      <c r="I41" s="27">
        <f>(E41-E48)*J41</f>
        <v>3.8628794795227003E-2</v>
      </c>
      <c r="J41" s="27">
        <f>H41-H48</f>
        <v>-0.35983831272852618</v>
      </c>
      <c r="K41" s="27">
        <f t="shared" si="1"/>
        <v>0.12948361130731259</v>
      </c>
      <c r="L41" s="77">
        <f t="shared" si="2"/>
        <v>0.29832960638969636</v>
      </c>
    </row>
    <row r="42" spans="1:12" x14ac:dyDescent="0.25">
      <c r="A42" s="103"/>
      <c r="B42" s="106"/>
      <c r="C42" s="109"/>
      <c r="D42" s="65">
        <v>2021</v>
      </c>
      <c r="E42" s="74">
        <f>'Return BC'!G41</f>
        <v>0.22054380664652568</v>
      </c>
      <c r="F42" s="71">
        <v>40021</v>
      </c>
      <c r="G42" s="28">
        <f t="shared" si="4"/>
        <v>32790</v>
      </c>
      <c r="H42" s="27">
        <f t="shared" si="3"/>
        <v>0.22052455016773406</v>
      </c>
      <c r="I42" s="27">
        <f>(E42-E48)*J42</f>
        <v>7.5250790370899002E-3</v>
      </c>
      <c r="J42" s="27">
        <f>H42-H48</f>
        <v>2.6929117829769311E-2</v>
      </c>
      <c r="K42" s="27">
        <f t="shared" si="1"/>
        <v>7.2517738708959944E-4</v>
      </c>
      <c r="L42" s="77">
        <f t="shared" si="2"/>
        <v>10.376880430994655</v>
      </c>
    </row>
    <row r="43" spans="1:12" ht="15.75" thickBot="1" x14ac:dyDescent="0.3">
      <c r="A43" s="104"/>
      <c r="B43" s="107"/>
      <c r="C43" s="110"/>
      <c r="D43" s="66">
        <v>2022</v>
      </c>
      <c r="E43" s="74">
        <f>'Return BC'!G42</f>
        <v>-7.1782178217821777E-2</v>
      </c>
      <c r="F43" s="72">
        <v>37148</v>
      </c>
      <c r="G43" s="37">
        <f t="shared" si="4"/>
        <v>40021</v>
      </c>
      <c r="H43" s="30">
        <f t="shared" si="3"/>
        <v>-7.1787311661377778E-2</v>
      </c>
      <c r="I43" s="33">
        <f>(E43-E48)*J43</f>
        <v>3.4196554367755217E-3</v>
      </c>
      <c r="J43" s="34">
        <f>H43-H48</f>
        <v>-0.26538274399934253</v>
      </c>
      <c r="K43" s="35">
        <f t="shared" si="1"/>
        <v>7.0428000812620573E-2</v>
      </c>
      <c r="L43" s="78">
        <f t="shared" si="2"/>
        <v>4.8555338747635235E-2</v>
      </c>
    </row>
    <row r="44" spans="1:12" x14ac:dyDescent="0.25">
      <c r="A44" s="91">
        <v>11</v>
      </c>
      <c r="B44" s="94" t="s">
        <v>32</v>
      </c>
      <c r="C44" s="97">
        <v>30256</v>
      </c>
      <c r="D44" s="61">
        <v>2019</v>
      </c>
      <c r="E44" s="74">
        <f>'Return BC'!G43</f>
        <v>-7.4889867841409691E-2</v>
      </c>
      <c r="F44" s="67">
        <v>32046</v>
      </c>
      <c r="G44" s="4">
        <v>34640</v>
      </c>
      <c r="H44" s="3">
        <f t="shared" si="3"/>
        <v>-7.4884526558891454E-2</v>
      </c>
      <c r="I44" s="6">
        <f>(E44-E48)*J44</f>
        <v>4.2939177530501842E-3</v>
      </c>
      <c r="J44" s="7">
        <f>H44-H48</f>
        <v>-0.26847995889685622</v>
      </c>
      <c r="K44" s="8">
        <f t="shared" si="1"/>
        <v>7.2081488329257606E-2</v>
      </c>
      <c r="L44" s="76">
        <f t="shared" si="2"/>
        <v>5.9570325926626283E-2</v>
      </c>
    </row>
    <row r="45" spans="1:12" x14ac:dyDescent="0.25">
      <c r="A45" s="92"/>
      <c r="B45" s="95"/>
      <c r="C45" s="98"/>
      <c r="D45" s="62">
        <v>2020</v>
      </c>
      <c r="E45" s="74">
        <f>'Return BC'!G44</f>
        <v>-0.125</v>
      </c>
      <c r="F45" s="68">
        <v>28040</v>
      </c>
      <c r="G45" s="11">
        <f>F44</f>
        <v>32046</v>
      </c>
      <c r="H45" s="10">
        <f t="shared" si="3"/>
        <v>-0.12500780128565186</v>
      </c>
      <c r="I45" s="10">
        <f>(E45-E48)*J45</f>
        <v>2.1060811415676794E-2</v>
      </c>
      <c r="J45" s="10">
        <f>H45-H48</f>
        <v>-0.31860323362361664</v>
      </c>
      <c r="K45" s="10">
        <f t="shared" si="1"/>
        <v>0.10150802047542484</v>
      </c>
      <c r="L45" s="77">
        <f t="shared" si="2"/>
        <v>0.20747928407071667</v>
      </c>
    </row>
    <row r="46" spans="1:12" x14ac:dyDescent="0.25">
      <c r="A46" s="92"/>
      <c r="B46" s="95"/>
      <c r="C46" s="98"/>
      <c r="D46" s="62">
        <v>2021</v>
      </c>
      <c r="E46" s="74">
        <f>'Return BC'!G45</f>
        <v>-0.44081632653061226</v>
      </c>
      <c r="F46" s="68">
        <v>15680</v>
      </c>
      <c r="G46" s="11">
        <f>F45</f>
        <v>28040</v>
      </c>
      <c r="H46" s="10">
        <f t="shared" si="3"/>
        <v>-0.44079885877318115</v>
      </c>
      <c r="I46" s="10">
        <f>(E46-E48)*J46</f>
        <v>0.24228780253771184</v>
      </c>
      <c r="J46" s="10">
        <f>H46-H48</f>
        <v>-0.63439429111114587</v>
      </c>
      <c r="K46" s="10">
        <f t="shared" si="1"/>
        <v>0.40245611659441327</v>
      </c>
      <c r="L46" s="77">
        <f t="shared" si="2"/>
        <v>0.60202291019441589</v>
      </c>
    </row>
    <row r="47" spans="1:12" ht="15.75" thickBot="1" x14ac:dyDescent="0.3">
      <c r="A47" s="93"/>
      <c r="B47" s="96"/>
      <c r="C47" s="99"/>
      <c r="D47" s="63">
        <v>2022</v>
      </c>
      <c r="E47" s="74">
        <f>'Return BC'!G46</f>
        <v>0.14355231143552311</v>
      </c>
      <c r="F47" s="69">
        <v>17930</v>
      </c>
      <c r="G47" s="14">
        <f>F46</f>
        <v>15680</v>
      </c>
      <c r="H47" s="13">
        <f t="shared" si="3"/>
        <v>0.14349489795918369</v>
      </c>
      <c r="I47" s="16">
        <f>(E47-E48)*J47</f>
        <v>-1.0142790089407301E-2</v>
      </c>
      <c r="J47" s="17">
        <f>H47-H48</f>
        <v>-5.0100534378781064E-2</v>
      </c>
      <c r="K47" s="18">
        <f t="shared" si="1"/>
        <v>2.5100635450394232E-3</v>
      </c>
      <c r="L47" s="78">
        <f t="shared" si="2"/>
        <v>-4.0408499256730961</v>
      </c>
    </row>
    <row r="48" spans="1:12" ht="15.75" thickBot="1" x14ac:dyDescent="0.3">
      <c r="A48" s="100" t="s">
        <v>33</v>
      </c>
      <c r="B48" s="101"/>
      <c r="C48" s="101"/>
      <c r="D48" s="101"/>
      <c r="E48" s="73">
        <f>AVERAGE(E4:E47)</f>
        <v>-5.8896429185156737E-2</v>
      </c>
      <c r="F48" s="41"/>
      <c r="G48" s="41"/>
      <c r="H48" s="40">
        <f>AVERAGE(H4:H47)</f>
        <v>0.19359543233796475</v>
      </c>
      <c r="I48" s="41"/>
      <c r="J48" s="41"/>
      <c r="K48" s="41"/>
      <c r="L48" s="42"/>
    </row>
  </sheetData>
  <mergeCells count="46">
    <mergeCell ref="A8:A11"/>
    <mergeCell ref="B8:B11"/>
    <mergeCell ref="C8:C11"/>
    <mergeCell ref="A1:A3"/>
    <mergeCell ref="B1:B3"/>
    <mergeCell ref="C1:C3"/>
    <mergeCell ref="K2:K3"/>
    <mergeCell ref="L2:L3"/>
    <mergeCell ref="A4:A7"/>
    <mergeCell ref="B4:B7"/>
    <mergeCell ref="C4:C7"/>
    <mergeCell ref="D1:D3"/>
    <mergeCell ref="E1:L1"/>
    <mergeCell ref="E2:E3"/>
    <mergeCell ref="F2:G2"/>
    <mergeCell ref="H2:H3"/>
    <mergeCell ref="I2:I3"/>
    <mergeCell ref="J2:J3"/>
    <mergeCell ref="A12:A15"/>
    <mergeCell ref="B12:B15"/>
    <mergeCell ref="C12:C15"/>
    <mergeCell ref="A16:A19"/>
    <mergeCell ref="B16:B19"/>
    <mergeCell ref="C16:C19"/>
    <mergeCell ref="A20:A23"/>
    <mergeCell ref="B20:B23"/>
    <mergeCell ref="C20:C23"/>
    <mergeCell ref="A24:A27"/>
    <mergeCell ref="B24:B27"/>
    <mergeCell ref="C24:C27"/>
    <mergeCell ref="A28:A31"/>
    <mergeCell ref="B28:B31"/>
    <mergeCell ref="C28:C31"/>
    <mergeCell ref="A32:A35"/>
    <mergeCell ref="B32:B35"/>
    <mergeCell ref="C32:C35"/>
    <mergeCell ref="A44:A47"/>
    <mergeCell ref="B44:B47"/>
    <mergeCell ref="C44:C47"/>
    <mergeCell ref="A48:D48"/>
    <mergeCell ref="A36:A39"/>
    <mergeCell ref="B36:B39"/>
    <mergeCell ref="C36:C39"/>
    <mergeCell ref="A40:A43"/>
    <mergeCell ref="B40:B43"/>
    <mergeCell ref="C40:C4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39D80-C163-464E-A50C-9DFB9065A2B8}">
  <dimension ref="A1:G46"/>
  <sheetViews>
    <sheetView workbookViewId="0">
      <selection activeCell="F3" sqref="F3"/>
    </sheetView>
  </sheetViews>
  <sheetFormatPr defaultRowHeight="15" x14ac:dyDescent="0.25"/>
  <cols>
    <col min="3" max="3" width="11.28515625" bestFit="1" customWidth="1"/>
    <col min="5" max="5" width="16.28515625" bestFit="1" customWidth="1"/>
    <col min="6" max="6" width="29.7109375" bestFit="1" customWidth="1"/>
    <col min="7" max="7" width="11.5703125" bestFit="1" customWidth="1"/>
  </cols>
  <sheetData>
    <row r="1" spans="1:7" x14ac:dyDescent="0.25">
      <c r="A1" s="115" t="s">
        <v>1</v>
      </c>
      <c r="B1" s="115" t="s">
        <v>2</v>
      </c>
      <c r="C1" s="115" t="s">
        <v>3</v>
      </c>
      <c r="D1" s="115" t="s">
        <v>4</v>
      </c>
      <c r="E1" s="117" t="s">
        <v>34</v>
      </c>
      <c r="F1" s="117"/>
      <c r="G1" s="117"/>
    </row>
    <row r="2" spans="1:7" ht="15.75" thickBot="1" x14ac:dyDescent="0.3">
      <c r="A2" s="116"/>
      <c r="B2" s="116"/>
      <c r="C2" s="116"/>
      <c r="D2" s="116"/>
      <c r="E2" s="51" t="s">
        <v>35</v>
      </c>
      <c r="F2" s="52" t="s">
        <v>36</v>
      </c>
      <c r="G2" s="53" t="s">
        <v>0</v>
      </c>
    </row>
    <row r="3" spans="1:7" x14ac:dyDescent="0.25">
      <c r="A3" s="91">
        <v>1</v>
      </c>
      <c r="B3" s="94" t="s">
        <v>15</v>
      </c>
      <c r="C3" s="97" t="s">
        <v>16</v>
      </c>
      <c r="D3" s="2">
        <v>2019</v>
      </c>
      <c r="E3" s="38">
        <f>'LA BC'!E3</f>
        <v>28570000</v>
      </c>
      <c r="F3" s="4">
        <v>24655010</v>
      </c>
      <c r="G3" s="47">
        <f t="shared" ref="G3:G46" si="0">E3/F3</f>
        <v>1.1587908502166497</v>
      </c>
    </row>
    <row r="4" spans="1:7" x14ac:dyDescent="0.25">
      <c r="A4" s="92"/>
      <c r="B4" s="95"/>
      <c r="C4" s="98"/>
      <c r="D4" s="9">
        <v>2020</v>
      </c>
      <c r="E4" s="44">
        <f>'LA BC'!E4</f>
        <v>27147000</v>
      </c>
      <c r="F4" s="11">
        <v>24655010</v>
      </c>
      <c r="G4" s="46">
        <f t="shared" si="0"/>
        <v>1.1010743860984036</v>
      </c>
    </row>
    <row r="5" spans="1:7" x14ac:dyDescent="0.25">
      <c r="A5" s="92"/>
      <c r="B5" s="95"/>
      <c r="C5" s="98"/>
      <c r="D5" s="9">
        <v>2021</v>
      </c>
      <c r="E5" s="44">
        <f>'LA BC'!E5</f>
        <v>31440000</v>
      </c>
      <c r="F5" s="11">
        <v>123275050</v>
      </c>
      <c r="G5" s="46">
        <f t="shared" si="0"/>
        <v>0.25503944228779463</v>
      </c>
    </row>
    <row r="6" spans="1:7" ht="15.75" thickBot="1" x14ac:dyDescent="0.3">
      <c r="A6" s="93"/>
      <c r="B6" s="96"/>
      <c r="C6" s="99"/>
      <c r="D6" s="12">
        <v>2022</v>
      </c>
      <c r="E6" s="39">
        <f>'LA BC'!E6</f>
        <v>40760000</v>
      </c>
      <c r="F6" s="14">
        <v>123275500</v>
      </c>
      <c r="G6" s="50">
        <f t="shared" si="0"/>
        <v>0.33064153055554429</v>
      </c>
    </row>
    <row r="7" spans="1:7" x14ac:dyDescent="0.25">
      <c r="A7" s="102">
        <v>2</v>
      </c>
      <c r="B7" s="105" t="s">
        <v>17</v>
      </c>
      <c r="C7" s="108" t="s">
        <v>18</v>
      </c>
      <c r="D7" s="19">
        <v>2019</v>
      </c>
      <c r="E7" s="38">
        <f>'LA BC'!E7</f>
        <v>1509000000</v>
      </c>
      <c r="F7" s="21">
        <v>1864866458</v>
      </c>
      <c r="G7" s="47">
        <f t="shared" si="0"/>
        <v>0.80917322177500395</v>
      </c>
    </row>
    <row r="8" spans="1:7" x14ac:dyDescent="0.25">
      <c r="A8" s="103"/>
      <c r="B8" s="106"/>
      <c r="C8" s="109"/>
      <c r="D8" s="26">
        <v>2020</v>
      </c>
      <c r="E8" s="44">
        <f>'LA BC'!E8</f>
        <v>3321000000</v>
      </c>
      <c r="F8" s="28">
        <v>1864866458</v>
      </c>
      <c r="G8" s="46">
        <f t="shared" si="0"/>
        <v>1.7808245656161616</v>
      </c>
    </row>
    <row r="9" spans="1:7" x14ac:dyDescent="0.25">
      <c r="A9" s="103"/>
      <c r="B9" s="106"/>
      <c r="C9" s="109"/>
      <c r="D9" s="26">
        <v>2021</v>
      </c>
      <c r="E9" s="44">
        <f>'LA BC'!E9</f>
        <v>10977000000</v>
      </c>
      <c r="F9" s="28">
        <v>1864866458</v>
      </c>
      <c r="G9" s="46">
        <f t="shared" si="0"/>
        <v>5.8862123627728415</v>
      </c>
    </row>
    <row r="10" spans="1:7" ht="15.75" thickBot="1" x14ac:dyDescent="0.3">
      <c r="A10" s="104"/>
      <c r="B10" s="107"/>
      <c r="C10" s="110"/>
      <c r="D10" s="29">
        <v>2022</v>
      </c>
      <c r="E10" s="39">
        <f>'LA BC'!E10</f>
        <v>18482000000</v>
      </c>
      <c r="F10" s="31">
        <v>1864866458</v>
      </c>
      <c r="G10" s="50">
        <f t="shared" si="0"/>
        <v>9.9106292146094255</v>
      </c>
    </row>
    <row r="11" spans="1:7" x14ac:dyDescent="0.25">
      <c r="A11" s="91">
        <v>3</v>
      </c>
      <c r="B11" s="94" t="s">
        <v>19</v>
      </c>
      <c r="C11" s="97">
        <v>37905</v>
      </c>
      <c r="D11" s="2">
        <v>2019</v>
      </c>
      <c r="E11" s="38">
        <f>'LA BC'!E11</f>
        <v>39498597000</v>
      </c>
      <c r="F11" s="4">
        <v>123345810</v>
      </c>
      <c r="G11" s="47">
        <f t="shared" si="0"/>
        <v>320.22649978949426</v>
      </c>
    </row>
    <row r="12" spans="1:7" x14ac:dyDescent="0.25">
      <c r="A12" s="92"/>
      <c r="B12" s="95"/>
      <c r="C12" s="98"/>
      <c r="D12" s="9">
        <v>2020</v>
      </c>
      <c r="E12" s="44">
        <f>'LA BC'!E12</f>
        <v>21757779000</v>
      </c>
      <c r="F12" s="11">
        <v>123345810</v>
      </c>
      <c r="G12" s="46">
        <f t="shared" si="0"/>
        <v>176.3965796649274</v>
      </c>
    </row>
    <row r="13" spans="1:7" x14ac:dyDescent="0.25">
      <c r="A13" s="92"/>
      <c r="B13" s="95"/>
      <c r="C13" s="98"/>
      <c r="D13" s="9">
        <v>2021</v>
      </c>
      <c r="E13" s="44">
        <f>'LA BC'!E13</f>
        <v>27557134000</v>
      </c>
      <c r="F13" s="11">
        <v>123345810</v>
      </c>
      <c r="G13" s="46">
        <f t="shared" si="0"/>
        <v>223.41362061670355</v>
      </c>
    </row>
    <row r="14" spans="1:7" ht="15.75" thickBot="1" x14ac:dyDescent="0.3">
      <c r="A14" s="93"/>
      <c r="B14" s="96"/>
      <c r="C14" s="99"/>
      <c r="D14" s="12">
        <v>2022</v>
      </c>
      <c r="E14" s="39">
        <f>'LA BC'!E14</f>
        <v>48569183000</v>
      </c>
      <c r="F14" s="14">
        <v>151559001</v>
      </c>
      <c r="G14" s="50">
        <f t="shared" si="0"/>
        <v>320.46386344285816</v>
      </c>
    </row>
    <row r="15" spans="1:7" x14ac:dyDescent="0.25">
      <c r="A15" s="102">
        <v>4</v>
      </c>
      <c r="B15" s="105" t="s">
        <v>20</v>
      </c>
      <c r="C15" s="108" t="s">
        <v>21</v>
      </c>
      <c r="D15" s="19">
        <v>2019</v>
      </c>
      <c r="E15" s="38">
        <f>'LA BC'!E15</f>
        <v>557332000000</v>
      </c>
      <c r="F15" s="21">
        <f>1059*10000</f>
        <v>10590000</v>
      </c>
      <c r="G15" s="47">
        <f t="shared" si="0"/>
        <v>52628.139754485361</v>
      </c>
    </row>
    <row r="16" spans="1:7" x14ac:dyDescent="0.25">
      <c r="A16" s="103"/>
      <c r="B16" s="106"/>
      <c r="C16" s="109"/>
      <c r="D16" s="26">
        <v>2020</v>
      </c>
      <c r="E16" s="44">
        <f>'LA BC'!E16</f>
        <v>2352711000</v>
      </c>
      <c r="F16" s="28">
        <f t="shared" ref="F16:F17" si="1">1059*10000</f>
        <v>10590000</v>
      </c>
      <c r="G16" s="46">
        <f t="shared" si="0"/>
        <v>222.16345609065155</v>
      </c>
    </row>
    <row r="17" spans="1:7" x14ac:dyDescent="0.25">
      <c r="A17" s="103"/>
      <c r="B17" s="106"/>
      <c r="C17" s="109"/>
      <c r="D17" s="26">
        <v>2021</v>
      </c>
      <c r="E17" s="44">
        <f>'LA BC'!E17</f>
        <v>1418802000</v>
      </c>
      <c r="F17" s="28">
        <f t="shared" si="1"/>
        <v>10590000</v>
      </c>
      <c r="G17" s="46">
        <f t="shared" si="0"/>
        <v>133.9756373937677</v>
      </c>
    </row>
    <row r="18" spans="1:7" ht="15.75" thickBot="1" x14ac:dyDescent="0.3">
      <c r="A18" s="104"/>
      <c r="B18" s="107"/>
      <c r="C18" s="110"/>
      <c r="D18" s="29">
        <v>2022</v>
      </c>
      <c r="E18" s="39">
        <f>'LA BC'!E18</f>
        <v>1983756000</v>
      </c>
      <c r="F18" s="31">
        <f>12810000</f>
        <v>12810000</v>
      </c>
      <c r="G18" s="50">
        <f t="shared" si="0"/>
        <v>154.8599531615925</v>
      </c>
    </row>
    <row r="19" spans="1:7" x14ac:dyDescent="0.25">
      <c r="A19" s="91">
        <v>5</v>
      </c>
      <c r="B19" s="94" t="s">
        <v>22</v>
      </c>
      <c r="C19" s="97" t="s">
        <v>23</v>
      </c>
      <c r="D19" s="2">
        <v>2019</v>
      </c>
      <c r="E19" s="38">
        <f>'LA BC'!E19</f>
        <v>336431366000</v>
      </c>
      <c r="F19" s="4">
        <v>46666666666</v>
      </c>
      <c r="G19" s="47">
        <f t="shared" si="0"/>
        <v>7.2092435572458466</v>
      </c>
    </row>
    <row r="20" spans="1:7" x14ac:dyDescent="0.25">
      <c r="A20" s="92"/>
      <c r="B20" s="95"/>
      <c r="C20" s="98"/>
      <c r="D20" s="9">
        <v>2020</v>
      </c>
      <c r="E20" s="44">
        <f>'LA BC'!E20</f>
        <v>18398928000</v>
      </c>
      <c r="F20" s="11">
        <v>46666666666</v>
      </c>
      <c r="G20" s="46">
        <f t="shared" si="0"/>
        <v>0.39426274286277518</v>
      </c>
    </row>
    <row r="21" spans="1:7" x14ac:dyDescent="0.25">
      <c r="A21" s="92"/>
      <c r="B21" s="95"/>
      <c r="C21" s="98"/>
      <c r="D21" s="9">
        <v>2021</v>
      </c>
      <c r="E21" s="44">
        <f>'LA BC'!E21</f>
        <v>30551097000</v>
      </c>
      <c r="F21" s="11">
        <v>46666666666</v>
      </c>
      <c r="G21" s="46">
        <f t="shared" si="0"/>
        <v>0.65466636429506664</v>
      </c>
    </row>
    <row r="22" spans="1:7" ht="15.75" thickBot="1" x14ac:dyDescent="0.3">
      <c r="A22" s="93"/>
      <c r="B22" s="96"/>
      <c r="C22" s="99"/>
      <c r="D22" s="12">
        <v>2022</v>
      </c>
      <c r="E22" s="39">
        <f>'LA BC'!E22</f>
        <v>44952368000</v>
      </c>
      <c r="F22" s="14">
        <v>46666666666</v>
      </c>
      <c r="G22" s="50">
        <f t="shared" si="0"/>
        <v>0.96326502858518948</v>
      </c>
    </row>
    <row r="23" spans="1:7" x14ac:dyDescent="0.25">
      <c r="A23" s="102">
        <v>6</v>
      </c>
      <c r="B23" s="105" t="s">
        <v>24</v>
      </c>
      <c r="C23" s="108" t="s">
        <v>25</v>
      </c>
      <c r="D23" s="19">
        <v>2019</v>
      </c>
      <c r="E23" s="38">
        <f>'LA BC'!E23</f>
        <v>3607032000</v>
      </c>
      <c r="F23" s="21">
        <v>1924088000</v>
      </c>
      <c r="G23" s="47">
        <f t="shared" si="0"/>
        <v>1.8746710129682218</v>
      </c>
    </row>
    <row r="24" spans="1:7" x14ac:dyDescent="0.25">
      <c r="A24" s="103"/>
      <c r="B24" s="106"/>
      <c r="C24" s="109"/>
      <c r="D24" s="26">
        <v>2020</v>
      </c>
      <c r="E24" s="44">
        <f>'LA BC'!E24</f>
        <v>2015404000</v>
      </c>
      <c r="F24" s="28">
        <v>1924088000</v>
      </c>
      <c r="G24" s="46">
        <f t="shared" si="0"/>
        <v>1.047459367762805</v>
      </c>
    </row>
    <row r="25" spans="1:7" x14ac:dyDescent="0.25">
      <c r="A25" s="103"/>
      <c r="B25" s="106"/>
      <c r="C25" s="109"/>
      <c r="D25" s="26">
        <v>2021</v>
      </c>
      <c r="E25" s="44">
        <f>'LA BC'!E25</f>
        <v>1681525000</v>
      </c>
      <c r="F25" s="28">
        <v>1924088000</v>
      </c>
      <c r="G25" s="46">
        <f t="shared" si="0"/>
        <v>0.87393352071215036</v>
      </c>
    </row>
    <row r="26" spans="1:7" ht="15.75" thickBot="1" x14ac:dyDescent="0.3">
      <c r="A26" s="104"/>
      <c r="B26" s="107"/>
      <c r="C26" s="110"/>
      <c r="D26" s="29">
        <v>2022</v>
      </c>
      <c r="E26" s="39">
        <f>'LA BC'!E26</f>
        <v>866779000</v>
      </c>
      <c r="F26" s="31">
        <v>1924088000</v>
      </c>
      <c r="G26" s="50">
        <f t="shared" si="0"/>
        <v>0.45048823130750776</v>
      </c>
    </row>
    <row r="27" spans="1:7" x14ac:dyDescent="0.25">
      <c r="A27" s="91">
        <v>7</v>
      </c>
      <c r="B27" s="94" t="s">
        <v>26</v>
      </c>
      <c r="C27" s="97">
        <v>32881</v>
      </c>
      <c r="D27" s="2">
        <v>2019</v>
      </c>
      <c r="E27" s="38">
        <f>'LA BC'!E27</f>
        <v>1372113000</v>
      </c>
      <c r="F27" s="4">
        <v>116318076</v>
      </c>
      <c r="G27" s="47">
        <f t="shared" si="0"/>
        <v>11.796214717306707</v>
      </c>
    </row>
    <row r="28" spans="1:7" x14ac:dyDescent="0.25">
      <c r="A28" s="92"/>
      <c r="B28" s="95"/>
      <c r="C28" s="98"/>
      <c r="D28" s="9">
        <v>2020</v>
      </c>
      <c r="E28" s="44">
        <f>'LA BC'!E28</f>
        <v>8581378000</v>
      </c>
      <c r="F28" s="11">
        <v>116318076</v>
      </c>
      <c r="G28" s="46">
        <f t="shared" si="0"/>
        <v>73.775102676216889</v>
      </c>
    </row>
    <row r="29" spans="1:7" x14ac:dyDescent="0.25">
      <c r="A29" s="92"/>
      <c r="B29" s="95"/>
      <c r="C29" s="98"/>
      <c r="D29" s="9">
        <v>2021</v>
      </c>
      <c r="E29" s="44">
        <f>'LA BC'!E29</f>
        <v>7137097000</v>
      </c>
      <c r="F29" s="11">
        <v>116318076</v>
      </c>
      <c r="G29" s="46">
        <f t="shared" si="0"/>
        <v>61.358451286625474</v>
      </c>
    </row>
    <row r="30" spans="1:7" ht="15.75" thickBot="1" x14ac:dyDescent="0.3">
      <c r="A30" s="93"/>
      <c r="B30" s="96"/>
      <c r="C30" s="99"/>
      <c r="D30" s="12">
        <v>2022</v>
      </c>
      <c r="E30" s="39">
        <f>'LA BC'!E30</f>
        <v>6323744000</v>
      </c>
      <c r="F30" s="14">
        <v>116318076</v>
      </c>
      <c r="G30" s="50">
        <f t="shared" si="0"/>
        <v>54.365961142617252</v>
      </c>
    </row>
    <row r="31" spans="1:7" x14ac:dyDescent="0.25">
      <c r="A31" s="102">
        <v>8</v>
      </c>
      <c r="B31" s="105" t="s">
        <v>27</v>
      </c>
      <c r="C31" s="108" t="s">
        <v>28</v>
      </c>
      <c r="D31" s="19">
        <v>2019</v>
      </c>
      <c r="E31" s="38">
        <f>'LA BC'!E31</f>
        <v>2537602000</v>
      </c>
      <c r="F31" s="21">
        <v>46875122</v>
      </c>
      <c r="G31" s="47">
        <f t="shared" si="0"/>
        <v>54.135368437014414</v>
      </c>
    </row>
    <row r="32" spans="1:7" x14ac:dyDescent="0.25">
      <c r="A32" s="103"/>
      <c r="B32" s="106"/>
      <c r="C32" s="109"/>
      <c r="D32" s="26">
        <v>2020</v>
      </c>
      <c r="E32" s="44">
        <f>'LA BC'!E32</f>
        <v>2799623000</v>
      </c>
      <c r="F32" s="28">
        <v>46872947</v>
      </c>
      <c r="G32" s="46">
        <f t="shared" si="0"/>
        <v>59.727906589700879</v>
      </c>
    </row>
    <row r="33" spans="1:7" x14ac:dyDescent="0.25">
      <c r="A33" s="103"/>
      <c r="B33" s="106"/>
      <c r="C33" s="109"/>
      <c r="D33" s="26">
        <v>2021</v>
      </c>
      <c r="E33" s="44">
        <f>'LA BC'!E33</f>
        <v>3232008000</v>
      </c>
      <c r="F33" s="28">
        <v>46872947</v>
      </c>
      <c r="G33" s="46">
        <f t="shared" si="0"/>
        <v>68.952523936675036</v>
      </c>
    </row>
    <row r="34" spans="1:7" ht="15.75" thickBot="1" x14ac:dyDescent="0.3">
      <c r="A34" s="104"/>
      <c r="B34" s="107"/>
      <c r="C34" s="110"/>
      <c r="D34" s="29">
        <v>2022</v>
      </c>
      <c r="E34" s="39">
        <f>'LA BC'!E34</f>
        <v>3450083000</v>
      </c>
      <c r="F34" s="31">
        <v>46255641</v>
      </c>
      <c r="G34" s="50">
        <f t="shared" si="0"/>
        <v>74.587291958617541</v>
      </c>
    </row>
    <row r="35" spans="1:7" x14ac:dyDescent="0.25">
      <c r="A35" s="91">
        <v>9</v>
      </c>
      <c r="B35" s="94" t="s">
        <v>29</v>
      </c>
      <c r="C35" s="97">
        <v>33457</v>
      </c>
      <c r="D35" s="2">
        <v>2019</v>
      </c>
      <c r="E35" s="38">
        <f>'LA BC'!E35</f>
        <v>2371233000</v>
      </c>
      <c r="F35" s="4">
        <v>5931520000</v>
      </c>
      <c r="G35" s="47">
        <f t="shared" si="0"/>
        <v>0.39976818758092358</v>
      </c>
    </row>
    <row r="36" spans="1:7" x14ac:dyDescent="0.25">
      <c r="A36" s="92"/>
      <c r="B36" s="95"/>
      <c r="C36" s="98"/>
      <c r="D36" s="9">
        <v>2020</v>
      </c>
      <c r="E36" s="44">
        <f>'LA BC'!E36</f>
        <v>2674343000</v>
      </c>
      <c r="F36" s="11">
        <v>5931520000</v>
      </c>
      <c r="G36" s="46">
        <f t="shared" si="0"/>
        <v>0.45086976019637465</v>
      </c>
    </row>
    <row r="37" spans="1:7" x14ac:dyDescent="0.25">
      <c r="A37" s="92"/>
      <c r="B37" s="95"/>
      <c r="C37" s="98"/>
      <c r="D37" s="9">
        <v>2021</v>
      </c>
      <c r="E37" s="44">
        <f>'LA BC'!E37</f>
        <v>2117236000</v>
      </c>
      <c r="F37" s="11">
        <v>5931520000</v>
      </c>
      <c r="G37" s="46">
        <f t="shared" si="0"/>
        <v>0.35694661739318084</v>
      </c>
    </row>
    <row r="38" spans="1:7" ht="15.75" thickBot="1" x14ac:dyDescent="0.3">
      <c r="A38" s="93"/>
      <c r="B38" s="96"/>
      <c r="C38" s="99"/>
      <c r="D38" s="12">
        <v>2022</v>
      </c>
      <c r="E38" s="39">
        <f>'LA BC'!E38</f>
        <v>2499083000</v>
      </c>
      <c r="F38" s="14">
        <v>6751540089</v>
      </c>
      <c r="G38" s="50">
        <f t="shared" si="0"/>
        <v>0.37015006458624911</v>
      </c>
    </row>
    <row r="39" spans="1:7" x14ac:dyDescent="0.25">
      <c r="A39" s="102">
        <v>10</v>
      </c>
      <c r="B39" s="105" t="s">
        <v>30</v>
      </c>
      <c r="C39" s="108" t="s">
        <v>31</v>
      </c>
      <c r="D39" s="19">
        <v>2019</v>
      </c>
      <c r="E39" s="38">
        <f>'LA BC'!E39</f>
        <v>27592000000</v>
      </c>
      <c r="F39" s="21">
        <v>990622216600</v>
      </c>
      <c r="G39" s="47">
        <f t="shared" si="0"/>
        <v>2.7853201288681861E-2</v>
      </c>
    </row>
    <row r="40" spans="1:7" x14ac:dyDescent="0.25">
      <c r="A40" s="103"/>
      <c r="B40" s="106"/>
      <c r="C40" s="109"/>
      <c r="D40" s="26">
        <v>2020</v>
      </c>
      <c r="E40" s="44">
        <f>'LA BC'!E40</f>
        <v>29563000000</v>
      </c>
      <c r="F40" s="28">
        <v>990622216600</v>
      </c>
      <c r="G40" s="46">
        <f t="shared" si="0"/>
        <v>2.984285987595324E-2</v>
      </c>
    </row>
    <row r="41" spans="1:7" x14ac:dyDescent="0.25">
      <c r="A41" s="103"/>
      <c r="B41" s="106"/>
      <c r="C41" s="109"/>
      <c r="D41" s="26">
        <v>2021</v>
      </c>
      <c r="E41" s="44">
        <f>'LA BC'!E41</f>
        <v>33948000000</v>
      </c>
      <c r="F41" s="28">
        <v>990622216600</v>
      </c>
      <c r="G41" s="46">
        <f t="shared" si="0"/>
        <v>3.4269370736016665E-2</v>
      </c>
    </row>
    <row r="42" spans="1:7" ht="15.75" thickBot="1" x14ac:dyDescent="0.3">
      <c r="A42" s="104"/>
      <c r="B42" s="107"/>
      <c r="C42" s="110"/>
      <c r="D42" s="29">
        <v>2022</v>
      </c>
      <c r="E42" s="39">
        <f>'LA BC'!E42</f>
        <v>27680000000</v>
      </c>
      <c r="F42" s="31">
        <v>990622216600</v>
      </c>
      <c r="G42" s="50">
        <f t="shared" si="0"/>
        <v>2.7942034345850748E-2</v>
      </c>
    </row>
    <row r="43" spans="1:7" x14ac:dyDescent="0.25">
      <c r="A43" s="102">
        <v>11</v>
      </c>
      <c r="B43" s="105" t="s">
        <v>32</v>
      </c>
      <c r="C43" s="108">
        <v>30256</v>
      </c>
      <c r="D43" s="19">
        <v>2019</v>
      </c>
      <c r="E43" s="38">
        <f>'LA BC'!E43</f>
        <v>7393000000</v>
      </c>
      <c r="F43" s="21">
        <v>38150000000</v>
      </c>
      <c r="G43" s="47">
        <f t="shared" si="0"/>
        <v>0.19378768020969855</v>
      </c>
    </row>
    <row r="44" spans="1:7" x14ac:dyDescent="0.25">
      <c r="A44" s="103"/>
      <c r="B44" s="106"/>
      <c r="C44" s="109"/>
      <c r="D44" s="26">
        <v>2020</v>
      </c>
      <c r="E44" s="44">
        <f>'LA BC'!E44</f>
        <v>7164000000</v>
      </c>
      <c r="F44" s="28">
        <v>38150000000</v>
      </c>
      <c r="G44" s="46">
        <f t="shared" si="0"/>
        <v>0.18778505897771952</v>
      </c>
    </row>
    <row r="45" spans="1:7" x14ac:dyDescent="0.25">
      <c r="A45" s="103"/>
      <c r="B45" s="106"/>
      <c r="C45" s="109"/>
      <c r="D45" s="26">
        <v>2021</v>
      </c>
      <c r="E45" s="44">
        <f>'LA BC'!E45</f>
        <v>578000000</v>
      </c>
      <c r="F45" s="28">
        <v>38150000000</v>
      </c>
      <c r="G45" s="46">
        <f t="shared" si="0"/>
        <v>1.5150720838794233E-2</v>
      </c>
    </row>
    <row r="46" spans="1:7" ht="15.75" thickBot="1" x14ac:dyDescent="0.3">
      <c r="A46" s="104"/>
      <c r="B46" s="107"/>
      <c r="C46" s="110"/>
      <c r="D46" s="29">
        <v>2022</v>
      </c>
      <c r="E46" s="39">
        <f>'LA BC'!E46</f>
        <v>5365000000</v>
      </c>
      <c r="F46" s="31">
        <v>38150000000</v>
      </c>
      <c r="G46" s="50">
        <f t="shared" si="0"/>
        <v>0.14062909567496723</v>
      </c>
    </row>
  </sheetData>
  <mergeCells count="38">
    <mergeCell ref="A3:A6"/>
    <mergeCell ref="B3:B6"/>
    <mergeCell ref="C3:C6"/>
    <mergeCell ref="A1:A2"/>
    <mergeCell ref="B1:B2"/>
    <mergeCell ref="C1:C2"/>
    <mergeCell ref="D1:D2"/>
    <mergeCell ref="E1:G1"/>
    <mergeCell ref="A7:A10"/>
    <mergeCell ref="B7:B10"/>
    <mergeCell ref="C7:C10"/>
    <mergeCell ref="A11:A14"/>
    <mergeCell ref="B11:B14"/>
    <mergeCell ref="C11:C14"/>
    <mergeCell ref="A15:A18"/>
    <mergeCell ref="B15:B18"/>
    <mergeCell ref="C15:C18"/>
    <mergeCell ref="A19:A22"/>
    <mergeCell ref="B19:B22"/>
    <mergeCell ref="C19:C22"/>
    <mergeCell ref="A23:A26"/>
    <mergeCell ref="B23:B26"/>
    <mergeCell ref="C23:C26"/>
    <mergeCell ref="A27:A30"/>
    <mergeCell ref="B27:B30"/>
    <mergeCell ref="C27:C30"/>
    <mergeCell ref="A31:A34"/>
    <mergeCell ref="B31:B34"/>
    <mergeCell ref="C31:C34"/>
    <mergeCell ref="A35:A38"/>
    <mergeCell ref="B35:B38"/>
    <mergeCell ref="C35:C38"/>
    <mergeCell ref="A39:A42"/>
    <mergeCell ref="B39:B42"/>
    <mergeCell ref="C39:C42"/>
    <mergeCell ref="A43:A46"/>
    <mergeCell ref="B43:B46"/>
    <mergeCell ref="C43:C4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4F8D8-A50E-4897-B7BE-6041B27BA97B}">
  <dimension ref="A1:G46"/>
  <sheetViews>
    <sheetView workbookViewId="0">
      <selection activeCell="G3" sqref="G3"/>
    </sheetView>
  </sheetViews>
  <sheetFormatPr defaultRowHeight="15" x14ac:dyDescent="0.25"/>
  <cols>
    <col min="3" max="3" width="11.28515625" bestFit="1" customWidth="1"/>
    <col min="5" max="5" width="24.7109375" bestFit="1" customWidth="1"/>
    <col min="6" max="6" width="16.28515625" bestFit="1" customWidth="1"/>
    <col min="7" max="7" width="20.7109375" bestFit="1" customWidth="1"/>
  </cols>
  <sheetData>
    <row r="1" spans="1:7" x14ac:dyDescent="0.25">
      <c r="A1" s="115" t="s">
        <v>1</v>
      </c>
      <c r="B1" s="115" t="s">
        <v>2</v>
      </c>
      <c r="C1" s="115" t="s">
        <v>3</v>
      </c>
      <c r="D1" s="115" t="s">
        <v>4</v>
      </c>
      <c r="E1" s="117" t="s">
        <v>37</v>
      </c>
      <c r="F1" s="117"/>
      <c r="G1" s="117"/>
    </row>
    <row r="2" spans="1:7" ht="15.75" thickBot="1" x14ac:dyDescent="0.3">
      <c r="A2" s="116"/>
      <c r="B2" s="116"/>
      <c r="C2" s="116"/>
      <c r="D2" s="116"/>
      <c r="E2" s="51" t="s">
        <v>38</v>
      </c>
      <c r="F2" s="52" t="s">
        <v>39</v>
      </c>
      <c r="G2" s="53" t="s">
        <v>37</v>
      </c>
    </row>
    <row r="3" spans="1:7" x14ac:dyDescent="0.25">
      <c r="A3" s="91">
        <v>1</v>
      </c>
      <c r="B3" s="94" t="s">
        <v>15</v>
      </c>
      <c r="C3" s="97" t="s">
        <v>16</v>
      </c>
      <c r="D3" s="2">
        <v>2019</v>
      </c>
      <c r="E3" s="4">
        <f>28.57*1000000</f>
        <v>28570000</v>
      </c>
      <c r="F3" s="4">
        <f>168428*1000000</f>
        <v>168428000000</v>
      </c>
      <c r="G3" s="79">
        <f t="shared" ref="G3:G46" si="0">E3-F3</f>
        <v>-168399430000</v>
      </c>
    </row>
    <row r="4" spans="1:7" x14ac:dyDescent="0.25">
      <c r="A4" s="92"/>
      <c r="B4" s="95"/>
      <c r="C4" s="98"/>
      <c r="D4" s="9">
        <v>2020</v>
      </c>
      <c r="E4" s="11">
        <f>27.147*1000000</f>
        <v>27147000</v>
      </c>
      <c r="F4" s="11">
        <f>192138*1000000</f>
        <v>192138000000</v>
      </c>
      <c r="G4" s="80">
        <f t="shared" si="0"/>
        <v>-192110853000</v>
      </c>
    </row>
    <row r="5" spans="1:7" x14ac:dyDescent="0.25">
      <c r="A5" s="92"/>
      <c r="B5" s="95"/>
      <c r="C5" s="98"/>
      <c r="D5" s="9">
        <v>2021</v>
      </c>
      <c r="E5" s="11">
        <f>31.44*1000000</f>
        <v>31440000</v>
      </c>
      <c r="F5" s="11">
        <f>204013*1000000</f>
        <v>204013000000</v>
      </c>
      <c r="G5" s="80">
        <f t="shared" si="0"/>
        <v>-203981560000</v>
      </c>
    </row>
    <row r="6" spans="1:7" ht="15.75" thickBot="1" x14ac:dyDescent="0.3">
      <c r="A6" s="93"/>
      <c r="B6" s="96"/>
      <c r="C6" s="99"/>
      <c r="D6" s="12">
        <v>2022</v>
      </c>
      <c r="E6" s="14">
        <f>40.76*1000000</f>
        <v>40760000</v>
      </c>
      <c r="F6" s="14">
        <f>186136*1000000</f>
        <v>186136000000</v>
      </c>
      <c r="G6" s="81">
        <f t="shared" si="0"/>
        <v>-186095240000</v>
      </c>
    </row>
    <row r="7" spans="1:7" x14ac:dyDescent="0.25">
      <c r="A7" s="102">
        <v>2</v>
      </c>
      <c r="B7" s="105" t="s">
        <v>17</v>
      </c>
      <c r="C7" s="108" t="s">
        <v>18</v>
      </c>
      <c r="D7" s="19">
        <v>2019</v>
      </c>
      <c r="E7" s="21">
        <f>1509*1000000</f>
        <v>1509000000</v>
      </c>
      <c r="F7" s="21">
        <f>2183*1000000</f>
        <v>2183000000</v>
      </c>
      <c r="G7" s="79">
        <f t="shared" si="0"/>
        <v>-674000000</v>
      </c>
    </row>
    <row r="8" spans="1:7" x14ac:dyDescent="0.25">
      <c r="A8" s="103"/>
      <c r="B8" s="106"/>
      <c r="C8" s="109"/>
      <c r="D8" s="26">
        <v>2020</v>
      </c>
      <c r="E8" s="28">
        <f>3321*1000000</f>
        <v>3321000000</v>
      </c>
      <c r="F8" s="28">
        <f>2590*1000000</f>
        <v>2590000000</v>
      </c>
      <c r="G8" s="80">
        <f t="shared" si="0"/>
        <v>731000000</v>
      </c>
    </row>
    <row r="9" spans="1:7" x14ac:dyDescent="0.25">
      <c r="A9" s="103"/>
      <c r="B9" s="106"/>
      <c r="C9" s="109"/>
      <c r="D9" s="26">
        <v>2021</v>
      </c>
      <c r="E9" s="28">
        <f>10977*1000000</f>
        <v>10977000000</v>
      </c>
      <c r="F9" s="28">
        <f>1829*1000000</f>
        <v>1829000000</v>
      </c>
      <c r="G9" s="80">
        <f t="shared" si="0"/>
        <v>9148000000</v>
      </c>
    </row>
    <row r="10" spans="1:7" ht="15.75" thickBot="1" x14ac:dyDescent="0.3">
      <c r="A10" s="104"/>
      <c r="B10" s="107"/>
      <c r="C10" s="110"/>
      <c r="D10" s="29">
        <v>2022</v>
      </c>
      <c r="E10" s="31">
        <f>18482*1000000</f>
        <v>18482000000</v>
      </c>
      <c r="F10" s="31">
        <f>2885*1000000</f>
        <v>2885000000</v>
      </c>
      <c r="G10" s="81">
        <f t="shared" si="0"/>
        <v>15597000000</v>
      </c>
    </row>
    <row r="11" spans="1:7" x14ac:dyDescent="0.25">
      <c r="A11" s="91">
        <v>3</v>
      </c>
      <c r="B11" s="94" t="s">
        <v>19</v>
      </c>
      <c r="C11" s="97">
        <v>37905</v>
      </c>
      <c r="D11" s="2">
        <v>2019</v>
      </c>
      <c r="E11" s="4">
        <f>39498597*1000</f>
        <v>39498597000</v>
      </c>
      <c r="F11" s="4">
        <f>141*1000000</f>
        <v>141000000</v>
      </c>
      <c r="G11" s="79">
        <f t="shared" si="0"/>
        <v>39357597000</v>
      </c>
    </row>
    <row r="12" spans="1:7" x14ac:dyDescent="0.25">
      <c r="A12" s="92"/>
      <c r="B12" s="95"/>
      <c r="C12" s="98"/>
      <c r="D12" s="9">
        <v>2020</v>
      </c>
      <c r="E12" s="11">
        <f>21757779*1000</f>
        <v>21757779000</v>
      </c>
      <c r="F12" s="11">
        <f>35214*1000000</f>
        <v>35214000000</v>
      </c>
      <c r="G12" s="80">
        <f t="shared" si="0"/>
        <v>-13456221000</v>
      </c>
    </row>
    <row r="13" spans="1:7" x14ac:dyDescent="0.25">
      <c r="A13" s="92"/>
      <c r="B13" s="95"/>
      <c r="C13" s="98"/>
      <c r="D13" s="9">
        <v>2021</v>
      </c>
      <c r="E13" s="11">
        <f>27557134*1000</f>
        <v>27557134000</v>
      </c>
      <c r="F13" s="11">
        <f>551654*1000000</f>
        <v>551654000000</v>
      </c>
      <c r="G13" s="80">
        <f t="shared" si="0"/>
        <v>-524096866000</v>
      </c>
    </row>
    <row r="14" spans="1:7" ht="15.75" thickBot="1" x14ac:dyDescent="0.3">
      <c r="A14" s="93"/>
      <c r="B14" s="96"/>
      <c r="C14" s="99"/>
      <c r="D14" s="12">
        <v>2022</v>
      </c>
      <c r="E14" s="14">
        <f>48569183*1000</f>
        <v>48569183000</v>
      </c>
      <c r="F14" s="14">
        <f>34319*1000000</f>
        <v>34319000000</v>
      </c>
      <c r="G14" s="81">
        <f t="shared" si="0"/>
        <v>14250183000</v>
      </c>
    </row>
    <row r="15" spans="1:7" x14ac:dyDescent="0.25">
      <c r="A15" s="102">
        <v>4</v>
      </c>
      <c r="B15" s="126" t="s">
        <v>20</v>
      </c>
      <c r="C15" s="127" t="s">
        <v>21</v>
      </c>
      <c r="D15" s="54">
        <v>2019</v>
      </c>
      <c r="E15" s="48">
        <f>557332*1000000</f>
        <v>557332000000</v>
      </c>
      <c r="F15" s="48">
        <f>14453*1000000</f>
        <v>14453000000</v>
      </c>
      <c r="G15" s="79">
        <f t="shared" si="0"/>
        <v>542879000000</v>
      </c>
    </row>
    <row r="16" spans="1:7" x14ac:dyDescent="0.25">
      <c r="A16" s="103"/>
      <c r="B16" s="106"/>
      <c r="C16" s="109"/>
      <c r="D16" s="26">
        <v>2020</v>
      </c>
      <c r="E16" s="28">
        <f>2352711*1000</f>
        <v>2352711000</v>
      </c>
      <c r="F16" s="28">
        <f>308351*1000000</f>
        <v>308351000000</v>
      </c>
      <c r="G16" s="80">
        <f t="shared" si="0"/>
        <v>-305998289000</v>
      </c>
    </row>
    <row r="17" spans="1:7" x14ac:dyDescent="0.25">
      <c r="A17" s="103"/>
      <c r="B17" s="106"/>
      <c r="C17" s="109"/>
      <c r="D17" s="26">
        <v>2021</v>
      </c>
      <c r="E17" s="28">
        <f>1418802*1000</f>
        <v>1418802000</v>
      </c>
      <c r="F17" s="28">
        <f>818679*1000000</f>
        <v>818679000000</v>
      </c>
      <c r="G17" s="80">
        <f t="shared" si="0"/>
        <v>-817260198000</v>
      </c>
    </row>
    <row r="18" spans="1:7" ht="15.75" thickBot="1" x14ac:dyDescent="0.3">
      <c r="A18" s="104"/>
      <c r="B18" s="107"/>
      <c r="C18" s="110"/>
      <c r="D18" s="29">
        <v>2022</v>
      </c>
      <c r="E18" s="31">
        <f>1983756*1000</f>
        <v>1983756000</v>
      </c>
      <c r="F18" s="31">
        <f>-26623*1000000</f>
        <v>-26623000000</v>
      </c>
      <c r="G18" s="81">
        <f t="shared" si="0"/>
        <v>28606756000</v>
      </c>
    </row>
    <row r="19" spans="1:7" x14ac:dyDescent="0.25">
      <c r="A19" s="91">
        <v>5</v>
      </c>
      <c r="B19" s="94" t="s">
        <v>22</v>
      </c>
      <c r="C19" s="97" t="s">
        <v>23</v>
      </c>
      <c r="D19" s="2">
        <v>2019</v>
      </c>
      <c r="E19" s="4">
        <f>336431366*1000</f>
        <v>336431366000</v>
      </c>
      <c r="F19" s="4">
        <f>141*1000000</f>
        <v>141000000</v>
      </c>
      <c r="G19" s="79">
        <f t="shared" si="0"/>
        <v>336290366000</v>
      </c>
    </row>
    <row r="20" spans="1:7" x14ac:dyDescent="0.25">
      <c r="A20" s="92"/>
      <c r="B20" s="95"/>
      <c r="C20" s="98"/>
      <c r="D20" s="9">
        <v>2020</v>
      </c>
      <c r="E20" s="11">
        <f>18398928*1000</f>
        <v>18398928000</v>
      </c>
      <c r="F20" s="11">
        <f>999026*1000000</f>
        <v>999026000000</v>
      </c>
      <c r="G20" s="80">
        <f t="shared" si="0"/>
        <v>-980627072000</v>
      </c>
    </row>
    <row r="21" spans="1:7" x14ac:dyDescent="0.25">
      <c r="A21" s="92"/>
      <c r="B21" s="95"/>
      <c r="C21" s="98"/>
      <c r="D21" s="9">
        <v>2021</v>
      </c>
      <c r="E21" s="11">
        <f>30551097*1000</f>
        <v>30551097000</v>
      </c>
      <c r="F21" s="11">
        <f>3242400*1000</f>
        <v>3242400000</v>
      </c>
      <c r="G21" s="80">
        <f t="shared" si="0"/>
        <v>27308697000</v>
      </c>
    </row>
    <row r="22" spans="1:7" ht="15.75" thickBot="1" x14ac:dyDescent="0.3">
      <c r="A22" s="93"/>
      <c r="B22" s="96"/>
      <c r="C22" s="99"/>
      <c r="D22" s="12">
        <v>2022</v>
      </c>
      <c r="E22" s="14">
        <f>44952368*1000</f>
        <v>44952368000</v>
      </c>
      <c r="F22" s="14">
        <f>899579*1000000</f>
        <v>899579000000</v>
      </c>
      <c r="G22" s="81">
        <f t="shared" si="0"/>
        <v>-854626632000</v>
      </c>
    </row>
    <row r="23" spans="1:7" x14ac:dyDescent="0.25">
      <c r="A23" s="102">
        <v>6</v>
      </c>
      <c r="B23" s="105" t="s">
        <v>24</v>
      </c>
      <c r="C23" s="108" t="s">
        <v>25</v>
      </c>
      <c r="D23" s="19">
        <v>2019</v>
      </c>
      <c r="E23" s="21">
        <f>3607032*1000</f>
        <v>3607032000</v>
      </c>
      <c r="F23" s="21">
        <f>110523819*1000</f>
        <v>110523819000</v>
      </c>
      <c r="G23" s="79">
        <f t="shared" si="0"/>
        <v>-106916787000</v>
      </c>
    </row>
    <row r="24" spans="1:7" x14ac:dyDescent="0.25">
      <c r="A24" s="103"/>
      <c r="B24" s="106"/>
      <c r="C24" s="109"/>
      <c r="D24" s="26">
        <v>2020</v>
      </c>
      <c r="E24" s="28">
        <f>2015404*1000</f>
        <v>2015404000</v>
      </c>
      <c r="F24" s="28">
        <f>114477311*1000</f>
        <v>114477311000</v>
      </c>
      <c r="G24" s="80">
        <f t="shared" si="0"/>
        <v>-112461907000</v>
      </c>
    </row>
    <row r="25" spans="1:7" x14ac:dyDescent="0.25">
      <c r="A25" s="103"/>
      <c r="B25" s="106"/>
      <c r="C25" s="109"/>
      <c r="D25" s="26">
        <v>2021</v>
      </c>
      <c r="E25" s="28">
        <f>1681525*1000</f>
        <v>1681525000</v>
      </c>
      <c r="F25" s="28">
        <f>124881266*1000</f>
        <v>124881266000</v>
      </c>
      <c r="G25" s="80">
        <f t="shared" si="0"/>
        <v>-123199741000</v>
      </c>
    </row>
    <row r="26" spans="1:7" ht="15.75" thickBot="1" x14ac:dyDescent="0.3">
      <c r="A26" s="104"/>
      <c r="B26" s="107"/>
      <c r="C26" s="110"/>
      <c r="D26" s="29">
        <v>2022</v>
      </c>
      <c r="E26" s="31">
        <f xml:space="preserve"> 866779*1000</f>
        <v>866779000</v>
      </c>
      <c r="F26" s="31">
        <f>124682692*1000</f>
        <v>124682692000</v>
      </c>
      <c r="G26" s="81">
        <f t="shared" si="0"/>
        <v>-123815913000</v>
      </c>
    </row>
    <row r="27" spans="1:7" x14ac:dyDescent="0.25">
      <c r="A27" s="91">
        <v>7</v>
      </c>
      <c r="B27" s="94" t="s">
        <v>26</v>
      </c>
      <c r="C27" s="97">
        <v>32881</v>
      </c>
      <c r="D27" s="2">
        <v>2019</v>
      </c>
      <c r="E27" s="4">
        <f>1372113*1000</f>
        <v>1372113000</v>
      </c>
      <c r="F27" s="4">
        <f>106055*1000000</f>
        <v>106055000000</v>
      </c>
      <c r="G27" s="79">
        <f t="shared" si="0"/>
        <v>-104682887000</v>
      </c>
    </row>
    <row r="28" spans="1:7" x14ac:dyDescent="0.25">
      <c r="A28" s="92"/>
      <c r="B28" s="95"/>
      <c r="C28" s="98"/>
      <c r="D28" s="9">
        <v>2020</v>
      </c>
      <c r="E28" s="11">
        <f>8581378*1000</f>
        <v>8581378000</v>
      </c>
      <c r="F28" s="11">
        <f>92425*1000000</f>
        <v>92425000000</v>
      </c>
      <c r="G28" s="80">
        <f t="shared" si="0"/>
        <v>-83843622000</v>
      </c>
    </row>
    <row r="29" spans="1:7" x14ac:dyDescent="0.25">
      <c r="A29" s="92"/>
      <c r="B29" s="95"/>
      <c r="C29" s="98"/>
      <c r="D29" s="9">
        <v>2021</v>
      </c>
      <c r="E29" s="11">
        <f>7137097*1000</f>
        <v>7137097000</v>
      </c>
      <c r="F29" s="11">
        <f>9887*1000000</f>
        <v>9887000000</v>
      </c>
      <c r="G29" s="80">
        <f t="shared" si="0"/>
        <v>-2749903000</v>
      </c>
    </row>
    <row r="30" spans="1:7" ht="15.75" thickBot="1" x14ac:dyDescent="0.3">
      <c r="A30" s="93"/>
      <c r="B30" s="96"/>
      <c r="C30" s="99"/>
      <c r="D30" s="12">
        <v>2022</v>
      </c>
      <c r="E30" s="14">
        <f>6323744*1000</f>
        <v>6323744000</v>
      </c>
      <c r="F30" s="14">
        <f>111211*1000000</f>
        <v>111211000000</v>
      </c>
      <c r="G30" s="81">
        <f t="shared" si="0"/>
        <v>-104887256000</v>
      </c>
    </row>
    <row r="31" spans="1:7" x14ac:dyDescent="0.25">
      <c r="A31" s="102">
        <v>8</v>
      </c>
      <c r="B31" s="105" t="s">
        <v>27</v>
      </c>
      <c r="C31" s="108" t="s">
        <v>28</v>
      </c>
      <c r="D31" s="19">
        <v>2019</v>
      </c>
      <c r="E31" s="21">
        <v>2537602000</v>
      </c>
      <c r="F31" s="21">
        <v>22633476000</v>
      </c>
      <c r="G31" s="79">
        <f t="shared" si="0"/>
        <v>-20095874000</v>
      </c>
    </row>
    <row r="32" spans="1:7" x14ac:dyDescent="0.25">
      <c r="A32" s="103"/>
      <c r="B32" s="106"/>
      <c r="C32" s="109"/>
      <c r="D32" s="26">
        <v>2020</v>
      </c>
      <c r="E32" s="28">
        <v>2799623000</v>
      </c>
      <c r="F32" s="28">
        <v>23112655000</v>
      </c>
      <c r="G32" s="80">
        <f t="shared" si="0"/>
        <v>-20313032000</v>
      </c>
    </row>
    <row r="33" spans="1:7" x14ac:dyDescent="0.25">
      <c r="A33" s="103"/>
      <c r="B33" s="106"/>
      <c r="C33" s="109"/>
      <c r="D33" s="26">
        <v>2021</v>
      </c>
      <c r="E33" s="28">
        <v>3232008000</v>
      </c>
      <c r="F33" s="28">
        <v>26261195000</v>
      </c>
      <c r="G33" s="80">
        <f t="shared" si="0"/>
        <v>-23029187000</v>
      </c>
    </row>
    <row r="34" spans="1:7" ht="15.75" thickBot="1" x14ac:dyDescent="0.3">
      <c r="A34" s="104"/>
      <c r="B34" s="107"/>
      <c r="C34" s="110"/>
      <c r="D34" s="29">
        <v>2022</v>
      </c>
      <c r="E34" s="31">
        <v>3450083000</v>
      </c>
      <c r="F34" s="31">
        <v>28933503000</v>
      </c>
      <c r="G34" s="81">
        <f t="shared" si="0"/>
        <v>-25483420000</v>
      </c>
    </row>
    <row r="35" spans="1:7" x14ac:dyDescent="0.25">
      <c r="A35" s="91">
        <v>9</v>
      </c>
      <c r="B35" s="94" t="s">
        <v>29</v>
      </c>
      <c r="C35" s="97">
        <v>33457</v>
      </c>
      <c r="D35" s="2">
        <v>2019</v>
      </c>
      <c r="E35" s="4">
        <v>2371233000</v>
      </c>
      <c r="F35" s="4">
        <v>43280000</v>
      </c>
      <c r="G35" s="79">
        <f t="shared" si="0"/>
        <v>2327953000</v>
      </c>
    </row>
    <row r="36" spans="1:7" x14ac:dyDescent="0.25">
      <c r="A36" s="92"/>
      <c r="B36" s="95"/>
      <c r="C36" s="98"/>
      <c r="D36" s="9">
        <v>2020</v>
      </c>
      <c r="E36" s="11">
        <v>2674343000</v>
      </c>
      <c r="F36" s="11">
        <v>39849000</v>
      </c>
      <c r="G36" s="80">
        <f t="shared" si="0"/>
        <v>2634494000</v>
      </c>
    </row>
    <row r="37" spans="1:7" x14ac:dyDescent="0.25">
      <c r="A37" s="92"/>
      <c r="B37" s="95"/>
      <c r="C37" s="98"/>
      <c r="D37" s="9">
        <v>2021</v>
      </c>
      <c r="E37" s="11">
        <v>2117236000</v>
      </c>
      <c r="F37" s="11">
        <v>42409000</v>
      </c>
      <c r="G37" s="80">
        <f t="shared" si="0"/>
        <v>2074827000</v>
      </c>
    </row>
    <row r="38" spans="1:7" ht="15.75" thickBot="1" x14ac:dyDescent="0.3">
      <c r="A38" s="93"/>
      <c r="B38" s="96"/>
      <c r="C38" s="99"/>
      <c r="D38" s="12">
        <v>2022</v>
      </c>
      <c r="E38" s="14">
        <v>2499083000</v>
      </c>
      <c r="F38" s="14">
        <v>36921000</v>
      </c>
      <c r="G38" s="81">
        <f t="shared" si="0"/>
        <v>2462162000</v>
      </c>
    </row>
    <row r="39" spans="1:7" x14ac:dyDescent="0.25">
      <c r="A39" s="102">
        <v>10</v>
      </c>
      <c r="B39" s="105" t="s">
        <v>30</v>
      </c>
      <c r="C39" s="108" t="s">
        <v>31</v>
      </c>
      <c r="D39" s="19">
        <v>2019</v>
      </c>
      <c r="E39" s="21">
        <f>27592*1000000</f>
        <v>27592000000</v>
      </c>
      <c r="F39" s="21">
        <v>93913000</v>
      </c>
      <c r="G39" s="79">
        <f t="shared" si="0"/>
        <v>27498087000</v>
      </c>
    </row>
    <row r="40" spans="1:7" x14ac:dyDescent="0.25">
      <c r="A40" s="103"/>
      <c r="B40" s="106"/>
      <c r="C40" s="109"/>
      <c r="D40" s="26">
        <v>2020</v>
      </c>
      <c r="E40" s="28">
        <f>29563*1000000</f>
        <v>29563000000</v>
      </c>
      <c r="F40" s="28">
        <v>93274000</v>
      </c>
      <c r="G40" s="80">
        <f t="shared" si="0"/>
        <v>29469726000</v>
      </c>
    </row>
    <row r="41" spans="1:7" x14ac:dyDescent="0.25">
      <c r="A41" s="103"/>
      <c r="B41" s="106"/>
      <c r="C41" s="109"/>
      <c r="D41" s="26">
        <v>2021</v>
      </c>
      <c r="E41" s="28">
        <f>33948*1000000</f>
        <v>33948000000</v>
      </c>
      <c r="F41" s="28">
        <v>99303000</v>
      </c>
      <c r="G41" s="80">
        <f t="shared" si="0"/>
        <v>33848697000</v>
      </c>
    </row>
    <row r="42" spans="1:7" ht="15.75" thickBot="1" x14ac:dyDescent="0.3">
      <c r="A42" s="104"/>
      <c r="B42" s="107"/>
      <c r="C42" s="110"/>
      <c r="D42" s="29">
        <v>2022</v>
      </c>
      <c r="E42" s="31">
        <f>27680*1000000</f>
        <v>27680000000</v>
      </c>
      <c r="F42" s="31">
        <v>101569000</v>
      </c>
      <c r="G42" s="81">
        <f t="shared" si="0"/>
        <v>27578431000</v>
      </c>
    </row>
    <row r="43" spans="1:7" x14ac:dyDescent="0.25">
      <c r="A43" s="102">
        <v>11</v>
      </c>
      <c r="B43" s="105" t="s">
        <v>32</v>
      </c>
      <c r="C43" s="108">
        <v>30256</v>
      </c>
      <c r="D43" s="19">
        <v>2019</v>
      </c>
      <c r="E43" s="28">
        <v>7393000000</v>
      </c>
      <c r="F43" s="28">
        <v>42923000000</v>
      </c>
      <c r="G43" s="79">
        <f t="shared" si="0"/>
        <v>-35530000000</v>
      </c>
    </row>
    <row r="44" spans="1:7" x14ac:dyDescent="0.25">
      <c r="A44" s="103"/>
      <c r="B44" s="106"/>
      <c r="C44" s="109"/>
      <c r="D44" s="26">
        <v>2020</v>
      </c>
      <c r="E44" s="28">
        <v>7164000000</v>
      </c>
      <c r="F44" s="28">
        <v>42972000000</v>
      </c>
      <c r="G44" s="80">
        <f t="shared" si="0"/>
        <v>-35808000000</v>
      </c>
    </row>
    <row r="45" spans="1:7" x14ac:dyDescent="0.25">
      <c r="A45" s="103"/>
      <c r="B45" s="106"/>
      <c r="C45" s="109"/>
      <c r="D45" s="26">
        <v>2021</v>
      </c>
      <c r="E45" s="28">
        <v>578000000</v>
      </c>
      <c r="F45" s="28">
        <v>39546000000</v>
      </c>
      <c r="G45" s="80">
        <f t="shared" si="0"/>
        <v>-38968000000</v>
      </c>
    </row>
    <row r="46" spans="1:7" ht="15.75" thickBot="1" x14ac:dyDescent="0.3">
      <c r="A46" s="104"/>
      <c r="B46" s="107"/>
      <c r="C46" s="110"/>
      <c r="D46" s="29">
        <v>2022</v>
      </c>
      <c r="E46" s="31">
        <v>5365000000</v>
      </c>
      <c r="F46" s="31">
        <v>41219000000</v>
      </c>
      <c r="G46" s="82">
        <f t="shared" si="0"/>
        <v>-35854000000</v>
      </c>
    </row>
  </sheetData>
  <mergeCells count="38">
    <mergeCell ref="A3:A6"/>
    <mergeCell ref="B3:B6"/>
    <mergeCell ref="C3:C6"/>
    <mergeCell ref="A1:A2"/>
    <mergeCell ref="B1:B2"/>
    <mergeCell ref="C1:C2"/>
    <mergeCell ref="D1:D2"/>
    <mergeCell ref="E1:G1"/>
    <mergeCell ref="A7:A10"/>
    <mergeCell ref="B7:B10"/>
    <mergeCell ref="C7:C10"/>
    <mergeCell ref="A11:A14"/>
    <mergeCell ref="B11:B14"/>
    <mergeCell ref="C11:C14"/>
    <mergeCell ref="A15:A18"/>
    <mergeCell ref="B15:B18"/>
    <mergeCell ref="C15:C18"/>
    <mergeCell ref="A19:A22"/>
    <mergeCell ref="B19:B22"/>
    <mergeCell ref="C19:C22"/>
    <mergeCell ref="A23:A26"/>
    <mergeCell ref="B23:B26"/>
    <mergeCell ref="C23:C26"/>
    <mergeCell ref="A27:A30"/>
    <mergeCell ref="B27:B30"/>
    <mergeCell ref="C27:C30"/>
    <mergeCell ref="A31:A34"/>
    <mergeCell ref="B31:B34"/>
    <mergeCell ref="C31:C34"/>
    <mergeCell ref="A35:A38"/>
    <mergeCell ref="B35:B38"/>
    <mergeCell ref="C35:C38"/>
    <mergeCell ref="A39:A42"/>
    <mergeCell ref="B39:B42"/>
    <mergeCell ref="C39:C42"/>
    <mergeCell ref="A43:A46"/>
    <mergeCell ref="B43:B46"/>
    <mergeCell ref="C43:C4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5FD7E-D261-4B18-A50A-15CA45CAEBFF}">
  <dimension ref="A1:G46"/>
  <sheetViews>
    <sheetView topLeftCell="A21" zoomScale="85" zoomScaleNormal="85" workbookViewId="0">
      <selection activeCell="G3" sqref="G3:G46"/>
    </sheetView>
  </sheetViews>
  <sheetFormatPr defaultRowHeight="15" x14ac:dyDescent="0.25"/>
  <cols>
    <col min="3" max="3" width="11.28515625" bestFit="1" customWidth="1"/>
  </cols>
  <sheetData>
    <row r="1" spans="1:7" x14ac:dyDescent="0.25">
      <c r="A1" s="115" t="s">
        <v>1</v>
      </c>
      <c r="B1" s="115" t="s">
        <v>2</v>
      </c>
      <c r="C1" s="115" t="s">
        <v>3</v>
      </c>
      <c r="D1" s="115" t="s">
        <v>4</v>
      </c>
      <c r="E1" s="146" t="s">
        <v>40</v>
      </c>
      <c r="F1" s="146"/>
      <c r="G1" s="146"/>
    </row>
    <row r="2" spans="1:7" ht="15.75" thickBot="1" x14ac:dyDescent="0.3">
      <c r="A2" s="116"/>
      <c r="B2" s="116"/>
      <c r="C2" s="116"/>
      <c r="D2" s="116"/>
      <c r="E2" s="55" t="s">
        <v>41</v>
      </c>
      <c r="F2" s="55" t="s">
        <v>42</v>
      </c>
      <c r="G2" s="56" t="s">
        <v>6</v>
      </c>
    </row>
    <row r="3" spans="1:7" x14ac:dyDescent="0.25">
      <c r="A3" s="137">
        <v>1</v>
      </c>
      <c r="B3" s="140" t="s">
        <v>15</v>
      </c>
      <c r="C3" s="143" t="s">
        <v>16</v>
      </c>
      <c r="D3" s="2">
        <v>2019</v>
      </c>
      <c r="E3" s="57">
        <v>6685</v>
      </c>
      <c r="F3" s="58">
        <v>5200</v>
      </c>
      <c r="G3" s="83">
        <f>(E3-F3)/F3</f>
        <v>0.28557692307692306</v>
      </c>
    </row>
    <row r="4" spans="1:7" x14ac:dyDescent="0.25">
      <c r="A4" s="138"/>
      <c r="B4" s="141"/>
      <c r="C4" s="144"/>
      <c r="D4" s="9">
        <v>2020</v>
      </c>
      <c r="E4" s="57">
        <v>6770</v>
      </c>
      <c r="F4" s="59">
        <f>E3</f>
        <v>6685</v>
      </c>
      <c r="G4" s="83">
        <f t="shared" ref="G4:G46" si="0">(E4-F4)/F4</f>
        <v>1.2715033657442034E-2</v>
      </c>
    </row>
    <row r="5" spans="1:7" x14ac:dyDescent="0.25">
      <c r="A5" s="138"/>
      <c r="B5" s="141"/>
      <c r="C5" s="144"/>
      <c r="D5" s="9">
        <v>2021</v>
      </c>
      <c r="E5" s="57">
        <v>7300</v>
      </c>
      <c r="F5" s="59">
        <f>E4</f>
        <v>6770</v>
      </c>
      <c r="G5" s="83">
        <f t="shared" si="0"/>
        <v>7.8286558345642535E-2</v>
      </c>
    </row>
    <row r="6" spans="1:7" ht="15.75" thickBot="1" x14ac:dyDescent="0.3">
      <c r="A6" s="139"/>
      <c r="B6" s="142"/>
      <c r="C6" s="145"/>
      <c r="D6" s="12">
        <v>2022</v>
      </c>
      <c r="E6" s="60">
        <v>8550</v>
      </c>
      <c r="F6" s="59">
        <f>E5</f>
        <v>7300</v>
      </c>
      <c r="G6" s="83">
        <f t="shared" si="0"/>
        <v>0.17123287671232876</v>
      </c>
    </row>
    <row r="7" spans="1:7" x14ac:dyDescent="0.25">
      <c r="A7" s="128">
        <v>2</v>
      </c>
      <c r="B7" s="130" t="s">
        <v>17</v>
      </c>
      <c r="C7" s="132" t="s">
        <v>18</v>
      </c>
      <c r="D7" s="19">
        <v>2019</v>
      </c>
      <c r="E7" s="57">
        <v>3925</v>
      </c>
      <c r="F7" s="58">
        <v>8800</v>
      </c>
      <c r="G7" s="83">
        <f t="shared" si="0"/>
        <v>-0.55397727272727271</v>
      </c>
    </row>
    <row r="8" spans="1:7" x14ac:dyDescent="0.25">
      <c r="A8" s="129"/>
      <c r="B8" s="131"/>
      <c r="C8" s="133"/>
      <c r="D8" s="26">
        <v>2020</v>
      </c>
      <c r="E8" s="57">
        <v>3087.5</v>
      </c>
      <c r="F8" s="59">
        <f>E7</f>
        <v>3925</v>
      </c>
      <c r="G8" s="83">
        <f t="shared" si="0"/>
        <v>-0.21337579617834396</v>
      </c>
    </row>
    <row r="9" spans="1:7" x14ac:dyDescent="0.25">
      <c r="A9" s="129"/>
      <c r="B9" s="131"/>
      <c r="C9" s="133"/>
      <c r="D9" s="26">
        <v>2021</v>
      </c>
      <c r="E9" s="57">
        <v>3375</v>
      </c>
      <c r="F9" s="59">
        <f>E8</f>
        <v>3087.5</v>
      </c>
      <c r="G9" s="83">
        <f t="shared" si="0"/>
        <v>9.3117408906882596E-2</v>
      </c>
    </row>
    <row r="10" spans="1:7" ht="15.75" thickBot="1" x14ac:dyDescent="0.3">
      <c r="A10" s="134"/>
      <c r="B10" s="135"/>
      <c r="C10" s="136"/>
      <c r="D10" s="29">
        <v>2022</v>
      </c>
      <c r="E10" s="60">
        <v>4612.5</v>
      </c>
      <c r="F10" s="59">
        <f>E9</f>
        <v>3375</v>
      </c>
      <c r="G10" s="83">
        <f t="shared" si="0"/>
        <v>0.36666666666666664</v>
      </c>
    </row>
    <row r="11" spans="1:7" x14ac:dyDescent="0.25">
      <c r="A11" s="137">
        <v>3</v>
      </c>
      <c r="B11" s="140" t="s">
        <v>19</v>
      </c>
      <c r="C11" s="143">
        <v>37905</v>
      </c>
      <c r="D11" s="2">
        <v>2019</v>
      </c>
      <c r="E11" s="57">
        <v>3999.9309079999998</v>
      </c>
      <c r="F11" s="58">
        <v>3660</v>
      </c>
      <c r="G11" s="83">
        <f t="shared" si="0"/>
        <v>9.2877297267759507E-2</v>
      </c>
    </row>
    <row r="12" spans="1:7" x14ac:dyDescent="0.25">
      <c r="A12" s="138"/>
      <c r="B12" s="141"/>
      <c r="C12" s="144"/>
      <c r="D12" s="9">
        <v>2020</v>
      </c>
      <c r="E12" s="57">
        <v>3790.8435060000002</v>
      </c>
      <c r="F12" s="59">
        <f>E11</f>
        <v>3999.9309079999998</v>
      </c>
      <c r="G12" s="83">
        <f t="shared" si="0"/>
        <v>-5.2272753407269522E-2</v>
      </c>
    </row>
    <row r="13" spans="1:7" x14ac:dyDescent="0.25">
      <c r="A13" s="138"/>
      <c r="B13" s="141"/>
      <c r="C13" s="144"/>
      <c r="D13" s="9">
        <v>2021</v>
      </c>
      <c r="E13" s="57">
        <v>4110</v>
      </c>
      <c r="F13" s="59">
        <f>E12</f>
        <v>3790.8435060000002</v>
      </c>
      <c r="G13" s="83">
        <f t="shared" si="0"/>
        <v>8.4191419006047416E-2</v>
      </c>
    </row>
    <row r="14" spans="1:7" ht="15.75" thickBot="1" x14ac:dyDescent="0.3">
      <c r="A14" s="139"/>
      <c r="B14" s="142"/>
      <c r="C14" s="145"/>
      <c r="D14" s="12">
        <v>2022</v>
      </c>
      <c r="E14" s="60">
        <v>4940</v>
      </c>
      <c r="F14" s="59">
        <f>E13</f>
        <v>4110</v>
      </c>
      <c r="G14" s="83">
        <f t="shared" si="0"/>
        <v>0.20194647201946472</v>
      </c>
    </row>
    <row r="15" spans="1:7" x14ac:dyDescent="0.25">
      <c r="A15" s="128">
        <v>4</v>
      </c>
      <c r="B15" s="130" t="s">
        <v>20</v>
      </c>
      <c r="C15" s="132" t="s">
        <v>21</v>
      </c>
      <c r="D15" s="19">
        <v>2019</v>
      </c>
      <c r="E15" s="57">
        <v>1883.414673</v>
      </c>
      <c r="F15" s="58">
        <v>2540</v>
      </c>
      <c r="G15" s="83">
        <f t="shared" si="0"/>
        <v>-0.25849816023622046</v>
      </c>
    </row>
    <row r="16" spans="1:7" x14ac:dyDescent="0.25">
      <c r="A16" s="129"/>
      <c r="B16" s="131"/>
      <c r="C16" s="133"/>
      <c r="D16" s="26">
        <v>2020</v>
      </c>
      <c r="E16" s="57">
        <v>1532.4954829999999</v>
      </c>
      <c r="F16" s="59">
        <f>E15</f>
        <v>1883.414673</v>
      </c>
      <c r="G16" s="83">
        <f t="shared" si="0"/>
        <v>-0.18632072640755096</v>
      </c>
    </row>
    <row r="17" spans="1:7" x14ac:dyDescent="0.25">
      <c r="A17" s="129"/>
      <c r="B17" s="131"/>
      <c r="C17" s="133"/>
      <c r="D17" s="26">
        <v>2021</v>
      </c>
      <c r="E17" s="57">
        <v>1536.9375</v>
      </c>
      <c r="F17" s="59">
        <f>E16</f>
        <v>1532.4954829999999</v>
      </c>
      <c r="G17" s="83">
        <f t="shared" si="0"/>
        <v>2.8985514471497327E-3</v>
      </c>
    </row>
    <row r="18" spans="1:7" ht="15.75" thickBot="1" x14ac:dyDescent="0.3">
      <c r="A18" s="134"/>
      <c r="B18" s="135"/>
      <c r="C18" s="136"/>
      <c r="D18" s="29">
        <v>2022</v>
      </c>
      <c r="E18" s="60">
        <v>1350</v>
      </c>
      <c r="F18" s="59">
        <f>E17</f>
        <v>1536.9375</v>
      </c>
      <c r="G18" s="83">
        <f t="shared" si="0"/>
        <v>-0.12162986458460412</v>
      </c>
    </row>
    <row r="19" spans="1:7" x14ac:dyDescent="0.25">
      <c r="A19" s="137">
        <v>5</v>
      </c>
      <c r="B19" s="140" t="s">
        <v>22</v>
      </c>
      <c r="C19" s="143" t="s">
        <v>23</v>
      </c>
      <c r="D19" s="2">
        <v>2019</v>
      </c>
      <c r="E19" s="57">
        <v>3837.5</v>
      </c>
      <c r="F19" s="58">
        <v>3687.5</v>
      </c>
      <c r="G19" s="83">
        <f t="shared" si="0"/>
        <v>4.0677966101694912E-2</v>
      </c>
    </row>
    <row r="20" spans="1:7" x14ac:dyDescent="0.25">
      <c r="A20" s="138"/>
      <c r="B20" s="141"/>
      <c r="C20" s="144"/>
      <c r="D20" s="9">
        <v>2020</v>
      </c>
      <c r="E20" s="57">
        <v>3162.5</v>
      </c>
      <c r="F20" s="59">
        <f>E19</f>
        <v>3837.5</v>
      </c>
      <c r="G20" s="83">
        <f t="shared" si="0"/>
        <v>-0.1758957654723127</v>
      </c>
    </row>
    <row r="21" spans="1:7" x14ac:dyDescent="0.25">
      <c r="A21" s="138"/>
      <c r="B21" s="141"/>
      <c r="C21" s="144"/>
      <c r="D21" s="9">
        <v>2021</v>
      </c>
      <c r="E21" s="57">
        <v>3512.5</v>
      </c>
      <c r="F21" s="59">
        <f>E20</f>
        <v>3162.5</v>
      </c>
      <c r="G21" s="83">
        <f t="shared" si="0"/>
        <v>0.11067193675889328</v>
      </c>
    </row>
    <row r="22" spans="1:7" ht="15.75" thickBot="1" x14ac:dyDescent="0.3">
      <c r="A22" s="139"/>
      <c r="B22" s="142"/>
      <c r="C22" s="145"/>
      <c r="D22" s="12">
        <v>2022</v>
      </c>
      <c r="E22" s="60">
        <v>4962.5</v>
      </c>
      <c r="F22" s="59">
        <f>E21</f>
        <v>3512.5</v>
      </c>
      <c r="G22" s="83">
        <f t="shared" si="0"/>
        <v>0.41281138790035588</v>
      </c>
    </row>
    <row r="23" spans="1:7" x14ac:dyDescent="0.25">
      <c r="A23" s="128">
        <v>6</v>
      </c>
      <c r="B23" s="130" t="s">
        <v>24</v>
      </c>
      <c r="C23" s="132" t="s">
        <v>25</v>
      </c>
      <c r="D23" s="19">
        <v>2019</v>
      </c>
      <c r="E23" s="57">
        <v>53000</v>
      </c>
      <c r="F23" s="58">
        <v>83625</v>
      </c>
      <c r="G23" s="83">
        <f t="shared" si="0"/>
        <v>-0.36621823617339311</v>
      </c>
    </row>
    <row r="24" spans="1:7" x14ac:dyDescent="0.25">
      <c r="A24" s="129"/>
      <c r="B24" s="131"/>
      <c r="C24" s="133"/>
      <c r="D24" s="26">
        <v>2020</v>
      </c>
      <c r="E24" s="57">
        <v>41000</v>
      </c>
      <c r="F24" s="59">
        <f>E23</f>
        <v>53000</v>
      </c>
      <c r="G24" s="83">
        <f t="shared" si="0"/>
        <v>-0.22641509433962265</v>
      </c>
    </row>
    <row r="25" spans="1:7" x14ac:dyDescent="0.25">
      <c r="A25" s="129"/>
      <c r="B25" s="131"/>
      <c r="C25" s="133"/>
      <c r="D25" s="26">
        <v>2021</v>
      </c>
      <c r="E25" s="57">
        <v>30600</v>
      </c>
      <c r="F25" s="59">
        <f>E24</f>
        <v>41000</v>
      </c>
      <c r="G25" s="83">
        <f t="shared" si="0"/>
        <v>-0.25365853658536586</v>
      </c>
    </row>
    <row r="26" spans="1:7" ht="15.75" thickBot="1" x14ac:dyDescent="0.3">
      <c r="A26" s="134"/>
      <c r="B26" s="135"/>
      <c r="C26" s="136"/>
      <c r="D26" s="29">
        <v>2022</v>
      </c>
      <c r="E26" s="60">
        <v>18000</v>
      </c>
      <c r="F26" s="59">
        <f>E25</f>
        <v>30600</v>
      </c>
      <c r="G26" s="83">
        <f t="shared" si="0"/>
        <v>-0.41176470588235292</v>
      </c>
    </row>
    <row r="27" spans="1:7" x14ac:dyDescent="0.25">
      <c r="A27" s="137">
        <v>7</v>
      </c>
      <c r="B27" s="140" t="s">
        <v>26</v>
      </c>
      <c r="C27" s="143">
        <v>32881</v>
      </c>
      <c r="D27" s="2">
        <v>2019</v>
      </c>
      <c r="E27" s="57">
        <v>2100</v>
      </c>
      <c r="F27" s="58">
        <v>3710</v>
      </c>
      <c r="G27" s="83">
        <f t="shared" si="0"/>
        <v>-0.43396226415094341</v>
      </c>
    </row>
    <row r="28" spans="1:7" x14ac:dyDescent="0.25">
      <c r="A28" s="138"/>
      <c r="B28" s="141"/>
      <c r="C28" s="144"/>
      <c r="D28" s="9">
        <v>2020</v>
      </c>
      <c r="E28" s="57">
        <v>1505</v>
      </c>
      <c r="F28" s="59">
        <f>E27</f>
        <v>2100</v>
      </c>
      <c r="G28" s="83">
        <f t="shared" si="0"/>
        <v>-0.28333333333333333</v>
      </c>
    </row>
    <row r="29" spans="1:7" x14ac:dyDescent="0.25">
      <c r="A29" s="138"/>
      <c r="B29" s="141"/>
      <c r="C29" s="144"/>
      <c r="D29" s="9">
        <v>2021</v>
      </c>
      <c r="E29" s="57">
        <v>965</v>
      </c>
      <c r="F29" s="59">
        <f>E28</f>
        <v>1505</v>
      </c>
      <c r="G29" s="83">
        <f t="shared" si="0"/>
        <v>-0.35880398671096347</v>
      </c>
    </row>
    <row r="30" spans="1:7" ht="15.75" thickBot="1" x14ac:dyDescent="0.3">
      <c r="A30" s="139"/>
      <c r="B30" s="142"/>
      <c r="C30" s="145"/>
      <c r="D30" s="12">
        <v>2022</v>
      </c>
      <c r="E30" s="60">
        <v>840</v>
      </c>
      <c r="F30" s="59">
        <f>E29</f>
        <v>965</v>
      </c>
      <c r="G30" s="83">
        <f t="shared" si="0"/>
        <v>-0.12953367875647667</v>
      </c>
    </row>
    <row r="31" spans="1:7" x14ac:dyDescent="0.25">
      <c r="A31" s="128">
        <v>8</v>
      </c>
      <c r="B31" s="130" t="s">
        <v>27</v>
      </c>
      <c r="C31" s="132" t="s">
        <v>28</v>
      </c>
      <c r="D31" s="19">
        <v>2019</v>
      </c>
      <c r="E31" s="57">
        <v>1620</v>
      </c>
      <c r="F31" s="58">
        <v>1520</v>
      </c>
      <c r="G31" s="83">
        <f t="shared" si="0"/>
        <v>6.5789473684210523E-2</v>
      </c>
    </row>
    <row r="32" spans="1:7" x14ac:dyDescent="0.25">
      <c r="A32" s="129"/>
      <c r="B32" s="131"/>
      <c r="C32" s="133"/>
      <c r="D32" s="26">
        <v>2020</v>
      </c>
      <c r="E32" s="57">
        <v>1480</v>
      </c>
      <c r="F32" s="59">
        <f>E31</f>
        <v>1620</v>
      </c>
      <c r="G32" s="83">
        <f t="shared" si="0"/>
        <v>-8.6419753086419748E-2</v>
      </c>
    </row>
    <row r="33" spans="1:7" x14ac:dyDescent="0.25">
      <c r="A33" s="129"/>
      <c r="B33" s="131"/>
      <c r="C33" s="133"/>
      <c r="D33" s="26">
        <v>2021</v>
      </c>
      <c r="E33" s="57">
        <v>1615</v>
      </c>
      <c r="F33" s="59">
        <f>E32</f>
        <v>1480</v>
      </c>
      <c r="G33" s="83">
        <f t="shared" si="0"/>
        <v>9.1216216216216214E-2</v>
      </c>
    </row>
    <row r="34" spans="1:7" ht="15.75" thickBot="1" x14ac:dyDescent="0.3">
      <c r="A34" s="134"/>
      <c r="B34" s="135"/>
      <c r="C34" s="136"/>
      <c r="D34" s="29">
        <v>2022</v>
      </c>
      <c r="E34" s="60">
        <v>2090</v>
      </c>
      <c r="F34" s="59">
        <f>E33</f>
        <v>1615</v>
      </c>
      <c r="G34" s="83">
        <f t="shared" si="0"/>
        <v>0.29411764705882354</v>
      </c>
    </row>
    <row r="35" spans="1:7" x14ac:dyDescent="0.25">
      <c r="A35" s="137">
        <v>9</v>
      </c>
      <c r="B35" s="140" t="s">
        <v>29</v>
      </c>
      <c r="C35" s="143">
        <v>33457</v>
      </c>
      <c r="D35" s="2">
        <v>2019</v>
      </c>
      <c r="E35" s="57">
        <v>11966.706055000001</v>
      </c>
      <c r="F35" s="58">
        <v>11468.09375</v>
      </c>
      <c r="G35" s="83">
        <f t="shared" si="0"/>
        <v>4.3478220170636517E-2</v>
      </c>
    </row>
    <row r="36" spans="1:7" x14ac:dyDescent="0.25">
      <c r="A36" s="138"/>
      <c r="B36" s="141"/>
      <c r="C36" s="144"/>
      <c r="D36" s="9">
        <v>2020</v>
      </c>
      <c r="E36" s="57">
        <v>12390.527344</v>
      </c>
      <c r="F36" s="59">
        <f>E35</f>
        <v>11966.706055000001</v>
      </c>
      <c r="G36" s="83">
        <f t="shared" si="0"/>
        <v>3.5416704233569435E-2</v>
      </c>
    </row>
    <row r="37" spans="1:7" x14ac:dyDescent="0.25">
      <c r="A37" s="138"/>
      <c r="B37" s="141"/>
      <c r="C37" s="144"/>
      <c r="D37" s="9">
        <v>2021</v>
      </c>
      <c r="E37" s="57">
        <v>7229.8847660000001</v>
      </c>
      <c r="F37" s="59">
        <f>E36</f>
        <v>12390.527344</v>
      </c>
      <c r="G37" s="83">
        <f t="shared" si="0"/>
        <v>-0.41649902661318078</v>
      </c>
    </row>
    <row r="38" spans="1:7" ht="15.75" thickBot="1" x14ac:dyDescent="0.3">
      <c r="A38" s="139"/>
      <c r="B38" s="142"/>
      <c r="C38" s="145"/>
      <c r="D38" s="12">
        <v>2022</v>
      </c>
      <c r="E38" s="60">
        <v>6575</v>
      </c>
      <c r="F38" s="59">
        <f>E37</f>
        <v>7229.8847660000001</v>
      </c>
      <c r="G38" s="83">
        <f t="shared" si="0"/>
        <v>-9.0580249505459426E-2</v>
      </c>
    </row>
    <row r="39" spans="1:7" x14ac:dyDescent="0.25">
      <c r="A39" s="128">
        <v>10</v>
      </c>
      <c r="B39" s="130" t="s">
        <v>30</v>
      </c>
      <c r="C39" s="132" t="s">
        <v>31</v>
      </c>
      <c r="D39" s="19">
        <v>2019</v>
      </c>
      <c r="E39" s="57">
        <v>3970</v>
      </c>
      <c r="F39" s="58">
        <v>3750</v>
      </c>
      <c r="G39" s="83">
        <f t="shared" si="0"/>
        <v>5.8666666666666666E-2</v>
      </c>
    </row>
    <row r="40" spans="1:7" x14ac:dyDescent="0.25">
      <c r="A40" s="129"/>
      <c r="B40" s="131"/>
      <c r="C40" s="133"/>
      <c r="D40" s="26">
        <v>2020</v>
      </c>
      <c r="E40" s="57">
        <v>3310</v>
      </c>
      <c r="F40" s="59">
        <f>E39</f>
        <v>3970</v>
      </c>
      <c r="G40" s="83">
        <f t="shared" si="0"/>
        <v>-0.16624685138539042</v>
      </c>
    </row>
    <row r="41" spans="1:7" x14ac:dyDescent="0.25">
      <c r="A41" s="129"/>
      <c r="B41" s="131"/>
      <c r="C41" s="133"/>
      <c r="D41" s="26">
        <v>2021</v>
      </c>
      <c r="E41" s="57">
        <v>4040</v>
      </c>
      <c r="F41" s="59">
        <f>E40</f>
        <v>3310</v>
      </c>
      <c r="G41" s="83">
        <f t="shared" si="0"/>
        <v>0.22054380664652568</v>
      </c>
    </row>
    <row r="42" spans="1:7" ht="15.75" thickBot="1" x14ac:dyDescent="0.3">
      <c r="A42" s="129"/>
      <c r="B42" s="131"/>
      <c r="C42" s="133"/>
      <c r="D42" s="49">
        <v>2022</v>
      </c>
      <c r="E42" s="60">
        <v>3750</v>
      </c>
      <c r="F42" s="59">
        <f>E41</f>
        <v>4040</v>
      </c>
      <c r="G42" s="83">
        <f t="shared" si="0"/>
        <v>-7.1782178217821777E-2</v>
      </c>
    </row>
    <row r="43" spans="1:7" x14ac:dyDescent="0.25">
      <c r="A43" s="91">
        <v>11</v>
      </c>
      <c r="B43" s="94" t="s">
        <v>32</v>
      </c>
      <c r="C43" s="97">
        <v>30256</v>
      </c>
      <c r="D43" s="2">
        <v>2019</v>
      </c>
      <c r="E43" s="57">
        <v>8400</v>
      </c>
      <c r="F43" s="58">
        <v>9080</v>
      </c>
      <c r="G43" s="83">
        <f t="shared" si="0"/>
        <v>-7.4889867841409691E-2</v>
      </c>
    </row>
    <row r="44" spans="1:7" x14ac:dyDescent="0.25">
      <c r="A44" s="92"/>
      <c r="B44" s="95"/>
      <c r="C44" s="98"/>
      <c r="D44" s="9">
        <v>2020</v>
      </c>
      <c r="E44" s="57">
        <v>7350</v>
      </c>
      <c r="F44" s="59">
        <f>E43</f>
        <v>8400</v>
      </c>
      <c r="G44" s="83">
        <f t="shared" si="0"/>
        <v>-0.125</v>
      </c>
    </row>
    <row r="45" spans="1:7" x14ac:dyDescent="0.25">
      <c r="A45" s="92"/>
      <c r="B45" s="95"/>
      <c r="C45" s="98"/>
      <c r="D45" s="9">
        <v>2021</v>
      </c>
      <c r="E45" s="57">
        <v>4110</v>
      </c>
      <c r="F45" s="59">
        <f>E44</f>
        <v>7350</v>
      </c>
      <c r="G45" s="83">
        <f t="shared" si="0"/>
        <v>-0.44081632653061226</v>
      </c>
    </row>
    <row r="46" spans="1:7" ht="15.75" thickBot="1" x14ac:dyDescent="0.3">
      <c r="A46" s="93"/>
      <c r="B46" s="96"/>
      <c r="C46" s="99"/>
      <c r="D46" s="12">
        <v>2022</v>
      </c>
      <c r="E46" s="60">
        <v>4700</v>
      </c>
      <c r="F46" s="59">
        <f>E45</f>
        <v>4110</v>
      </c>
      <c r="G46" s="83">
        <f t="shared" si="0"/>
        <v>0.14355231143552311</v>
      </c>
    </row>
  </sheetData>
  <mergeCells count="38">
    <mergeCell ref="A3:A6"/>
    <mergeCell ref="B3:B6"/>
    <mergeCell ref="C3:C6"/>
    <mergeCell ref="A1:A2"/>
    <mergeCell ref="B1:B2"/>
    <mergeCell ref="C1:C2"/>
    <mergeCell ref="D1:D2"/>
    <mergeCell ref="E1:G1"/>
    <mergeCell ref="A7:A10"/>
    <mergeCell ref="B7:B10"/>
    <mergeCell ref="C7:C10"/>
    <mergeCell ref="A11:A14"/>
    <mergeCell ref="B11:B14"/>
    <mergeCell ref="C11:C14"/>
    <mergeCell ref="A15:A18"/>
    <mergeCell ref="B15:B18"/>
    <mergeCell ref="C15:C18"/>
    <mergeCell ref="A19:A22"/>
    <mergeCell ref="B19:B22"/>
    <mergeCell ref="C19:C22"/>
    <mergeCell ref="A23:A26"/>
    <mergeCell ref="B23:B26"/>
    <mergeCell ref="C23:C26"/>
    <mergeCell ref="A27:A30"/>
    <mergeCell ref="B27:B30"/>
    <mergeCell ref="C27:C30"/>
    <mergeCell ref="A31:A34"/>
    <mergeCell ref="B31:B34"/>
    <mergeCell ref="C31:C34"/>
    <mergeCell ref="A35:A38"/>
    <mergeCell ref="B35:B38"/>
    <mergeCell ref="C35:C38"/>
    <mergeCell ref="A39:A42"/>
    <mergeCell ref="B39:B42"/>
    <mergeCell ref="C39:C42"/>
    <mergeCell ref="A43:A46"/>
    <mergeCell ref="B43:B46"/>
    <mergeCell ref="C43:C4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20247-CCD4-419E-B5AD-E0CEC59D2658}">
  <dimension ref="A1:L116"/>
  <sheetViews>
    <sheetView topLeftCell="A79" zoomScale="55" zoomScaleNormal="55" workbookViewId="0">
      <selection activeCell="L4" sqref="L4:L114"/>
    </sheetView>
  </sheetViews>
  <sheetFormatPr defaultRowHeight="15" x14ac:dyDescent="0.25"/>
  <cols>
    <col min="3" max="3" width="13.7109375" bestFit="1" customWidth="1"/>
    <col min="5" max="5" width="14.140625" bestFit="1" customWidth="1"/>
    <col min="6" max="7" width="10.28515625" bestFit="1" customWidth="1"/>
    <col min="8" max="8" width="13.85546875" bestFit="1" customWidth="1"/>
    <col min="9" max="9" width="32.28515625" bestFit="1" customWidth="1"/>
    <col min="10" max="10" width="18.28515625" bestFit="1" customWidth="1"/>
    <col min="11" max="11" width="20.28515625" bestFit="1" customWidth="1"/>
    <col min="12" max="12" width="12.7109375" bestFit="1" customWidth="1"/>
  </cols>
  <sheetData>
    <row r="1" spans="1:12" x14ac:dyDescent="0.25">
      <c r="A1" s="115" t="s">
        <v>1</v>
      </c>
      <c r="B1" s="115" t="s">
        <v>2</v>
      </c>
      <c r="C1" s="115" t="s">
        <v>3</v>
      </c>
      <c r="D1" s="115" t="s">
        <v>4</v>
      </c>
      <c r="E1" s="117" t="s">
        <v>5</v>
      </c>
      <c r="F1" s="117"/>
      <c r="G1" s="117"/>
      <c r="H1" s="117"/>
      <c r="I1" s="117"/>
      <c r="J1" s="117"/>
      <c r="K1" s="117"/>
      <c r="L1" s="117"/>
    </row>
    <row r="2" spans="1:12" x14ac:dyDescent="0.25">
      <c r="A2" s="116"/>
      <c r="B2" s="116"/>
      <c r="C2" s="116"/>
      <c r="D2" s="116"/>
      <c r="E2" s="118" t="s">
        <v>6</v>
      </c>
      <c r="F2" s="120" t="s">
        <v>7</v>
      </c>
      <c r="G2" s="120"/>
      <c r="H2" s="121" t="s">
        <v>8</v>
      </c>
      <c r="I2" s="112" t="s">
        <v>9</v>
      </c>
      <c r="J2" s="124" t="s">
        <v>10</v>
      </c>
      <c r="K2" s="111" t="s">
        <v>11</v>
      </c>
      <c r="L2" s="113" t="s">
        <v>12</v>
      </c>
    </row>
    <row r="3" spans="1:12" ht="15.75" thickBot="1" x14ac:dyDescent="0.3">
      <c r="A3" s="116"/>
      <c r="B3" s="116"/>
      <c r="C3" s="116"/>
      <c r="D3" s="116"/>
      <c r="E3" s="119"/>
      <c r="F3" s="1" t="s">
        <v>13</v>
      </c>
      <c r="G3" s="1" t="s">
        <v>14</v>
      </c>
      <c r="H3" s="122"/>
      <c r="I3" s="123"/>
      <c r="J3" s="125"/>
      <c r="K3" s="112"/>
      <c r="L3" s="114"/>
    </row>
    <row r="4" spans="1:12" ht="15.75" thickBot="1" x14ac:dyDescent="0.3">
      <c r="A4" s="102">
        <v>1</v>
      </c>
      <c r="B4" s="105" t="s">
        <v>24</v>
      </c>
      <c r="C4" s="108" t="s">
        <v>25</v>
      </c>
      <c r="D4" s="19">
        <v>2019</v>
      </c>
      <c r="E4" s="89">
        <f>'Return LQ'!G3</f>
        <v>-0.36621823617339311</v>
      </c>
      <c r="F4" s="21">
        <v>1020</v>
      </c>
      <c r="G4" s="21">
        <v>1609</v>
      </c>
      <c r="H4" s="89">
        <f>(F4-G4)/G4</f>
        <v>-0.36606587942821628</v>
      </c>
      <c r="I4" s="23">
        <f>(E4-E116)*J4</f>
        <v>0.27124547291695961</v>
      </c>
      <c r="J4" s="22">
        <f>H4-H116</f>
        <v>-0.72820401499690124</v>
      </c>
      <c r="K4" s="85">
        <f>J4*J4</f>
        <v>0.53028108745760716</v>
      </c>
      <c r="L4" s="88">
        <f>I4/K4</f>
        <v>0.51151262855219981</v>
      </c>
    </row>
    <row r="5" spans="1:12" ht="15.75" thickBot="1" x14ac:dyDescent="0.3">
      <c r="A5" s="103"/>
      <c r="B5" s="106"/>
      <c r="C5" s="109"/>
      <c r="D5" s="26">
        <v>2020</v>
      </c>
      <c r="E5" s="89">
        <f>'Return LQ'!G4</f>
        <v>-0.22641509433962265</v>
      </c>
      <c r="F5" s="28">
        <v>7889</v>
      </c>
      <c r="G5" s="28">
        <v>1020</v>
      </c>
      <c r="H5" s="89">
        <f t="shared" ref="H5:H68" si="0">(F5-G5)/G5</f>
        <v>6.7343137254901961</v>
      </c>
      <c r="I5" s="23">
        <f>(E5-E116)*J5</f>
        <v>-1.4826931604589542</v>
      </c>
      <c r="J5" s="22">
        <f>H5-H116</f>
        <v>6.3721755899215111</v>
      </c>
      <c r="K5" s="86">
        <f>J5*J5</f>
        <v>40.604621748791558</v>
      </c>
      <c r="L5" s="88">
        <f t="shared" ref="L5:L68" si="1">I5/K5</f>
        <v>-3.6515379200720691E-2</v>
      </c>
    </row>
    <row r="6" spans="1:12" ht="15.75" thickBot="1" x14ac:dyDescent="0.3">
      <c r="A6" s="103"/>
      <c r="B6" s="106"/>
      <c r="C6" s="109"/>
      <c r="D6" s="26">
        <v>2021</v>
      </c>
      <c r="E6" s="89">
        <f>'Return LQ'!G5</f>
        <v>-0.25365853658536586</v>
      </c>
      <c r="F6" s="28">
        <v>5888</v>
      </c>
      <c r="G6" s="28">
        <v>7889</v>
      </c>
      <c r="H6" s="89">
        <f t="shared" si="0"/>
        <v>-0.25364431486880468</v>
      </c>
      <c r="I6" s="23">
        <f>(E6-E116)*J6</f>
        <v>0.16005777699610077</v>
      </c>
      <c r="J6" s="22">
        <f>H6-H116</f>
        <v>-0.61578245043748958</v>
      </c>
      <c r="K6" s="86">
        <f t="shared" ref="K6:K69" si="2">J6*J6</f>
        <v>0.37918802626679932</v>
      </c>
      <c r="L6" s="88">
        <f t="shared" si="1"/>
        <v>0.42210662233169516</v>
      </c>
    </row>
    <row r="7" spans="1:12" ht="15.75" thickBot="1" x14ac:dyDescent="0.3">
      <c r="A7" s="104"/>
      <c r="B7" s="107"/>
      <c r="C7" s="110"/>
      <c r="D7" s="29">
        <v>2022</v>
      </c>
      <c r="E7" s="89">
        <f>'Return LQ'!G6</f>
        <v>-0.41176470588235292</v>
      </c>
      <c r="F7" s="31">
        <v>3463</v>
      </c>
      <c r="G7" s="31">
        <v>5888</v>
      </c>
      <c r="H7" s="89">
        <f t="shared" si="0"/>
        <v>-0.41185461956521741</v>
      </c>
      <c r="I7" s="23">
        <f>(E7-E116)*J7</f>
        <v>0.32355375453972657</v>
      </c>
      <c r="J7" s="22">
        <f>H7-H116</f>
        <v>-0.77399275513390231</v>
      </c>
      <c r="K7" s="86">
        <f t="shared" si="2"/>
        <v>0.5990647849997689</v>
      </c>
      <c r="L7" s="88">
        <f t="shared" si="1"/>
        <v>0.54009810398027547</v>
      </c>
    </row>
    <row r="8" spans="1:12" ht="15.75" thickBot="1" x14ac:dyDescent="0.3">
      <c r="A8" s="102">
        <v>2</v>
      </c>
      <c r="B8" s="94" t="s">
        <v>26</v>
      </c>
      <c r="C8" s="97">
        <v>32881</v>
      </c>
      <c r="D8" s="2">
        <v>2019</v>
      </c>
      <c r="E8" s="89">
        <f>'Return LQ'!G7</f>
        <v>-0.43396226415094341</v>
      </c>
      <c r="F8" s="4">
        <v>2442</v>
      </c>
      <c r="G8" s="4">
        <v>4315</v>
      </c>
      <c r="H8" s="89">
        <f t="shared" si="0"/>
        <v>-0.43406720741599075</v>
      </c>
      <c r="I8" s="23">
        <f>(E8-E116)*J8</f>
        <v>0.35051314199291134</v>
      </c>
      <c r="J8" s="22">
        <f>H8-H116</f>
        <v>-0.79620534298467571</v>
      </c>
      <c r="K8" s="86">
        <f t="shared" si="2"/>
        <v>0.63394294819734509</v>
      </c>
      <c r="L8" s="88">
        <f t="shared" si="1"/>
        <v>0.55290960012981694</v>
      </c>
    </row>
    <row r="9" spans="1:12" ht="15.75" thickBot="1" x14ac:dyDescent="0.3">
      <c r="A9" s="103"/>
      <c r="B9" s="95"/>
      <c r="C9" s="98"/>
      <c r="D9" s="9">
        <v>2020</v>
      </c>
      <c r="E9" s="89">
        <f>'Return LQ'!G8</f>
        <v>-0.28333333333333333</v>
      </c>
      <c r="F9" s="11">
        <v>1750</v>
      </c>
      <c r="G9" s="11">
        <v>2442</v>
      </c>
      <c r="H9" s="89">
        <f t="shared" si="0"/>
        <v>-0.28337428337428339</v>
      </c>
      <c r="I9" s="23">
        <f>(E9-E116)*J9</f>
        <v>0.18694081416807487</v>
      </c>
      <c r="J9" s="22">
        <f>H9-H116</f>
        <v>-0.6455124189429684</v>
      </c>
      <c r="K9" s="86">
        <f t="shared" si="2"/>
        <v>0.41668628300960237</v>
      </c>
      <c r="L9" s="88">
        <f t="shared" si="1"/>
        <v>0.44863683252987452</v>
      </c>
    </row>
    <row r="10" spans="1:12" ht="15.75" thickBot="1" x14ac:dyDescent="0.3">
      <c r="A10" s="103"/>
      <c r="B10" s="95"/>
      <c r="C10" s="98"/>
      <c r="D10" s="9">
        <v>2021</v>
      </c>
      <c r="E10" s="89">
        <f>'Return LQ'!G9</f>
        <v>-0.35880398671096347</v>
      </c>
      <c r="F10" s="11">
        <v>9770</v>
      </c>
      <c r="G10" s="11">
        <v>1750</v>
      </c>
      <c r="H10" s="89">
        <f t="shared" si="0"/>
        <v>4.5828571428571427</v>
      </c>
      <c r="I10" s="23">
        <f>(E10-E116)*J10</f>
        <v>-1.5408633764909749</v>
      </c>
      <c r="J10" s="22">
        <f>H10-H116</f>
        <v>4.2207190072884577</v>
      </c>
      <c r="K10" s="86">
        <f t="shared" si="2"/>
        <v>17.814468938486065</v>
      </c>
      <c r="L10" s="88">
        <f t="shared" si="1"/>
        <v>-8.6495049715578143E-2</v>
      </c>
    </row>
    <row r="11" spans="1:12" ht="15.75" thickBot="1" x14ac:dyDescent="0.3">
      <c r="A11" s="104"/>
      <c r="B11" s="96"/>
      <c r="C11" s="99"/>
      <c r="D11" s="12">
        <v>2022</v>
      </c>
      <c r="E11" s="89">
        <f>'Return LQ'!G10</f>
        <v>-0.12953367875647667</v>
      </c>
      <c r="F11" s="14">
        <v>1122</v>
      </c>
      <c r="G11" s="14">
        <v>9770</v>
      </c>
      <c r="H11" s="89">
        <f t="shared" si="0"/>
        <v>-0.88515864892528151</v>
      </c>
      <c r="I11" s="23">
        <f>(E11-E116)*J11</f>
        <v>0.16938414117208275</v>
      </c>
      <c r="J11" s="22">
        <f>H11-H116</f>
        <v>-1.2472967844939664</v>
      </c>
      <c r="K11" s="86">
        <f t="shared" si="2"/>
        <v>1.555749268608988</v>
      </c>
      <c r="L11" s="88">
        <f t="shared" si="1"/>
        <v>0.10887624669978532</v>
      </c>
    </row>
    <row r="12" spans="1:12" ht="15.75" thickBot="1" x14ac:dyDescent="0.3">
      <c r="A12" s="102">
        <v>3</v>
      </c>
      <c r="B12" s="94" t="s">
        <v>43</v>
      </c>
      <c r="C12" s="97" t="s">
        <v>44</v>
      </c>
      <c r="D12" s="2">
        <v>2019</v>
      </c>
      <c r="E12" s="89">
        <f>'Return LQ'!G11</f>
        <v>6.3758389261744972E-2</v>
      </c>
      <c r="F12" s="4">
        <v>6958</v>
      </c>
      <c r="G12" s="4">
        <v>6541</v>
      </c>
      <c r="H12" s="89">
        <f t="shared" si="0"/>
        <v>6.3751719920501451E-2</v>
      </c>
      <c r="I12" s="23">
        <f>(E12-E116)*J12</f>
        <v>-1.71545559805821E-2</v>
      </c>
      <c r="J12" s="22">
        <f>H12-H116</f>
        <v>-0.29838641564818352</v>
      </c>
      <c r="K12" s="86">
        <f t="shared" si="2"/>
        <v>8.9034453043370543E-2</v>
      </c>
      <c r="L12" s="88">
        <f t="shared" si="1"/>
        <v>-0.1926732337225204</v>
      </c>
    </row>
    <row r="13" spans="1:12" ht="15.75" thickBot="1" x14ac:dyDescent="0.3">
      <c r="A13" s="103"/>
      <c r="B13" s="95"/>
      <c r="C13" s="98"/>
      <c r="D13" s="9">
        <v>2020</v>
      </c>
      <c r="E13" s="89">
        <f>'Return LQ'!G12</f>
        <v>-0.13564668769716087</v>
      </c>
      <c r="F13" s="11">
        <v>6015</v>
      </c>
      <c r="G13" s="11">
        <v>6958</v>
      </c>
      <c r="H13" s="89">
        <f t="shared" si="0"/>
        <v>-0.13552745041678643</v>
      </c>
      <c r="I13" s="23">
        <f>(E13-E116)*J13</f>
        <v>7.0625714644923288E-2</v>
      </c>
      <c r="J13" s="22">
        <f>H13-H116</f>
        <v>-0.49766558598547139</v>
      </c>
      <c r="K13" s="86">
        <f t="shared" si="2"/>
        <v>0.24767103547426261</v>
      </c>
      <c r="L13" s="88">
        <f t="shared" si="1"/>
        <v>0.28515936273970377</v>
      </c>
    </row>
    <row r="14" spans="1:12" ht="15.75" thickBot="1" x14ac:dyDescent="0.3">
      <c r="A14" s="103"/>
      <c r="B14" s="95"/>
      <c r="C14" s="98"/>
      <c r="D14" s="9">
        <v>2021</v>
      </c>
      <c r="E14" s="89">
        <f>'Return LQ'!G13</f>
        <v>-7.6642335766423361E-2</v>
      </c>
      <c r="F14" s="11">
        <v>5554</v>
      </c>
      <c r="G14" s="11">
        <v>6015</v>
      </c>
      <c r="H14" s="89">
        <f t="shared" si="0"/>
        <v>-7.664172901080632E-2</v>
      </c>
      <c r="I14" s="23">
        <f>(E14-E116)*J14</f>
        <v>3.6379084747631657E-2</v>
      </c>
      <c r="J14" s="22">
        <f>H14-H116</f>
        <v>-0.43877986457949125</v>
      </c>
      <c r="K14" s="86">
        <f t="shared" si="2"/>
        <v>0.19252776956039669</v>
      </c>
      <c r="L14" s="88">
        <f t="shared" si="1"/>
        <v>0.18895500026150461</v>
      </c>
    </row>
    <row r="15" spans="1:12" ht="15.75" thickBot="1" x14ac:dyDescent="0.3">
      <c r="A15" s="104"/>
      <c r="B15" s="96"/>
      <c r="C15" s="99"/>
      <c r="D15" s="12">
        <v>2022</v>
      </c>
      <c r="E15" s="89">
        <f>'Return LQ'!G14</f>
        <v>6.3241106719367585E-2</v>
      </c>
      <c r="F15" s="14">
        <v>5904</v>
      </c>
      <c r="G15" s="14">
        <v>5554</v>
      </c>
      <c r="H15" s="89">
        <f t="shared" si="0"/>
        <v>6.3017644940583359E-2</v>
      </c>
      <c r="I15" s="23">
        <f>(E15-E116)*J15</f>
        <v>-1.704202893288069E-2</v>
      </c>
      <c r="J15" s="22">
        <f>H15-H116</f>
        <v>-0.29912049062810159</v>
      </c>
      <c r="K15" s="86">
        <f t="shared" si="2"/>
        <v>8.9473067913596216E-2</v>
      </c>
      <c r="L15" s="88">
        <f t="shared" si="1"/>
        <v>-0.19047104710143739</v>
      </c>
    </row>
    <row r="16" spans="1:12" ht="15.75" thickBot="1" x14ac:dyDescent="0.3">
      <c r="A16" s="102">
        <v>4</v>
      </c>
      <c r="B16" s="105" t="s">
        <v>45</v>
      </c>
      <c r="C16" s="108">
        <v>39428</v>
      </c>
      <c r="D16" s="19">
        <v>2019</v>
      </c>
      <c r="E16" s="89">
        <f>'Return LQ'!G15</f>
        <v>0.20911214953271029</v>
      </c>
      <c r="F16" s="21">
        <v>3756</v>
      </c>
      <c r="G16" s="21">
        <v>3107</v>
      </c>
      <c r="H16" s="89">
        <f t="shared" si="0"/>
        <v>0.20888316704216287</v>
      </c>
      <c r="I16" s="23">
        <f>(E16-E116)*J16</f>
        <v>-3.1086978937449352E-2</v>
      </c>
      <c r="J16" s="22">
        <f>H16-H116</f>
        <v>-0.1532549685265221</v>
      </c>
      <c r="K16" s="86">
        <f t="shared" si="2"/>
        <v>2.3487085378065278E-2</v>
      </c>
      <c r="L16" s="88">
        <f t="shared" si="1"/>
        <v>-1.3235775506858616</v>
      </c>
    </row>
    <row r="17" spans="1:12" ht="15.75" thickBot="1" x14ac:dyDescent="0.3">
      <c r="A17" s="103"/>
      <c r="B17" s="106"/>
      <c r="C17" s="109"/>
      <c r="D17" s="26">
        <v>2020</v>
      </c>
      <c r="E17" s="89">
        <f>'Return LQ'!G16</f>
        <v>-0.10531400966183575</v>
      </c>
      <c r="F17" s="28">
        <v>3360</v>
      </c>
      <c r="G17" s="28">
        <v>3756</v>
      </c>
      <c r="H17" s="89">
        <f t="shared" si="0"/>
        <v>-0.10543130990415335</v>
      </c>
      <c r="I17" s="23">
        <f>(E17-E116)*J17</f>
        <v>5.2172017470686942E-2</v>
      </c>
      <c r="J17" s="22">
        <f>H17-H116</f>
        <v>-0.4675694454728383</v>
      </c>
      <c r="K17" s="86">
        <f t="shared" si="2"/>
        <v>0.21862118633977751</v>
      </c>
      <c r="L17" s="88">
        <f t="shared" si="1"/>
        <v>0.23864117812260902</v>
      </c>
    </row>
    <row r="18" spans="1:12" ht="15.75" thickBot="1" x14ac:dyDescent="0.3">
      <c r="A18" s="103"/>
      <c r="B18" s="106"/>
      <c r="C18" s="109"/>
      <c r="D18" s="26">
        <v>2021</v>
      </c>
      <c r="E18" s="89">
        <f>'Return LQ'!G17</f>
        <v>-0.15982721382289417</v>
      </c>
      <c r="F18" s="28">
        <v>2820</v>
      </c>
      <c r="G18" s="28">
        <v>3360</v>
      </c>
      <c r="H18" s="89">
        <f t="shared" si="0"/>
        <v>-0.16071428571428573</v>
      </c>
      <c r="I18" s="23">
        <f>(E18-E116)*J18</f>
        <v>8.6842925856249392E-2</v>
      </c>
      <c r="J18" s="22">
        <f>H18-H116</f>
        <v>-0.52285242128297071</v>
      </c>
      <c r="K18" s="86">
        <f t="shared" si="2"/>
        <v>0.27337465444146508</v>
      </c>
      <c r="L18" s="88">
        <f t="shared" si="1"/>
        <v>0.31766999773142529</v>
      </c>
    </row>
    <row r="19" spans="1:12" ht="15.75" thickBot="1" x14ac:dyDescent="0.3">
      <c r="A19" s="104"/>
      <c r="B19" s="107"/>
      <c r="C19" s="110"/>
      <c r="D19" s="29">
        <v>2022</v>
      </c>
      <c r="E19" s="89">
        <f>'Return LQ'!G18</f>
        <v>-0.23393316195372751</v>
      </c>
      <c r="F19" s="31">
        <v>2163</v>
      </c>
      <c r="G19" s="31">
        <v>2820</v>
      </c>
      <c r="H19" s="89">
        <f t="shared" si="0"/>
        <v>-0.23297872340425532</v>
      </c>
      <c r="I19" s="23">
        <f>(E19-E116)*J19</f>
        <v>0.1429473525710106</v>
      </c>
      <c r="J19" s="22">
        <f>H19-H116</f>
        <v>-0.59511685897294031</v>
      </c>
      <c r="K19" s="86">
        <f t="shared" si="2"/>
        <v>0.35416407583381854</v>
      </c>
      <c r="L19" s="88">
        <f t="shared" si="1"/>
        <v>0.40361900690934166</v>
      </c>
    </row>
    <row r="20" spans="1:12" ht="15.75" thickBot="1" x14ac:dyDescent="0.3">
      <c r="A20" s="102">
        <v>5</v>
      </c>
      <c r="B20" s="94" t="s">
        <v>27</v>
      </c>
      <c r="C20" s="97" t="s">
        <v>28</v>
      </c>
      <c r="D20" s="2">
        <v>2019</v>
      </c>
      <c r="E20" s="89">
        <f>'Return LQ'!G19</f>
        <v>6.5789473684210523E-2</v>
      </c>
      <c r="F20" s="4">
        <v>7593</v>
      </c>
      <c r="G20" s="4">
        <v>7125</v>
      </c>
      <c r="H20" s="89">
        <f t="shared" si="0"/>
        <v>6.5684210526315789E-2</v>
      </c>
      <c r="I20" s="23">
        <f>(E20-E116)*J20</f>
        <v>-1.7645577966195772E-2</v>
      </c>
      <c r="J20" s="22">
        <f>H20-H116</f>
        <v>-0.29645392504236917</v>
      </c>
      <c r="K20" s="86">
        <f t="shared" si="2"/>
        <v>8.7884929673026635E-2</v>
      </c>
      <c r="L20" s="88">
        <f t="shared" si="1"/>
        <v>-0.20078047546770122</v>
      </c>
    </row>
    <row r="21" spans="1:12" ht="15.75" thickBot="1" x14ac:dyDescent="0.3">
      <c r="A21" s="103"/>
      <c r="B21" s="95"/>
      <c r="C21" s="98"/>
      <c r="D21" s="9">
        <v>2020</v>
      </c>
      <c r="E21" s="89">
        <f>'Return LQ'!G20</f>
        <v>-8.6419753086419748E-2</v>
      </c>
      <c r="F21" s="11">
        <v>6938</v>
      </c>
      <c r="G21" s="11">
        <v>7593</v>
      </c>
      <c r="H21" s="89">
        <f t="shared" si="0"/>
        <v>-8.6263663900961407E-2</v>
      </c>
      <c r="I21" s="23">
        <f>(E21-E116)*J21</f>
        <v>4.1561047516629757E-2</v>
      </c>
      <c r="J21" s="22">
        <f>H21-H116</f>
        <v>-0.44840179946964637</v>
      </c>
      <c r="K21" s="86">
        <f t="shared" si="2"/>
        <v>0.20106417376761695</v>
      </c>
      <c r="L21" s="88">
        <f t="shared" si="1"/>
        <v>0.20670538533963084</v>
      </c>
    </row>
    <row r="22" spans="1:12" ht="15.75" thickBot="1" x14ac:dyDescent="0.3">
      <c r="A22" s="103"/>
      <c r="B22" s="95"/>
      <c r="C22" s="98"/>
      <c r="D22" s="9">
        <v>2021</v>
      </c>
      <c r="E22" s="89">
        <f>'Return LQ'!G21</f>
        <v>9.1216216216216214E-2</v>
      </c>
      <c r="F22" s="11">
        <v>7570</v>
      </c>
      <c r="G22" s="11">
        <v>6938</v>
      </c>
      <c r="H22" s="89">
        <f t="shared" si="0"/>
        <v>9.1092533871432693E-2</v>
      </c>
      <c r="I22" s="23">
        <f>(E22-E116)*J22</f>
        <v>-2.302502640688785E-2</v>
      </c>
      <c r="J22" s="22">
        <f>H22-H116</f>
        <v>-0.27104560169725228</v>
      </c>
      <c r="K22" s="86">
        <f t="shared" si="2"/>
        <v>7.3465718199425531E-2</v>
      </c>
      <c r="L22" s="88">
        <f t="shared" si="1"/>
        <v>-0.31341184665731475</v>
      </c>
    </row>
    <row r="23" spans="1:12" ht="15.75" thickBot="1" x14ac:dyDescent="0.3">
      <c r="A23" s="104"/>
      <c r="B23" s="96"/>
      <c r="C23" s="99"/>
      <c r="D23" s="12">
        <v>2022</v>
      </c>
      <c r="E23" s="89">
        <f>'Return LQ'!G22</f>
        <v>0.29411764705882354</v>
      </c>
      <c r="F23" s="14">
        <v>9667</v>
      </c>
      <c r="G23" s="14">
        <v>7570</v>
      </c>
      <c r="H23" s="89">
        <f t="shared" si="0"/>
        <v>0.27701453104359314</v>
      </c>
      <c r="I23" s="23">
        <f>(E23-E116)*J23</f>
        <v>-2.4502857942662614E-2</v>
      </c>
      <c r="J23" s="22">
        <f>H23-H116</f>
        <v>-8.5123604525091823E-2</v>
      </c>
      <c r="K23" s="86">
        <f t="shared" si="2"/>
        <v>7.2460280473442334E-3</v>
      </c>
      <c r="L23" s="88">
        <f t="shared" si="1"/>
        <v>-3.3815571486289291</v>
      </c>
    </row>
    <row r="24" spans="1:12" ht="15.75" thickBot="1" x14ac:dyDescent="0.3">
      <c r="A24" s="102">
        <v>6</v>
      </c>
      <c r="B24" s="105" t="s">
        <v>46</v>
      </c>
      <c r="C24" s="108">
        <v>33059</v>
      </c>
      <c r="D24" s="19">
        <v>2019</v>
      </c>
      <c r="E24" s="89">
        <f>'Return LQ'!G23</f>
        <v>0.24844720453098787</v>
      </c>
      <c r="F24" s="21">
        <v>14499</v>
      </c>
      <c r="G24" s="21">
        <v>11614</v>
      </c>
      <c r="H24" s="89">
        <f t="shared" si="0"/>
        <v>0.24840709488548304</v>
      </c>
      <c r="I24" s="23">
        <f>(E24-E116)*J24</f>
        <v>-2.7543371021308844E-2</v>
      </c>
      <c r="J24" s="22">
        <f>H24-H116</f>
        <v>-0.11373104068320192</v>
      </c>
      <c r="K24" s="86">
        <f t="shared" si="2"/>
        <v>1.293474961488413E-2</v>
      </c>
      <c r="L24" s="88">
        <f t="shared" si="1"/>
        <v>-2.1294089055743641</v>
      </c>
    </row>
    <row r="25" spans="1:12" ht="15.75" thickBot="1" x14ac:dyDescent="0.3">
      <c r="A25" s="103"/>
      <c r="B25" s="106"/>
      <c r="C25" s="109"/>
      <c r="D25" s="26">
        <v>2020</v>
      </c>
      <c r="E25" s="89">
        <f>'Return LQ'!G24</f>
        <v>-0.19900497484338844</v>
      </c>
      <c r="F25" s="28">
        <v>12118</v>
      </c>
      <c r="G25" s="28">
        <v>14499</v>
      </c>
      <c r="H25" s="89">
        <f t="shared" si="0"/>
        <v>-0.16421822194634111</v>
      </c>
      <c r="I25" s="23">
        <f>(E25-E116)*J25</f>
        <v>0.10804637407538414</v>
      </c>
      <c r="J25" s="22">
        <f>H25-H116</f>
        <v>-0.52635635751502607</v>
      </c>
      <c r="K25" s="86">
        <f t="shared" si="2"/>
        <v>0.27705101509648594</v>
      </c>
      <c r="L25" s="88">
        <f t="shared" si="1"/>
        <v>0.38998728821749978</v>
      </c>
    </row>
    <row r="26" spans="1:12" ht="15.75" thickBot="1" x14ac:dyDescent="0.3">
      <c r="A26" s="103"/>
      <c r="B26" s="106"/>
      <c r="C26" s="109"/>
      <c r="D26" s="26">
        <v>2021</v>
      </c>
      <c r="E26" s="89">
        <f>'Return LQ'!G25</f>
        <v>7.0484507570011345E-2</v>
      </c>
      <c r="F26" s="28">
        <v>13785</v>
      </c>
      <c r="G26" s="28">
        <v>12118</v>
      </c>
      <c r="H26" s="89">
        <f t="shared" si="0"/>
        <v>0.13756395444792871</v>
      </c>
      <c r="I26" s="23">
        <f>(E26-E116)*J26</f>
        <v>-1.4421523736227676E-2</v>
      </c>
      <c r="J26" s="22">
        <f>H26-H116</f>
        <v>-0.22457418112075625</v>
      </c>
      <c r="K26" s="86">
        <f t="shared" si="2"/>
        <v>5.043356282605823E-2</v>
      </c>
      <c r="L26" s="88">
        <f t="shared" si="1"/>
        <v>-0.28595092093664859</v>
      </c>
    </row>
    <row r="27" spans="1:12" ht="15.75" thickBot="1" x14ac:dyDescent="0.3">
      <c r="A27" s="104"/>
      <c r="B27" s="107"/>
      <c r="C27" s="110"/>
      <c r="D27" s="29">
        <v>2022</v>
      </c>
      <c r="E27" s="89">
        <f>'Return LQ'!G26</f>
        <v>-0.27544910179640719</v>
      </c>
      <c r="F27" s="31">
        <v>9988</v>
      </c>
      <c r="G27" s="31">
        <v>13785</v>
      </c>
      <c r="H27" s="89">
        <f t="shared" si="0"/>
        <v>-0.27544432354007981</v>
      </c>
      <c r="I27" s="23">
        <f>(E27-E116)*J27</f>
        <v>0.17961744493796261</v>
      </c>
      <c r="J27" s="22">
        <f>H27-H116</f>
        <v>-0.63758245910876477</v>
      </c>
      <c r="K27" s="86">
        <f t="shared" si="2"/>
        <v>0.40651139216317972</v>
      </c>
      <c r="L27" s="88">
        <f t="shared" si="1"/>
        <v>0.44185095030709864</v>
      </c>
    </row>
    <row r="28" spans="1:12" ht="15.75" thickBot="1" x14ac:dyDescent="0.3">
      <c r="A28" s="102">
        <v>7</v>
      </c>
      <c r="B28" s="94" t="s">
        <v>52</v>
      </c>
      <c r="C28" s="97">
        <v>39244</v>
      </c>
      <c r="D28" s="2">
        <v>2019</v>
      </c>
      <c r="E28" s="89">
        <f>'Return LQ'!G27</f>
        <v>3.3557046979865771E-3</v>
      </c>
      <c r="F28" s="4">
        <v>2563</v>
      </c>
      <c r="G28" s="4">
        <v>2555</v>
      </c>
      <c r="H28" s="89">
        <f t="shared" si="0"/>
        <v>3.1311154598825833E-3</v>
      </c>
      <c r="I28" s="23">
        <f>(E28-E116)*J28</f>
        <v>1.0452880571520426E-3</v>
      </c>
      <c r="J28" s="22">
        <f>H28-H116</f>
        <v>-0.35900702010880237</v>
      </c>
      <c r="K28" s="86">
        <f t="shared" si="2"/>
        <v>0.12888604048740201</v>
      </c>
      <c r="L28" s="88">
        <f t="shared" si="1"/>
        <v>8.1101727789846603E-3</v>
      </c>
    </row>
    <row r="29" spans="1:12" ht="15.75" thickBot="1" x14ac:dyDescent="0.3">
      <c r="A29" s="103"/>
      <c r="B29" s="95"/>
      <c r="C29" s="98"/>
      <c r="D29" s="9">
        <v>2020</v>
      </c>
      <c r="E29" s="89">
        <f>'Return LQ'!G28</f>
        <v>0.14715719063545152</v>
      </c>
      <c r="F29" s="11">
        <v>3052</v>
      </c>
      <c r="G29" s="11">
        <v>2563</v>
      </c>
      <c r="H29" s="89">
        <f t="shared" si="0"/>
        <v>0.19079204057744831</v>
      </c>
      <c r="I29" s="23">
        <f>(E29-E116)*J29</f>
        <v>-2.4140930243550091E-2</v>
      </c>
      <c r="J29" s="22">
        <f>H29-H116</f>
        <v>-0.17134609499123665</v>
      </c>
      <c r="K29" s="86">
        <f t="shared" si="2"/>
        <v>2.9359484268745895E-2</v>
      </c>
      <c r="L29" s="88">
        <f t="shared" si="1"/>
        <v>-0.82225321203100554</v>
      </c>
    </row>
    <row r="30" spans="1:12" ht="15.75" thickBot="1" x14ac:dyDescent="0.3">
      <c r="A30" s="103"/>
      <c r="B30" s="95"/>
      <c r="C30" s="98"/>
      <c r="D30" s="9">
        <v>2021</v>
      </c>
      <c r="E30" s="89">
        <f>'Return LQ'!G29</f>
        <v>-0.25364431486880468</v>
      </c>
      <c r="F30" s="11">
        <v>2192</v>
      </c>
      <c r="G30" s="11">
        <v>3052</v>
      </c>
      <c r="H30" s="89">
        <f t="shared" si="0"/>
        <v>-0.28178243774574052</v>
      </c>
      <c r="I30" s="23">
        <f>(E30-E116)*J30</f>
        <v>0.16736244485331359</v>
      </c>
      <c r="J30" s="22">
        <f>H30-H116</f>
        <v>-0.64392057331442554</v>
      </c>
      <c r="K30" s="86">
        <f t="shared" si="2"/>
        <v>0.41463370473757849</v>
      </c>
      <c r="L30" s="88">
        <f t="shared" si="1"/>
        <v>0.40363926748125123</v>
      </c>
    </row>
    <row r="31" spans="1:12" ht="15.75" thickBot="1" x14ac:dyDescent="0.3">
      <c r="A31" s="104"/>
      <c r="B31" s="96"/>
      <c r="C31" s="99"/>
      <c r="D31" s="12">
        <v>2022</v>
      </c>
      <c r="E31" s="89">
        <f>'Return LQ'!G30</f>
        <v>-0.61250000000000004</v>
      </c>
      <c r="F31" s="14">
        <v>8506</v>
      </c>
      <c r="G31" s="14">
        <v>2192</v>
      </c>
      <c r="H31" s="89">
        <f t="shared" si="0"/>
        <v>2.8804744525547443</v>
      </c>
      <c r="I31" s="23">
        <f>(E31-E116)*J31</f>
        <v>-1.5582641977537246</v>
      </c>
      <c r="J31" s="22">
        <f>H31-H116</f>
        <v>2.5183363169860593</v>
      </c>
      <c r="K31" s="86">
        <f t="shared" si="2"/>
        <v>6.3420178054509098</v>
      </c>
      <c r="L31" s="88">
        <f t="shared" si="1"/>
        <v>-0.24570479704651885</v>
      </c>
    </row>
    <row r="32" spans="1:12" ht="15.75" thickBot="1" x14ac:dyDescent="0.3">
      <c r="A32" s="102">
        <v>8</v>
      </c>
      <c r="B32" s="94" t="s">
        <v>53</v>
      </c>
      <c r="C32" s="97" t="s">
        <v>54</v>
      </c>
      <c r="D32" s="2">
        <v>2019</v>
      </c>
      <c r="E32" s="89">
        <f>'Return LQ'!G31</f>
        <v>9.8039215686274508E-2</v>
      </c>
      <c r="F32" s="4">
        <v>2019</v>
      </c>
      <c r="G32" s="4">
        <v>1838</v>
      </c>
      <c r="H32" s="89">
        <f t="shared" si="0"/>
        <v>9.8476605005440698E-2</v>
      </c>
      <c r="I32" s="23">
        <f>(E32-E116)*J32</f>
        <v>-2.4196720150964145E-2</v>
      </c>
      <c r="J32" s="22">
        <f>H32-H116</f>
        <v>-0.26366153056324426</v>
      </c>
      <c r="K32" s="86">
        <f t="shared" si="2"/>
        <v>6.9517402698952582E-2</v>
      </c>
      <c r="L32" s="88">
        <f t="shared" si="1"/>
        <v>-0.34806709128286689</v>
      </c>
    </row>
    <row r="33" spans="1:12" ht="15.75" thickBot="1" x14ac:dyDescent="0.3">
      <c r="A33" s="103"/>
      <c r="B33" s="95"/>
      <c r="C33" s="98"/>
      <c r="D33" s="9">
        <v>2020</v>
      </c>
      <c r="E33" s="89">
        <f>'Return LQ'!G32</f>
        <v>1.3035714285714286</v>
      </c>
      <c r="F33" s="11">
        <v>4650</v>
      </c>
      <c r="G33" s="11">
        <v>2019</v>
      </c>
      <c r="H33" s="89">
        <f t="shared" si="0"/>
        <v>1.3031203566121843</v>
      </c>
      <c r="I33" s="23">
        <f>(E33-E116)*J33</f>
        <v>1.220740107418286</v>
      </c>
      <c r="J33" s="22">
        <f>H33-H116</f>
        <v>0.94098222104349927</v>
      </c>
      <c r="K33" s="86">
        <f t="shared" si="2"/>
        <v>0.88544754031995687</v>
      </c>
      <c r="L33" s="88">
        <f t="shared" si="1"/>
        <v>1.3786701660238065</v>
      </c>
    </row>
    <row r="34" spans="1:12" ht="15.75" thickBot="1" x14ac:dyDescent="0.3">
      <c r="A34" s="103"/>
      <c r="B34" s="95"/>
      <c r="C34" s="98"/>
      <c r="D34" s="9">
        <v>2021</v>
      </c>
      <c r="E34" s="89">
        <f>'Return LQ'!G33</f>
        <v>0.16279069767441862</v>
      </c>
      <c r="F34" s="11">
        <v>5407</v>
      </c>
      <c r="G34" s="11">
        <v>4650</v>
      </c>
      <c r="H34" s="89">
        <f t="shared" si="0"/>
        <v>0.16279569892473117</v>
      </c>
      <c r="I34" s="23">
        <f>(E34-E116)*J34</f>
        <v>-3.1201752761203974E-2</v>
      </c>
      <c r="J34" s="22">
        <f>H34-H116</f>
        <v>-0.19934243664395379</v>
      </c>
      <c r="K34" s="86">
        <f t="shared" si="2"/>
        <v>3.9737407047148732E-2</v>
      </c>
      <c r="L34" s="88">
        <f t="shared" si="1"/>
        <v>-0.78519850890579901</v>
      </c>
    </row>
    <row r="35" spans="1:12" ht="15.75" thickBot="1" x14ac:dyDescent="0.3">
      <c r="A35" s="104"/>
      <c r="B35" s="96"/>
      <c r="C35" s="99"/>
      <c r="D35" s="12">
        <v>2022</v>
      </c>
      <c r="E35" s="89">
        <f>'Return LQ'!G34</f>
        <v>-0.11777777777777777</v>
      </c>
      <c r="F35" s="14">
        <v>4770</v>
      </c>
      <c r="G35" s="14">
        <v>5407</v>
      </c>
      <c r="H35" s="89">
        <f t="shared" si="0"/>
        <v>-0.11781024597743665</v>
      </c>
      <c r="I35" s="23">
        <f>(E35-E116)*J35</f>
        <v>5.9535240874272054E-2</v>
      </c>
      <c r="J35" s="22">
        <f>H35-H116</f>
        <v>-0.47994838154612163</v>
      </c>
      <c r="K35" s="86">
        <f t="shared" si="2"/>
        <v>0.23035044894874154</v>
      </c>
      <c r="L35" s="88">
        <f t="shared" si="1"/>
        <v>0.25845506768480431</v>
      </c>
    </row>
    <row r="36" spans="1:12" ht="15.75" thickBot="1" x14ac:dyDescent="0.3">
      <c r="A36" s="102">
        <v>9</v>
      </c>
      <c r="B36" s="94" t="s">
        <v>47</v>
      </c>
      <c r="C36" s="97" t="s">
        <v>48</v>
      </c>
      <c r="D36" s="2">
        <v>2019</v>
      </c>
      <c r="E36" s="89">
        <f>'Return LQ'!G35</f>
        <v>0.70833333333333337</v>
      </c>
      <c r="F36" s="4">
        <v>27868</v>
      </c>
      <c r="G36" s="4">
        <v>16313</v>
      </c>
      <c r="H36" s="89">
        <f t="shared" si="0"/>
        <v>0.70833077913320663</v>
      </c>
      <c r="I36" s="23">
        <f>(E36-E116)*J36</f>
        <v>0.24305009130755445</v>
      </c>
      <c r="J36" s="22">
        <f>H36-H116</f>
        <v>0.34619264356452167</v>
      </c>
      <c r="K36" s="86">
        <f t="shared" si="2"/>
        <v>0.11984934645819195</v>
      </c>
      <c r="L36" s="88">
        <f t="shared" si="1"/>
        <v>2.0279634265034532</v>
      </c>
    </row>
    <row r="37" spans="1:12" ht="15.75" thickBot="1" x14ac:dyDescent="0.3">
      <c r="A37" s="103"/>
      <c r="B37" s="95"/>
      <c r="C37" s="98"/>
      <c r="D37" s="9">
        <v>2020</v>
      </c>
      <c r="E37" s="89">
        <f>'Return LQ'!G36</f>
        <v>0.32520325203252032</v>
      </c>
      <c r="F37" s="11">
        <v>36930</v>
      </c>
      <c r="G37" s="11">
        <v>27868</v>
      </c>
      <c r="H37" s="89">
        <f t="shared" si="0"/>
        <v>0.32517582890770774</v>
      </c>
      <c r="I37" s="23">
        <f>(E37-E116)*J37</f>
        <v>-1.1788607959333942E-2</v>
      </c>
      <c r="J37" s="22">
        <f>H37-H116</f>
        <v>-3.6962306660977218E-2</v>
      </c>
      <c r="K37" s="86">
        <f t="shared" si="2"/>
        <v>1.3662121137001208E-3</v>
      </c>
      <c r="L37" s="88">
        <f t="shared" si="1"/>
        <v>-8.6286805988030526</v>
      </c>
    </row>
    <row r="38" spans="1:12" ht="15.75" thickBot="1" x14ac:dyDescent="0.3">
      <c r="A38" s="103"/>
      <c r="B38" s="95"/>
      <c r="C38" s="98"/>
      <c r="D38" s="9">
        <v>2021</v>
      </c>
      <c r="E38" s="89">
        <f>'Return LQ'!G37</f>
        <v>0.80981595092024539</v>
      </c>
      <c r="F38" s="11">
        <v>66838</v>
      </c>
      <c r="G38" s="11">
        <v>36930</v>
      </c>
      <c r="H38" s="89">
        <f t="shared" si="0"/>
        <v>0.80985648524235043</v>
      </c>
      <c r="I38" s="23">
        <f>(E38-E116)*J38</f>
        <v>0.35976346975670798</v>
      </c>
      <c r="J38" s="22">
        <f>H38-H116</f>
        <v>0.44771834967366547</v>
      </c>
      <c r="K38" s="86">
        <f t="shared" si="2"/>
        <v>0.20045172063451058</v>
      </c>
      <c r="L38" s="88">
        <f t="shared" si="1"/>
        <v>1.7947636898197303</v>
      </c>
    </row>
    <row r="39" spans="1:12" ht="15.75" thickBot="1" x14ac:dyDescent="0.3">
      <c r="A39" s="104"/>
      <c r="B39" s="96"/>
      <c r="C39" s="99"/>
      <c r="D39" s="12">
        <v>2022</v>
      </c>
      <c r="E39" s="89">
        <f>'Return LQ'!G38</f>
        <v>-0.22033898305084745</v>
      </c>
      <c r="F39" s="14">
        <v>52111</v>
      </c>
      <c r="G39" s="14">
        <v>66838</v>
      </c>
      <c r="H39" s="89">
        <f t="shared" si="0"/>
        <v>-0.22033872946527425</v>
      </c>
      <c r="I39" s="23">
        <f>(E39-E116)*J39</f>
        <v>0.13199292530505313</v>
      </c>
      <c r="J39" s="22">
        <f>H39-H116</f>
        <v>-0.58247686503395923</v>
      </c>
      <c r="K39" s="86">
        <f t="shared" si="2"/>
        <v>0.33927929829978914</v>
      </c>
      <c r="L39" s="88">
        <f t="shared" si="1"/>
        <v>0.38903913668326273</v>
      </c>
    </row>
    <row r="40" spans="1:12" ht="15.75" thickBot="1" x14ac:dyDescent="0.3">
      <c r="A40" s="102">
        <v>10</v>
      </c>
      <c r="B40" s="94" t="s">
        <v>49</v>
      </c>
      <c r="C40" s="97">
        <v>40393</v>
      </c>
      <c r="D40" s="2">
        <v>2019</v>
      </c>
      <c r="E40" s="89">
        <f>'Return LQ'!G39</f>
        <v>0.16666666666666666</v>
      </c>
      <c r="F40" s="4">
        <v>4107</v>
      </c>
      <c r="G40" s="4">
        <v>3520</v>
      </c>
      <c r="H40" s="89">
        <f t="shared" si="0"/>
        <v>0.16676136363636362</v>
      </c>
      <c r="I40" s="23">
        <f>(E40-E116)*J40</f>
        <v>-3.1338307810487645E-2</v>
      </c>
      <c r="J40" s="22">
        <f>H40-H116</f>
        <v>-0.19537677193232134</v>
      </c>
      <c r="K40" s="86">
        <f t="shared" si="2"/>
        <v>3.8172083010694309E-2</v>
      </c>
      <c r="L40" s="88">
        <f t="shared" si="1"/>
        <v>-0.82097452742382149</v>
      </c>
    </row>
    <row r="41" spans="1:12" ht="15.75" thickBot="1" x14ac:dyDescent="0.3">
      <c r="A41" s="103"/>
      <c r="B41" s="95"/>
      <c r="C41" s="98"/>
      <c r="D41" s="9">
        <v>2020</v>
      </c>
      <c r="E41" s="89">
        <f>'Return LQ'!G40</f>
        <v>0.19254658385093168</v>
      </c>
      <c r="F41" s="11">
        <v>4897</v>
      </c>
      <c r="G41" s="11">
        <v>4107</v>
      </c>
      <c r="H41" s="89">
        <f t="shared" si="0"/>
        <v>0.19235451667884101</v>
      </c>
      <c r="I41" s="23">
        <f>(E41-E116)*J41</f>
        <v>-3.1627168617186042E-2</v>
      </c>
      <c r="J41" s="22">
        <f>H41-H116</f>
        <v>-0.16978361888984395</v>
      </c>
      <c r="K41" s="86">
        <f t="shared" si="2"/>
        <v>2.8826477243331775E-2</v>
      </c>
      <c r="L41" s="88">
        <f t="shared" si="1"/>
        <v>-1.0971569071799132</v>
      </c>
    </row>
    <row r="42" spans="1:12" ht="15.75" thickBot="1" x14ac:dyDescent="0.3">
      <c r="A42" s="103"/>
      <c r="B42" s="95"/>
      <c r="C42" s="98"/>
      <c r="D42" s="9">
        <v>2021</v>
      </c>
      <c r="E42" s="89">
        <f>'Return LQ'!G41</f>
        <v>0.171875</v>
      </c>
      <c r="F42" s="11">
        <v>5739</v>
      </c>
      <c r="G42" s="11">
        <v>4897</v>
      </c>
      <c r="H42" s="89">
        <f t="shared" si="0"/>
        <v>0.17194200530937309</v>
      </c>
      <c r="I42" s="23">
        <f>(E42-E116)*J42</f>
        <v>-3.149794108307781E-2</v>
      </c>
      <c r="J42" s="22">
        <f>H42-H116</f>
        <v>-0.19019613025931187</v>
      </c>
      <c r="K42" s="86">
        <f t="shared" si="2"/>
        <v>3.6174567965617126E-2</v>
      </c>
      <c r="L42" s="88">
        <f t="shared" si="1"/>
        <v>-0.87072058781781958</v>
      </c>
    </row>
    <row r="43" spans="1:12" ht="15.75" thickBot="1" x14ac:dyDescent="0.3">
      <c r="A43" s="104"/>
      <c r="B43" s="96"/>
      <c r="C43" s="99"/>
      <c r="D43" s="12">
        <v>2022</v>
      </c>
      <c r="E43" s="89">
        <f>'Return LQ'!G42</f>
        <v>-2.2222222222222223E-2</v>
      </c>
      <c r="F43" s="14">
        <v>5612</v>
      </c>
      <c r="G43" s="14">
        <v>5739</v>
      </c>
      <c r="H43" s="89">
        <f t="shared" si="0"/>
        <v>-2.2129290817215541E-2</v>
      </c>
      <c r="I43" s="23">
        <f>(E43-E116)*J43</f>
        <v>1.0947600632366238E-2</v>
      </c>
      <c r="J43" s="22">
        <f>H43-H116</f>
        <v>-0.3842674263859005</v>
      </c>
      <c r="K43" s="86">
        <f t="shared" si="2"/>
        <v>0.14766145498124347</v>
      </c>
      <c r="L43" s="88">
        <f t="shared" si="1"/>
        <v>7.4139866993433348E-2</v>
      </c>
    </row>
    <row r="44" spans="1:12" ht="15.75" thickBot="1" x14ac:dyDescent="0.3">
      <c r="A44" s="102">
        <v>11</v>
      </c>
      <c r="B44" s="105" t="s">
        <v>50</v>
      </c>
      <c r="C44" s="108" t="s">
        <v>51</v>
      </c>
      <c r="D44" s="19">
        <v>2019</v>
      </c>
      <c r="E44" s="89">
        <f>'Return LQ'!G43</f>
        <v>0.20241691842900303</v>
      </c>
      <c r="F44" s="21">
        <v>1785</v>
      </c>
      <c r="G44" s="21">
        <v>1484</v>
      </c>
      <c r="H44" s="89">
        <f t="shared" si="0"/>
        <v>0.20283018867924529</v>
      </c>
      <c r="I44" s="23">
        <f>(E44-E116)*J44</f>
        <v>-3.1248190818934891E-2</v>
      </c>
      <c r="J44" s="22">
        <f>H44-H116</f>
        <v>-0.15930794688943967</v>
      </c>
      <c r="K44" s="86">
        <f t="shared" si="2"/>
        <v>2.537902194212853E-2</v>
      </c>
      <c r="L44" s="88">
        <f t="shared" si="1"/>
        <v>-1.2312606407839417</v>
      </c>
    </row>
    <row r="45" spans="1:12" ht="15.75" thickBot="1" x14ac:dyDescent="0.3">
      <c r="A45" s="103"/>
      <c r="B45" s="106"/>
      <c r="C45" s="109"/>
      <c r="D45" s="26">
        <v>2020</v>
      </c>
      <c r="E45" s="89">
        <f>'Return LQ'!G44</f>
        <v>-2.5125628140703518E-3</v>
      </c>
      <c r="F45" s="28">
        <v>17805</v>
      </c>
      <c r="G45" s="28">
        <v>1785</v>
      </c>
      <c r="H45" s="89">
        <f t="shared" si="0"/>
        <v>8.9747899159663866</v>
      </c>
      <c r="I45" s="23">
        <f>(E45-E116)*J45</f>
        <v>-7.5618018745534629E-2</v>
      </c>
      <c r="J45" s="22">
        <f>H45-H116</f>
        <v>8.6126517803977016</v>
      </c>
      <c r="K45" s="86">
        <f t="shared" si="2"/>
        <v>74.177770690387703</v>
      </c>
      <c r="L45" s="88">
        <f t="shared" si="1"/>
        <v>-1.0194161679670641E-3</v>
      </c>
    </row>
    <row r="46" spans="1:12" ht="15.75" thickBot="1" x14ac:dyDescent="0.3">
      <c r="A46" s="103"/>
      <c r="B46" s="106"/>
      <c r="C46" s="109"/>
      <c r="D46" s="26">
        <v>2021</v>
      </c>
      <c r="E46" s="89">
        <f>'Return LQ'!G45</f>
        <v>-0.44332493702770781</v>
      </c>
      <c r="F46" s="28">
        <v>9911</v>
      </c>
      <c r="G46" s="28">
        <v>17805</v>
      </c>
      <c r="H46" s="89">
        <f t="shared" si="0"/>
        <v>-0.44335860713282788</v>
      </c>
      <c r="I46" s="23">
        <f>(E46-E116)*J46</f>
        <v>0.36214509347274021</v>
      </c>
      <c r="J46" s="22">
        <f>H46-H116</f>
        <v>-0.80549674270151284</v>
      </c>
      <c r="K46" s="86">
        <f t="shared" si="2"/>
        <v>0.64882500250274722</v>
      </c>
      <c r="L46" s="88">
        <f t="shared" si="1"/>
        <v>0.55815526848660069</v>
      </c>
    </row>
    <row r="47" spans="1:12" ht="15.75" thickBot="1" x14ac:dyDescent="0.3">
      <c r="A47" s="151"/>
      <c r="B47" s="152"/>
      <c r="C47" s="153"/>
      <c r="D47" s="49">
        <v>2022</v>
      </c>
      <c r="E47" s="154">
        <f>'Return LQ'!G46</f>
        <v>-0.27601809954751133</v>
      </c>
      <c r="F47" s="1">
        <v>7265</v>
      </c>
      <c r="G47" s="1">
        <v>9911</v>
      </c>
      <c r="H47" s="154">
        <f t="shared" si="0"/>
        <v>-0.26697608717586518</v>
      </c>
      <c r="I47" s="23">
        <f>(E47-E116)*J47</f>
        <v>0.17758976832212825</v>
      </c>
      <c r="J47" s="20">
        <f>H47-H116</f>
        <v>-0.62911422274455009</v>
      </c>
      <c r="K47" s="155">
        <f t="shared" si="2"/>
        <v>0.3957847052594794</v>
      </c>
      <c r="L47" s="76">
        <f t="shared" si="1"/>
        <v>0.44870295886168488</v>
      </c>
    </row>
    <row r="48" spans="1:12" ht="15.75" customHeight="1" thickBot="1" x14ac:dyDescent="0.3">
      <c r="A48" s="102">
        <v>12</v>
      </c>
      <c r="B48" s="105" t="s">
        <v>55</v>
      </c>
      <c r="C48" s="108">
        <v>34403</v>
      </c>
      <c r="D48" s="156">
        <v>2019</v>
      </c>
      <c r="E48" s="157">
        <f>'Return LQ'!G47</f>
        <v>-7.9254079254079249E-2</v>
      </c>
      <c r="F48" s="158">
        <v>1465</v>
      </c>
      <c r="G48" s="158">
        <v>1523</v>
      </c>
      <c r="H48" s="154">
        <f t="shared" si="0"/>
        <v>-3.8082731451083388E-2</v>
      </c>
      <c r="I48" s="23">
        <f>(E48-E116)*J48</f>
        <v>3.4227446020786007E-2</v>
      </c>
      <c r="J48" s="20">
        <f>H48-H116</f>
        <v>-0.40022086701976833</v>
      </c>
      <c r="K48" s="155">
        <f t="shared" si="2"/>
        <v>0.1601767423980551</v>
      </c>
      <c r="L48" s="76">
        <f t="shared" si="1"/>
        <v>0.21368549209052715</v>
      </c>
    </row>
    <row r="49" spans="1:12" ht="15.75" customHeight="1" thickBot="1" x14ac:dyDescent="0.3">
      <c r="A49" s="103"/>
      <c r="B49" s="106"/>
      <c r="C49" s="109"/>
      <c r="D49" s="149">
        <v>2020</v>
      </c>
      <c r="E49" s="157">
        <f>'Return LQ'!G48</f>
        <v>-0.19493670886075951</v>
      </c>
      <c r="F49" s="150">
        <v>1226</v>
      </c>
      <c r="G49" s="150">
        <v>1465</v>
      </c>
      <c r="H49" s="154">
        <f t="shared" si="0"/>
        <v>-0.16313993174061434</v>
      </c>
      <c r="I49" s="23">
        <f>(E49-E116)*J49</f>
        <v>0.10568806008452838</v>
      </c>
      <c r="J49" s="20">
        <f>H49-H116</f>
        <v>-0.52527806730929927</v>
      </c>
      <c r="K49" s="155">
        <f t="shared" si="2"/>
        <v>0.27591704799619271</v>
      </c>
      <c r="L49" s="76">
        <f t="shared" si="1"/>
        <v>0.38304287774920937</v>
      </c>
    </row>
    <row r="50" spans="1:12" ht="15.75" customHeight="1" thickBot="1" x14ac:dyDescent="0.3">
      <c r="A50" s="103"/>
      <c r="B50" s="106"/>
      <c r="C50" s="109"/>
      <c r="D50" s="149">
        <v>2021</v>
      </c>
      <c r="E50" s="157">
        <f>'Return LQ'!G49</f>
        <v>0.29245283018867924</v>
      </c>
      <c r="F50" s="150">
        <v>1650</v>
      </c>
      <c r="G50" s="150">
        <v>1226</v>
      </c>
      <c r="H50" s="154">
        <f t="shared" si="0"/>
        <v>0.34584013050570961</v>
      </c>
      <c r="I50" s="23">
        <f>(E50-E116)*J50</f>
        <v>-4.6642529973356505E-3</v>
      </c>
      <c r="J50" s="20">
        <f>H50-H116</f>
        <v>-1.6298005062975351E-2</v>
      </c>
      <c r="K50" s="155">
        <f t="shared" si="2"/>
        <v>2.6562496903277021E-4</v>
      </c>
      <c r="L50" s="76">
        <f t="shared" si="1"/>
        <v>-17.559542742987468</v>
      </c>
    </row>
    <row r="51" spans="1:12" ht="15.75" customHeight="1" thickBot="1" x14ac:dyDescent="0.3">
      <c r="A51" s="104"/>
      <c r="B51" s="107"/>
      <c r="C51" s="110"/>
      <c r="D51" s="159">
        <v>2022</v>
      </c>
      <c r="E51" s="157">
        <f>'Return LQ'!G50</f>
        <v>0.7031630170316302</v>
      </c>
      <c r="F51" s="160">
        <v>2810</v>
      </c>
      <c r="G51" s="160">
        <v>1650</v>
      </c>
      <c r="H51" s="154">
        <f t="shared" si="0"/>
        <v>0.70303030303030301</v>
      </c>
      <c r="I51" s="23">
        <f>(E51-E116)*J51</f>
        <v>0.23756628681706521</v>
      </c>
      <c r="J51" s="20">
        <f>H51-H116</f>
        <v>0.34089216746161805</v>
      </c>
      <c r="K51" s="155">
        <f t="shared" si="2"/>
        <v>0.11620746983667984</v>
      </c>
      <c r="L51" s="76">
        <f t="shared" si="1"/>
        <v>2.0443288813614591</v>
      </c>
    </row>
    <row r="52" spans="1:12" ht="15.75" customHeight="1" thickBot="1" x14ac:dyDescent="0.3">
      <c r="A52" s="102">
        <v>13</v>
      </c>
      <c r="B52" s="105" t="s">
        <v>56</v>
      </c>
      <c r="C52" s="108">
        <v>32967</v>
      </c>
      <c r="D52" s="156">
        <v>2019</v>
      </c>
      <c r="E52" s="157">
        <f>'Return LQ'!G51</f>
        <v>-0.1580547112462006</v>
      </c>
      <c r="F52" s="156">
        <v>2803</v>
      </c>
      <c r="G52" s="156">
        <v>3330</v>
      </c>
      <c r="H52" s="154">
        <f t="shared" si="0"/>
        <v>-0.15825825825825826</v>
      </c>
      <c r="I52" s="23">
        <f>(E52-E116)*J52</f>
        <v>8.5512589187495353E-2</v>
      </c>
      <c r="J52" s="20">
        <f>H52-H116</f>
        <v>-0.52039639382694325</v>
      </c>
      <c r="K52" s="155">
        <f t="shared" si="2"/>
        <v>0.27081240670808704</v>
      </c>
      <c r="L52" s="76">
        <f t="shared" si="1"/>
        <v>0.31576318909078166</v>
      </c>
    </row>
    <row r="53" spans="1:12" ht="15.75" thickBot="1" x14ac:dyDescent="0.3">
      <c r="A53" s="103"/>
      <c r="B53" s="106"/>
      <c r="C53" s="109"/>
      <c r="D53" s="149">
        <v>2020</v>
      </c>
      <c r="E53" s="157">
        <f>'Return LQ'!G52</f>
        <v>-0.1299638989169675</v>
      </c>
      <c r="F53" s="149">
        <v>2310</v>
      </c>
      <c r="G53" s="149">
        <v>2803</v>
      </c>
      <c r="H53" s="154">
        <f t="shared" si="0"/>
        <v>-0.17588298251872994</v>
      </c>
      <c r="I53" s="23">
        <f>(E53-E116)*J53</f>
        <v>7.3295269309030658E-2</v>
      </c>
      <c r="J53" s="20">
        <f>H53-H116</f>
        <v>-0.53802111808741493</v>
      </c>
      <c r="K53" s="155">
        <f t="shared" si="2"/>
        <v>0.2894667235080321</v>
      </c>
      <c r="L53" s="76">
        <f t="shared" si="1"/>
        <v>0.25320792808502862</v>
      </c>
    </row>
    <row r="54" spans="1:12" ht="15.75" thickBot="1" x14ac:dyDescent="0.3">
      <c r="A54" s="103"/>
      <c r="B54" s="106"/>
      <c r="C54" s="109"/>
      <c r="D54" s="149">
        <v>2021</v>
      </c>
      <c r="E54" s="157">
        <f>'Return LQ'!G53</f>
        <v>-5.3941908713692949E-2</v>
      </c>
      <c r="F54" s="149">
        <v>2227</v>
      </c>
      <c r="G54" s="149">
        <v>2310</v>
      </c>
      <c r="H54" s="154">
        <f t="shared" si="0"/>
        <v>-3.5930735930735931E-2</v>
      </c>
      <c r="I54" s="23">
        <f>(E54-E116)*J54</f>
        <v>2.3967417204128712E-2</v>
      </c>
      <c r="J54" s="20">
        <f>H54-H116</f>
        <v>-0.39806887149942088</v>
      </c>
      <c r="K54" s="155">
        <f t="shared" si="2"/>
        <v>0.15845882645682247</v>
      </c>
      <c r="L54" s="76">
        <f t="shared" si="1"/>
        <v>0.1512532797323187</v>
      </c>
    </row>
    <row r="55" spans="1:12" ht="15.75" thickBot="1" x14ac:dyDescent="0.3">
      <c r="A55" s="104"/>
      <c r="B55" s="107"/>
      <c r="C55" s="110"/>
      <c r="D55" s="159">
        <v>2022</v>
      </c>
      <c r="E55" s="157">
        <f>'Return LQ'!G54</f>
        <v>0</v>
      </c>
      <c r="F55" s="159">
        <v>2307</v>
      </c>
      <c r="G55" s="159">
        <v>2227</v>
      </c>
      <c r="H55" s="154">
        <f t="shared" si="0"/>
        <v>3.5922766052986083E-2</v>
      </c>
      <c r="I55" s="23">
        <f>(E55-E116)*J55</f>
        <v>2.044494041447261E-3</v>
      </c>
      <c r="J55" s="20">
        <f>H55-H116</f>
        <v>-0.32621536951569885</v>
      </c>
      <c r="K55" s="155">
        <f t="shared" si="2"/>
        <v>0.10641646730826394</v>
      </c>
      <c r="L55" s="76">
        <f t="shared" si="1"/>
        <v>1.9212196130555938E-2</v>
      </c>
    </row>
    <row r="56" spans="1:12" ht="15.75" thickBot="1" x14ac:dyDescent="0.3">
      <c r="A56" s="102">
        <v>14</v>
      </c>
      <c r="B56" s="105" t="s">
        <v>15</v>
      </c>
      <c r="C56" s="108" t="s">
        <v>16</v>
      </c>
      <c r="D56" s="156">
        <v>2019</v>
      </c>
      <c r="E56" s="157">
        <f>'Return LQ'!G55</f>
        <v>0.28557692307692306</v>
      </c>
      <c r="F56" s="156">
        <v>8240</v>
      </c>
      <c r="G56" s="156">
        <v>6194</v>
      </c>
      <c r="H56" s="154">
        <f t="shared" si="0"/>
        <v>0.33031966419115272</v>
      </c>
      <c r="I56" s="23">
        <f>(E56-E116)*J56</f>
        <v>-8.8872048127040682E-3</v>
      </c>
      <c r="J56" s="20">
        <f>H56-H116</f>
        <v>-3.1818471377532243E-2</v>
      </c>
      <c r="K56" s="155">
        <f t="shared" si="2"/>
        <v>1.0124151208028387E-3</v>
      </c>
      <c r="L56" s="76">
        <f t="shared" si="1"/>
        <v>-8.7782221245930945</v>
      </c>
    </row>
    <row r="57" spans="1:12" ht="15.75" thickBot="1" x14ac:dyDescent="0.3">
      <c r="A57" s="103"/>
      <c r="B57" s="106"/>
      <c r="C57" s="109"/>
      <c r="D57" s="149">
        <v>2020</v>
      </c>
      <c r="E57" s="157">
        <f>'Return LQ'!G56</f>
        <v>1.2715033657442034E-2</v>
      </c>
      <c r="F57" s="149">
        <v>8350</v>
      </c>
      <c r="G57" s="149">
        <v>8240</v>
      </c>
      <c r="H57" s="154">
        <f t="shared" si="0"/>
        <v>1.3349514563106795E-2</v>
      </c>
      <c r="I57" s="23">
        <f>(E57-E116)*J57</f>
        <v>-2.2488913665597364E-3</v>
      </c>
      <c r="J57" s="20">
        <f>H57-H116</f>
        <v>-0.34878862100557817</v>
      </c>
      <c r="K57" s="155">
        <f t="shared" si="2"/>
        <v>0.12165350214297284</v>
      </c>
      <c r="L57" s="76">
        <f t="shared" si="1"/>
        <v>-1.8486038847584797E-2</v>
      </c>
    </row>
    <row r="58" spans="1:12" ht="15.75" thickBot="1" x14ac:dyDescent="0.3">
      <c r="A58" s="103"/>
      <c r="B58" s="106"/>
      <c r="C58" s="109"/>
      <c r="D58" s="149">
        <v>2021</v>
      </c>
      <c r="E58" s="157">
        <f>'Return LQ'!G57</f>
        <v>7.8286558345642535E-2</v>
      </c>
      <c r="F58" s="149">
        <v>9000</v>
      </c>
      <c r="G58" s="149">
        <v>8350</v>
      </c>
      <c r="H58" s="154">
        <f t="shared" si="0"/>
        <v>7.7844311377245512E-2</v>
      </c>
      <c r="I58" s="23">
        <f>(E58-E116)*J58</f>
        <v>-2.047462648707812E-2</v>
      </c>
      <c r="J58" s="20">
        <f>H58-H116</f>
        <v>-0.28429382419143945</v>
      </c>
      <c r="K58" s="155">
        <f t="shared" si="2"/>
        <v>8.0822978473393078E-2</v>
      </c>
      <c r="L58" s="76">
        <f t="shared" si="1"/>
        <v>-0.25332679980135064</v>
      </c>
    </row>
    <row r="59" spans="1:12" ht="15.75" thickBot="1" x14ac:dyDescent="0.3">
      <c r="A59" s="104"/>
      <c r="B59" s="107"/>
      <c r="C59" s="110"/>
      <c r="D59" s="159">
        <v>2022</v>
      </c>
      <c r="E59" s="157">
        <f>'Return LQ'!G58</f>
        <v>0.17123287671232876</v>
      </c>
      <c r="F59" s="159">
        <v>1054</v>
      </c>
      <c r="G59" s="159">
        <v>9000</v>
      </c>
      <c r="H59" s="154">
        <f t="shared" si="0"/>
        <v>-0.88288888888888883</v>
      </c>
      <c r="I59" s="23">
        <f>(E59-E116)*J59</f>
        <v>-0.20538658410508712</v>
      </c>
      <c r="J59" s="20">
        <f>H59-H116</f>
        <v>-1.2450270244575738</v>
      </c>
      <c r="K59" s="155">
        <f t="shared" si="2"/>
        <v>1.5500922916296802</v>
      </c>
      <c r="L59" s="76">
        <f t="shared" si="1"/>
        <v>-0.13249958419518051</v>
      </c>
    </row>
    <row r="60" spans="1:12" ht="15.75" thickBot="1" x14ac:dyDescent="0.3">
      <c r="A60" s="102">
        <v>15</v>
      </c>
      <c r="B60" s="105" t="s">
        <v>17</v>
      </c>
      <c r="C60" s="108" t="s">
        <v>18</v>
      </c>
      <c r="D60" s="156">
        <v>2019</v>
      </c>
      <c r="E60" s="157">
        <f>'Return LQ'!G59</f>
        <v>-0.55397727272727271</v>
      </c>
      <c r="F60" s="156">
        <v>1463</v>
      </c>
      <c r="G60" s="156">
        <v>1646</v>
      </c>
      <c r="H60" s="154">
        <f t="shared" si="0"/>
        <v>-0.11117861482381532</v>
      </c>
      <c r="I60" s="23">
        <f>(E60-E116)*J60</f>
        <v>0.26517314705378464</v>
      </c>
      <c r="J60" s="20">
        <f>H60-H116</f>
        <v>-0.47331675039250026</v>
      </c>
      <c r="K60" s="155">
        <f t="shared" si="2"/>
        <v>0.22402874620211641</v>
      </c>
      <c r="L60" s="76">
        <f t="shared" si="1"/>
        <v>1.1836567920375192</v>
      </c>
    </row>
    <row r="61" spans="1:12" ht="15.75" thickBot="1" x14ac:dyDescent="0.3">
      <c r="A61" s="103"/>
      <c r="B61" s="106"/>
      <c r="C61" s="109"/>
      <c r="D61" s="149">
        <v>2020</v>
      </c>
      <c r="E61" s="157">
        <f>'Return LQ'!G60</f>
        <v>-0.21337579617834396</v>
      </c>
      <c r="F61" s="149">
        <v>1151</v>
      </c>
      <c r="G61" s="149">
        <v>1463</v>
      </c>
      <c r="H61" s="154">
        <f t="shared" si="0"/>
        <v>-0.21326042378673957</v>
      </c>
      <c r="I61" s="23">
        <f>(E61-E116)*J61</f>
        <v>0.12638232897329235</v>
      </c>
      <c r="J61" s="20">
        <f>H61-H116</f>
        <v>-0.5753985593554245</v>
      </c>
      <c r="K61" s="155">
        <f t="shared" si="2"/>
        <v>0.33108350210829796</v>
      </c>
      <c r="L61" s="76">
        <f t="shared" si="1"/>
        <v>0.38172342677453158</v>
      </c>
    </row>
    <row r="62" spans="1:12" ht="15.75" thickBot="1" x14ac:dyDescent="0.3">
      <c r="A62" s="103"/>
      <c r="B62" s="106"/>
      <c r="C62" s="109"/>
      <c r="D62" s="149">
        <v>2021</v>
      </c>
      <c r="E62" s="157">
        <f>'Return LQ'!G61</f>
        <v>9.3117408906882596E-2</v>
      </c>
      <c r="F62" s="149">
        <v>1258</v>
      </c>
      <c r="G62" s="149">
        <v>1151</v>
      </c>
      <c r="H62" s="154">
        <f t="shared" si="0"/>
        <v>9.2962641181581235E-2</v>
      </c>
      <c r="I62" s="23">
        <f>(E62-E116)*J62</f>
        <v>-2.3377917325663529E-2</v>
      </c>
      <c r="J62" s="20">
        <f>H62-H116</f>
        <v>-0.26917549438710375</v>
      </c>
      <c r="K62" s="155">
        <f t="shared" si="2"/>
        <v>7.2455446778541724E-2</v>
      </c>
      <c r="L62" s="76">
        <f t="shared" si="1"/>
        <v>-0.3226523106967728</v>
      </c>
    </row>
    <row r="63" spans="1:12" ht="15.75" thickBot="1" x14ac:dyDescent="0.3">
      <c r="A63" s="104"/>
      <c r="B63" s="107"/>
      <c r="C63" s="110"/>
      <c r="D63" s="159">
        <v>2022</v>
      </c>
      <c r="E63" s="157">
        <f>'Return LQ'!G62</f>
        <v>0.36666666666666664</v>
      </c>
      <c r="F63" s="159">
        <v>1720</v>
      </c>
      <c r="G63" s="159">
        <v>1258</v>
      </c>
      <c r="H63" s="154">
        <f t="shared" si="0"/>
        <v>0.36724960254372019</v>
      </c>
      <c r="I63" s="23">
        <f>(E63-E116)*J63</f>
        <v>1.8421693907179598E-3</v>
      </c>
      <c r="J63" s="20">
        <f>H63-H116</f>
        <v>5.1114669750352282E-3</v>
      </c>
      <c r="K63" s="155">
        <f t="shared" si="2"/>
        <v>2.6127094636875785E-5</v>
      </c>
      <c r="L63" s="76">
        <f t="shared" si="1"/>
        <v>70.508007733776935</v>
      </c>
    </row>
    <row r="64" spans="1:12" ht="15.75" thickBot="1" x14ac:dyDescent="0.3">
      <c r="A64" s="102">
        <v>16</v>
      </c>
      <c r="B64" s="105" t="s">
        <v>19</v>
      </c>
      <c r="C64" s="108">
        <v>37905</v>
      </c>
      <c r="D64" s="156">
        <v>2019</v>
      </c>
      <c r="E64" s="157">
        <f>'Return LQ'!G63</f>
        <v>9.2877297267759507E-2</v>
      </c>
      <c r="F64" s="156">
        <v>5427</v>
      </c>
      <c r="G64" s="156">
        <v>4514</v>
      </c>
      <c r="H64" s="154">
        <f t="shared" si="0"/>
        <v>0.20225963668586619</v>
      </c>
      <c r="I64" s="23">
        <f>(E64-E116)*J64</f>
        <v>-1.3847074167484142E-2</v>
      </c>
      <c r="J64" s="20">
        <f>H64-H116</f>
        <v>-0.15987849888281877</v>
      </c>
      <c r="K64" s="155">
        <f t="shared" si="2"/>
        <v>2.5561134405023483E-2</v>
      </c>
      <c r="L64" s="76">
        <f t="shared" si="1"/>
        <v>-0.54172377282139728</v>
      </c>
    </row>
    <row r="65" spans="1:12" ht="15.75" thickBot="1" x14ac:dyDescent="0.3">
      <c r="A65" s="103"/>
      <c r="B65" s="106"/>
      <c r="C65" s="109"/>
      <c r="D65" s="149">
        <v>2020</v>
      </c>
      <c r="E65" s="157">
        <f>'Return LQ'!G64</f>
        <v>-5.2272753407269522E-2</v>
      </c>
      <c r="F65" s="149">
        <v>5143</v>
      </c>
      <c r="G65" s="149">
        <v>5427</v>
      </c>
      <c r="H65" s="154">
        <f t="shared" si="0"/>
        <v>-5.2330937903077204E-2</v>
      </c>
      <c r="I65" s="23">
        <f>(E65-E116)*J65</f>
        <v>2.4263047358320064E-2</v>
      </c>
      <c r="J65" s="20">
        <f>H65-H116</f>
        <v>-0.41446907347176215</v>
      </c>
      <c r="K65" s="155">
        <f t="shared" si="2"/>
        <v>0.17178461286454097</v>
      </c>
      <c r="L65" s="76">
        <f t="shared" si="1"/>
        <v>0.14124109810377747</v>
      </c>
    </row>
    <row r="66" spans="1:12" ht="15.75" thickBot="1" x14ac:dyDescent="0.3">
      <c r="A66" s="103"/>
      <c r="B66" s="106"/>
      <c r="C66" s="109"/>
      <c r="D66" s="149">
        <v>2021</v>
      </c>
      <c r="E66" s="157">
        <f>'Return LQ'!G65</f>
        <v>8.4191419006047416E-2</v>
      </c>
      <c r="F66" s="149">
        <v>6217</v>
      </c>
      <c r="G66" s="149">
        <v>5143</v>
      </c>
      <c r="H66" s="154">
        <f t="shared" si="0"/>
        <v>0.20882753256853975</v>
      </c>
      <c r="I66" s="23">
        <f>(E66-E116)*J66</f>
        <v>-1.1946591578858969E-2</v>
      </c>
      <c r="J66" s="20">
        <f>H66-H116</f>
        <v>-0.15331060300014521</v>
      </c>
      <c r="K66" s="155">
        <f t="shared" si="2"/>
        <v>2.3504140992268132E-2</v>
      </c>
      <c r="L66" s="76">
        <f t="shared" si="1"/>
        <v>-0.50827603454169601</v>
      </c>
    </row>
    <row r="67" spans="1:12" ht="15.75" thickBot="1" x14ac:dyDescent="0.3">
      <c r="A67" s="104"/>
      <c r="B67" s="107"/>
      <c r="C67" s="110"/>
      <c r="D67" s="159">
        <v>2022</v>
      </c>
      <c r="E67" s="157">
        <f>'Return LQ'!G66</f>
        <v>0.20194647201946472</v>
      </c>
      <c r="F67" s="159">
        <v>7487</v>
      </c>
      <c r="G67" s="159">
        <v>6217</v>
      </c>
      <c r="H67" s="154">
        <f t="shared" si="0"/>
        <v>0.20427859096027023</v>
      </c>
      <c r="I67" s="23">
        <f>(E67-E116)*J67</f>
        <v>-3.0889822827992856E-2</v>
      </c>
      <c r="J67" s="20">
        <f>H67-H116</f>
        <v>-0.15785954460841473</v>
      </c>
      <c r="K67" s="155">
        <f t="shared" si="2"/>
        <v>2.4919635823976077E-2</v>
      </c>
      <c r="L67" s="76">
        <f t="shared" si="1"/>
        <v>-1.2395776184767775</v>
      </c>
    </row>
    <row r="68" spans="1:12" ht="15.75" thickBot="1" x14ac:dyDescent="0.3">
      <c r="A68" s="102">
        <v>17</v>
      </c>
      <c r="B68" s="105" t="s">
        <v>20</v>
      </c>
      <c r="C68" s="108" t="s">
        <v>21</v>
      </c>
      <c r="D68" s="156">
        <v>2019</v>
      </c>
      <c r="E68" s="157">
        <f>'Return LQ'!G67</f>
        <v>-0.25849816023622046</v>
      </c>
      <c r="F68" s="156">
        <v>2245</v>
      </c>
      <c r="G68" s="156">
        <v>2690</v>
      </c>
      <c r="H68" s="154">
        <f t="shared" si="0"/>
        <v>-0.1654275092936803</v>
      </c>
      <c r="I68" s="23">
        <f>(E68-E116)*J68</f>
        <v>0.13968116797331623</v>
      </c>
      <c r="J68" s="20">
        <f>H68-H116</f>
        <v>-0.52756564486236524</v>
      </c>
      <c r="K68" s="155">
        <f t="shared" si="2"/>
        <v>0.27832550963904329</v>
      </c>
      <c r="L68" s="76">
        <f t="shared" si="1"/>
        <v>0.5018626145855869</v>
      </c>
    </row>
    <row r="69" spans="1:12" ht="15.75" thickBot="1" x14ac:dyDescent="0.3">
      <c r="A69" s="103"/>
      <c r="B69" s="106"/>
      <c r="C69" s="109"/>
      <c r="D69" s="149">
        <v>2020</v>
      </c>
      <c r="E69" s="157">
        <f>'Return LQ'!G68</f>
        <v>-0.18632072640755096</v>
      </c>
      <c r="F69" s="149">
        <v>1827</v>
      </c>
      <c r="G69" s="149">
        <v>2245</v>
      </c>
      <c r="H69" s="154">
        <f t="shared" ref="H69:H115" si="3">(F69-G69)/G69</f>
        <v>-0.18619153674832961</v>
      </c>
      <c r="I69" s="23">
        <f>(E69-E116)*J69</f>
        <v>0.10560173690238195</v>
      </c>
      <c r="J69" s="20">
        <f>H69-H116</f>
        <v>-0.54832967231701457</v>
      </c>
      <c r="K69" s="155">
        <f t="shared" si="2"/>
        <v>0.30066542954328457</v>
      </c>
      <c r="L69" s="76">
        <f t="shared" ref="L69:L115" si="4">I69/K69</f>
        <v>0.35122673419020145</v>
      </c>
    </row>
    <row r="70" spans="1:12" ht="15.75" thickBot="1" x14ac:dyDescent="0.3">
      <c r="A70" s="103"/>
      <c r="B70" s="106"/>
      <c r="C70" s="109"/>
      <c r="D70" s="149">
        <v>2021</v>
      </c>
      <c r="E70" s="157">
        <f>'Return LQ'!G69</f>
        <v>2.8985514471497327E-3</v>
      </c>
      <c r="F70" s="149">
        <v>1832</v>
      </c>
      <c r="G70" s="149">
        <v>1827</v>
      </c>
      <c r="H70" s="154">
        <f t="shared" si="3"/>
        <v>2.7367268746579091E-3</v>
      </c>
      <c r="I70" s="23">
        <f>(E70-E116)*J70</f>
        <v>1.2107378848310896E-3</v>
      </c>
      <c r="J70" s="20">
        <f>H70-H116</f>
        <v>-0.35940140869402704</v>
      </c>
      <c r="K70" s="155">
        <f t="shared" ref="K70:K115" si="5">J70*J70</f>
        <v>0.12916937257125105</v>
      </c>
      <c r="L70" s="76">
        <f t="shared" si="4"/>
        <v>9.3732582324283966E-3</v>
      </c>
    </row>
    <row r="71" spans="1:12" ht="15.75" thickBot="1" x14ac:dyDescent="0.3">
      <c r="A71" s="104"/>
      <c r="B71" s="107"/>
      <c r="C71" s="110"/>
      <c r="D71" s="159">
        <v>2022</v>
      </c>
      <c r="E71" s="157">
        <f>'Return LQ'!G70</f>
        <v>-0.12162986458460412</v>
      </c>
      <c r="F71" s="159">
        <v>1746</v>
      </c>
      <c r="G71" s="159">
        <v>1832</v>
      </c>
      <c r="H71" s="154">
        <f t="shared" si="3"/>
        <v>-4.6943231441048033E-2</v>
      </c>
      <c r="I71" s="23">
        <f>(E71-E116)*J71</f>
        <v>5.2320352512964519E-2</v>
      </c>
      <c r="J71" s="20">
        <f>H71-H116</f>
        <v>-0.40908136700973297</v>
      </c>
      <c r="K71" s="155">
        <f t="shared" si="5"/>
        <v>0.16734756483455185</v>
      </c>
      <c r="L71" s="76">
        <f t="shared" si="4"/>
        <v>0.31264483928816672</v>
      </c>
    </row>
    <row r="72" spans="1:12" ht="15.75" thickBot="1" x14ac:dyDescent="0.3">
      <c r="A72" s="102">
        <v>18</v>
      </c>
      <c r="B72" s="105" t="s">
        <v>22</v>
      </c>
      <c r="C72" s="108" t="s">
        <v>23</v>
      </c>
      <c r="D72" s="156">
        <v>2019</v>
      </c>
      <c r="E72" s="157">
        <f>'Return LQ'!G71</f>
        <v>4.0677966101694912E-2</v>
      </c>
      <c r="F72" s="156">
        <v>3581</v>
      </c>
      <c r="G72" s="156">
        <v>3441</v>
      </c>
      <c r="H72" s="154">
        <f t="shared" si="3"/>
        <v>4.0685847137460041E-2</v>
      </c>
      <c r="I72" s="23">
        <f>(E72-E116)*J72</f>
        <v>-1.1061382973814475E-2</v>
      </c>
      <c r="J72" s="20">
        <f>H72-H116</f>
        <v>-0.32145228843122492</v>
      </c>
      <c r="K72" s="155">
        <f t="shared" si="5"/>
        <v>0.10333157373767142</v>
      </c>
      <c r="L72" s="76">
        <f t="shared" si="4"/>
        <v>-0.10704746452324518</v>
      </c>
    </row>
    <row r="73" spans="1:12" ht="15.75" thickBot="1" x14ac:dyDescent="0.3">
      <c r="A73" s="103"/>
      <c r="B73" s="106"/>
      <c r="C73" s="109"/>
      <c r="D73" s="149">
        <v>2020</v>
      </c>
      <c r="E73" s="157">
        <f>'Return LQ'!G72</f>
        <v>-0.1758957654723127</v>
      </c>
      <c r="F73" s="149">
        <v>2951</v>
      </c>
      <c r="G73" s="149">
        <v>3581</v>
      </c>
      <c r="H73" s="154">
        <f t="shared" si="3"/>
        <v>-0.17592851158894163</v>
      </c>
      <c r="I73" s="23">
        <f>(E73-E116)*J73</f>
        <v>9.8015877224599202E-2</v>
      </c>
      <c r="J73" s="20">
        <f>H73-H116</f>
        <v>-0.53806664715762653</v>
      </c>
      <c r="K73" s="155">
        <f t="shared" si="5"/>
        <v>0.28951571678344978</v>
      </c>
      <c r="L73" s="76">
        <f t="shared" si="4"/>
        <v>0.33855114435086964</v>
      </c>
    </row>
    <row r="74" spans="1:12" ht="15.75" thickBot="1" x14ac:dyDescent="0.3">
      <c r="A74" s="103"/>
      <c r="B74" s="106"/>
      <c r="C74" s="109"/>
      <c r="D74" s="149">
        <v>2021</v>
      </c>
      <c r="E74" s="157">
        <f>'Return LQ'!G73</f>
        <v>0.11067193675889328</v>
      </c>
      <c r="F74" s="149">
        <v>3278</v>
      </c>
      <c r="G74" s="149">
        <v>2951</v>
      </c>
      <c r="H74" s="154">
        <f t="shared" si="3"/>
        <v>0.11080989495086412</v>
      </c>
      <c r="I74" s="23">
        <f>(E74-E116)*J74</f>
        <v>-2.6239830235827283E-2</v>
      </c>
      <c r="J74" s="20">
        <f>H74-H116</f>
        <v>-0.25132824061782083</v>
      </c>
      <c r="K74" s="155">
        <f t="shared" si="5"/>
        <v>6.3165884532049243E-2</v>
      </c>
      <c r="L74" s="76">
        <f t="shared" si="4"/>
        <v>-0.41541142707363909</v>
      </c>
    </row>
    <row r="75" spans="1:12" ht="15.75" thickBot="1" x14ac:dyDescent="0.3">
      <c r="A75" s="104"/>
      <c r="B75" s="107"/>
      <c r="C75" s="110"/>
      <c r="D75" s="159">
        <v>2022</v>
      </c>
      <c r="E75" s="157">
        <f>'Return LQ'!G74</f>
        <v>0.41281138790035588</v>
      </c>
      <c r="F75" s="159">
        <v>4631</v>
      </c>
      <c r="G75" s="159">
        <v>3278</v>
      </c>
      <c r="H75" s="154">
        <f t="shared" si="3"/>
        <v>0.41275167785234901</v>
      </c>
      <c r="I75" s="23">
        <f>(E75-E116)*J75</f>
        <v>2.0576635691740477E-2</v>
      </c>
      <c r="J75" s="20">
        <f>H75-H116</f>
        <v>5.0613542283664048E-2</v>
      </c>
      <c r="K75" s="155">
        <f t="shared" si="5"/>
        <v>2.5617306625002486E-3</v>
      </c>
      <c r="L75" s="76">
        <f t="shared" si="4"/>
        <v>8.0323181484105302</v>
      </c>
    </row>
    <row r="76" spans="1:12" ht="15.75" thickBot="1" x14ac:dyDescent="0.3">
      <c r="A76" s="102">
        <v>19</v>
      </c>
      <c r="B76" s="105" t="s">
        <v>57</v>
      </c>
      <c r="C76" s="108" t="s">
        <v>58</v>
      </c>
      <c r="D76" s="156">
        <v>2019</v>
      </c>
      <c r="E76" s="157">
        <f>'Return LQ'!G75</f>
        <v>0.43801652892561982</v>
      </c>
      <c r="F76" s="156">
        <v>2354</v>
      </c>
      <c r="G76" s="156">
        <v>8318</v>
      </c>
      <c r="H76" s="154">
        <f t="shared" si="3"/>
        <v>-0.71699927867275792</v>
      </c>
      <c r="I76" s="23">
        <f>(E76-E116)*J76</f>
        <v>-0.46591673176258069</v>
      </c>
      <c r="J76" s="20">
        <f>H76-H116</f>
        <v>-1.0791374142414429</v>
      </c>
      <c r="K76" s="155">
        <f t="shared" si="5"/>
        <v>1.1645375588157076</v>
      </c>
      <c r="L76" s="76">
        <f t="shared" si="4"/>
        <v>-0.40008733787547485</v>
      </c>
    </row>
    <row r="77" spans="1:12" ht="15.75" thickBot="1" x14ac:dyDescent="0.3">
      <c r="A77" s="103"/>
      <c r="B77" s="106"/>
      <c r="C77" s="109"/>
      <c r="D77" s="149">
        <v>2020</v>
      </c>
      <c r="E77" s="157">
        <f>'Return LQ'!G76</f>
        <v>-0.16666666666666666</v>
      </c>
      <c r="F77" s="149">
        <v>1082</v>
      </c>
      <c r="G77" s="149">
        <v>2354</v>
      </c>
      <c r="H77" s="154">
        <f t="shared" si="3"/>
        <v>-0.54035683942225998</v>
      </c>
      <c r="I77" s="23">
        <f>(E77-E116)*J77</f>
        <v>0.15607204824994309</v>
      </c>
      <c r="J77" s="20">
        <f>H77-H116</f>
        <v>-0.902494974990945</v>
      </c>
      <c r="K77" s="155">
        <f t="shared" si="5"/>
        <v>0.81449717988390646</v>
      </c>
      <c r="L77" s="76">
        <f t="shared" si="4"/>
        <v>0.19161766560344465</v>
      </c>
    </row>
    <row r="78" spans="1:12" ht="15.75" thickBot="1" x14ac:dyDescent="0.3">
      <c r="A78" s="103"/>
      <c r="B78" s="106"/>
      <c r="C78" s="109"/>
      <c r="D78" s="149">
        <v>2021</v>
      </c>
      <c r="E78" s="157">
        <f>'Return LQ'!G77</f>
        <v>-0.10344827586206896</v>
      </c>
      <c r="F78" s="149">
        <v>4251</v>
      </c>
      <c r="G78" s="149">
        <v>1082</v>
      </c>
      <c r="H78" s="154">
        <f t="shared" si="3"/>
        <v>2.9288354898336415</v>
      </c>
      <c r="I78" s="23">
        <f>(E78-E116)*J78</f>
        <v>-0.28160671334775367</v>
      </c>
      <c r="J78" s="20">
        <f>H78-H116</f>
        <v>2.5666973542649565</v>
      </c>
      <c r="K78" s="155">
        <f t="shared" si="5"/>
        <v>6.5879353083907279</v>
      </c>
      <c r="L78" s="76">
        <f t="shared" si="4"/>
        <v>-4.2745822502094868E-2</v>
      </c>
    </row>
    <row r="79" spans="1:12" ht="15.75" thickBot="1" x14ac:dyDescent="0.3">
      <c r="A79" s="104"/>
      <c r="B79" s="107"/>
      <c r="C79" s="110"/>
      <c r="D79" s="159">
        <v>2022</v>
      </c>
      <c r="E79" s="157">
        <f>'Return LQ'!G78</f>
        <v>6.9230769230769235E-2</v>
      </c>
      <c r="F79" s="159">
        <v>6743</v>
      </c>
      <c r="G79" s="159">
        <v>4251</v>
      </c>
      <c r="H79" s="154">
        <f t="shared" si="3"/>
        <v>0.58621500823335682</v>
      </c>
      <c r="I79" s="23">
        <f>(E79-E116)*J79</f>
        <v>1.4108654216473013E-2</v>
      </c>
      <c r="J79" s="20">
        <f>H79-H116</f>
        <v>0.22407687266467186</v>
      </c>
      <c r="K79" s="155">
        <f t="shared" si="5"/>
        <v>5.0210444863179562E-2</v>
      </c>
      <c r="L79" s="76">
        <f t="shared" si="4"/>
        <v>0.28099042450068401</v>
      </c>
    </row>
    <row r="80" spans="1:12" ht="15.75" thickBot="1" x14ac:dyDescent="0.3">
      <c r="A80" s="102">
        <v>20</v>
      </c>
      <c r="B80" s="105" t="s">
        <v>59</v>
      </c>
      <c r="C80" s="108" t="s">
        <v>60</v>
      </c>
      <c r="D80" s="156">
        <v>2019</v>
      </c>
      <c r="E80" s="157">
        <f>'Return LQ'!G79</f>
        <v>-0.10034602076124567</v>
      </c>
      <c r="F80" s="156">
        <v>1065</v>
      </c>
      <c r="G80" s="156">
        <v>1184</v>
      </c>
      <c r="H80" s="154">
        <f t="shared" si="3"/>
        <v>-0.10050675675675676</v>
      </c>
      <c r="I80" s="23">
        <f>(E80-E116)*J80</f>
        <v>4.9324114623744537E-2</v>
      </c>
      <c r="J80" s="20">
        <f>H80-H116</f>
        <v>-0.4626448923254417</v>
      </c>
      <c r="K80" s="155">
        <f t="shared" si="5"/>
        <v>0.21404029639481956</v>
      </c>
      <c r="L80" s="76">
        <f t="shared" si="4"/>
        <v>0.23044312428329422</v>
      </c>
    </row>
    <row r="81" spans="1:12" ht="15.75" thickBot="1" x14ac:dyDescent="0.3">
      <c r="A81" s="103"/>
      <c r="B81" s="106"/>
      <c r="C81" s="109"/>
      <c r="D81" s="149">
        <v>2020</v>
      </c>
      <c r="E81" s="157">
        <f>'Return LQ'!G80</f>
        <v>3.8461538461538464E-3</v>
      </c>
      <c r="F81" s="149">
        <v>1069</v>
      </c>
      <c r="G81" s="149">
        <v>1065</v>
      </c>
      <c r="H81" s="154">
        <f t="shared" si="3"/>
        <v>3.7558685446009389E-3</v>
      </c>
      <c r="I81" s="23">
        <f>(E81-E116)*J81</f>
        <v>8.6770074289135347E-4</v>
      </c>
      <c r="J81" s="20">
        <f>H81-H116</f>
        <v>-0.35838226702408404</v>
      </c>
      <c r="K81" s="155">
        <f t="shared" si="5"/>
        <v>0.12843784931732188</v>
      </c>
      <c r="L81" s="76">
        <f t="shared" si="4"/>
        <v>6.7558024951631622E-3</v>
      </c>
    </row>
    <row r="82" spans="1:12" ht="15.75" thickBot="1" x14ac:dyDescent="0.3">
      <c r="A82" s="103"/>
      <c r="B82" s="106"/>
      <c r="C82" s="109"/>
      <c r="D82" s="149">
        <v>2021</v>
      </c>
      <c r="E82" s="157">
        <f>'Return LQ'!G81</f>
        <v>-8.8122605363984668E-2</v>
      </c>
      <c r="F82" s="149">
        <v>9756</v>
      </c>
      <c r="G82" s="149">
        <v>1069</v>
      </c>
      <c r="H82" s="154">
        <f t="shared" si="3"/>
        <v>8.1262862488306826</v>
      </c>
      <c r="I82" s="23">
        <f>(E82-E116)*J82</f>
        <v>-0.73285731170053714</v>
      </c>
      <c r="J82" s="20">
        <f>H82-H116</f>
        <v>7.7641481132619976</v>
      </c>
      <c r="K82" s="155">
        <f t="shared" si="5"/>
        <v>60.281995924669836</v>
      </c>
      <c r="L82" s="76">
        <f t="shared" si="4"/>
        <v>-1.215715074557812E-2</v>
      </c>
    </row>
    <row r="83" spans="1:12" ht="15.75" thickBot="1" x14ac:dyDescent="0.3">
      <c r="A83" s="104"/>
      <c r="B83" s="107"/>
      <c r="C83" s="110"/>
      <c r="D83" s="159">
        <v>2022</v>
      </c>
      <c r="E83" s="157">
        <f>'Return LQ'!G82</f>
        <v>-5.0420168067226892E-2</v>
      </c>
      <c r="F83" s="159">
        <v>9264</v>
      </c>
      <c r="G83" s="159">
        <v>9756</v>
      </c>
      <c r="H83" s="154">
        <f t="shared" si="3"/>
        <v>-5.0430504305043047E-2</v>
      </c>
      <c r="I83" s="23">
        <f>(E83-E116)*J83</f>
        <v>2.3387477234042976E-2</v>
      </c>
      <c r="J83" s="20">
        <f>H83-H116</f>
        <v>-0.41256863987372799</v>
      </c>
      <c r="K83" s="155">
        <f t="shared" si="5"/>
        <v>0.17021288260725786</v>
      </c>
      <c r="L83" s="76">
        <f t="shared" si="4"/>
        <v>0.13740133458644413</v>
      </c>
    </row>
    <row r="84" spans="1:12" ht="15.75" thickBot="1" x14ac:dyDescent="0.3">
      <c r="A84" s="102">
        <v>21</v>
      </c>
      <c r="B84" s="105" t="s">
        <v>61</v>
      </c>
      <c r="C84" s="108" t="s">
        <v>62</v>
      </c>
      <c r="D84" s="156">
        <v>2019</v>
      </c>
      <c r="E84" s="157">
        <f>'Return LQ'!G83</f>
        <v>-0.18409090909090908</v>
      </c>
      <c r="F84" s="156">
        <v>5726</v>
      </c>
      <c r="G84" s="156">
        <v>7018</v>
      </c>
      <c r="H84" s="154">
        <f t="shared" si="3"/>
        <v>-0.18409803362781418</v>
      </c>
      <c r="I84" s="23">
        <f>(E84-E116)*J84</f>
        <v>0.10398054637047625</v>
      </c>
      <c r="J84" s="20">
        <f>H84-H116</f>
        <v>-0.5462361691964992</v>
      </c>
      <c r="K84" s="155">
        <f t="shared" si="5"/>
        <v>0.29837395253846649</v>
      </c>
      <c r="L84" s="76">
        <f t="shared" si="4"/>
        <v>0.34849069593992471</v>
      </c>
    </row>
    <row r="85" spans="1:12" ht="15.75" thickBot="1" x14ac:dyDescent="0.3">
      <c r="A85" s="103"/>
      <c r="B85" s="106"/>
      <c r="C85" s="109"/>
      <c r="D85" s="149">
        <v>2020</v>
      </c>
      <c r="E85" s="157">
        <f>'Return LQ'!G84</f>
        <v>0.22562674094707522</v>
      </c>
      <c r="F85" s="149">
        <v>6857</v>
      </c>
      <c r="G85" s="149">
        <v>5726</v>
      </c>
      <c r="H85" s="154">
        <f t="shared" si="3"/>
        <v>0.19752008382815228</v>
      </c>
      <c r="I85" s="23">
        <f>(E85-E116)*J85</f>
        <v>-3.6110521550927671E-2</v>
      </c>
      <c r="J85" s="20">
        <f>H85-H116</f>
        <v>-0.16461805174053268</v>
      </c>
      <c r="K85" s="155">
        <f t="shared" si="5"/>
        <v>2.7099102958848695E-2</v>
      </c>
      <c r="L85" s="76">
        <f t="shared" si="4"/>
        <v>-1.332535678607637</v>
      </c>
    </row>
    <row r="86" spans="1:12" ht="15.75" thickBot="1" x14ac:dyDescent="0.3">
      <c r="A86" s="103"/>
      <c r="B86" s="106"/>
      <c r="C86" s="109"/>
      <c r="D86" s="149">
        <v>2021</v>
      </c>
      <c r="E86" s="157">
        <f>'Return LQ'!G85</f>
        <v>0.36363636363636365</v>
      </c>
      <c r="F86" s="149">
        <v>9570</v>
      </c>
      <c r="G86" s="149">
        <v>6857</v>
      </c>
      <c r="H86" s="154">
        <f t="shared" si="3"/>
        <v>0.39565407612658599</v>
      </c>
      <c r="I86" s="23">
        <f>(E86-E116)*J86</f>
        <v>1.1977559836243464E-2</v>
      </c>
      <c r="J86" s="20">
        <f>H86-H116</f>
        <v>3.3515940557901025E-2</v>
      </c>
      <c r="K86" s="155">
        <f t="shared" si="5"/>
        <v>1.1233182714807549E-3</v>
      </c>
      <c r="L86" s="76">
        <f t="shared" si="4"/>
        <v>10.662659141522447</v>
      </c>
    </row>
    <row r="87" spans="1:12" ht="15.75" thickBot="1" x14ac:dyDescent="0.3">
      <c r="A87" s="104"/>
      <c r="B87" s="107"/>
      <c r="C87" s="110"/>
      <c r="D87" s="159">
        <v>2022</v>
      </c>
      <c r="E87" s="157">
        <f>'Return LQ'!G86</f>
        <v>-0.34666666666666668</v>
      </c>
      <c r="F87" s="159">
        <v>6525</v>
      </c>
      <c r="G87" s="159">
        <v>9570</v>
      </c>
      <c r="H87" s="154">
        <f t="shared" si="3"/>
        <v>-0.31818181818181818</v>
      </c>
      <c r="I87" s="23">
        <f>(E87-E116)*J87</f>
        <v>0.24010802917277627</v>
      </c>
      <c r="J87" s="20">
        <f>H87-H116</f>
        <v>-0.68031995375050314</v>
      </c>
      <c r="K87" s="155">
        <f t="shared" si="5"/>
        <v>0.46283523947108673</v>
      </c>
      <c r="L87" s="76">
        <f t="shared" si="4"/>
        <v>0.51877646448693926</v>
      </c>
    </row>
    <row r="88" spans="1:12" ht="15.75" thickBot="1" x14ac:dyDescent="0.3">
      <c r="A88" s="102">
        <v>22</v>
      </c>
      <c r="B88" s="105" t="s">
        <v>63</v>
      </c>
      <c r="C88" s="108" t="s">
        <v>64</v>
      </c>
      <c r="D88" s="156">
        <v>2019</v>
      </c>
      <c r="E88" s="157">
        <f>'Return LQ'!G87</f>
        <v>0.59090909090909094</v>
      </c>
      <c r="F88" s="156">
        <v>3367</v>
      </c>
      <c r="G88" s="156">
        <v>2116</v>
      </c>
      <c r="H88" s="154">
        <f t="shared" si="3"/>
        <v>0.5912098298676749</v>
      </c>
      <c r="I88" s="23">
        <f>(E88-E116)*J88</f>
        <v>0.13392488247243628</v>
      </c>
      <c r="J88" s="20">
        <f>H88-H116</f>
        <v>0.22907169429898994</v>
      </c>
      <c r="K88" s="155">
        <f t="shared" si="5"/>
        <v>5.24738411290099E-2</v>
      </c>
      <c r="L88" s="76">
        <f t="shared" si="4"/>
        <v>2.5522218231208651</v>
      </c>
    </row>
    <row r="89" spans="1:12" ht="15.75" thickBot="1" x14ac:dyDescent="0.3">
      <c r="A89" s="103"/>
      <c r="B89" s="106"/>
      <c r="C89" s="109"/>
      <c r="D89" s="149">
        <v>2020</v>
      </c>
      <c r="E89" s="157">
        <f>'Return LQ'!G88</f>
        <v>-0.13333333333333333</v>
      </c>
      <c r="F89" s="149">
        <v>2923</v>
      </c>
      <c r="G89" s="149">
        <v>3367</v>
      </c>
      <c r="H89" s="154">
        <f t="shared" si="3"/>
        <v>-0.13186813186813187</v>
      </c>
      <c r="I89" s="23">
        <f>(E89-E116)*J89</f>
        <v>6.8963594552910359E-2</v>
      </c>
      <c r="J89" s="20">
        <f>H89-H116</f>
        <v>-0.49400626743681686</v>
      </c>
      <c r="K89" s="155">
        <f t="shared" si="5"/>
        <v>0.24404219226685583</v>
      </c>
      <c r="L89" s="76">
        <f t="shared" si="4"/>
        <v>0.28258881758241167</v>
      </c>
    </row>
    <row r="90" spans="1:12" ht="15.75" thickBot="1" x14ac:dyDescent="0.3">
      <c r="A90" s="103"/>
      <c r="B90" s="106"/>
      <c r="C90" s="109"/>
      <c r="D90" s="149">
        <v>2021</v>
      </c>
      <c r="E90" s="157">
        <f>'Return LQ'!G89</f>
        <v>0.16117216117216118</v>
      </c>
      <c r="F90" s="149">
        <v>3399</v>
      </c>
      <c r="G90" s="149">
        <v>2923</v>
      </c>
      <c r="H90" s="154">
        <f t="shared" si="3"/>
        <v>0.16284639069449197</v>
      </c>
      <c r="I90" s="23">
        <f>(E90-E116)*J90</f>
        <v>-3.0871257350181876E-2</v>
      </c>
      <c r="J90" s="20">
        <f>H90-H116</f>
        <v>-0.19929174487419299</v>
      </c>
      <c r="K90" s="155">
        <f t="shared" si="5"/>
        <v>3.9717199575000424E-2</v>
      </c>
      <c r="L90" s="76">
        <f t="shared" si="4"/>
        <v>-0.77727678891070318</v>
      </c>
    </row>
    <row r="91" spans="1:12" ht="15.75" thickBot="1" x14ac:dyDescent="0.3">
      <c r="A91" s="104"/>
      <c r="B91" s="107"/>
      <c r="C91" s="110"/>
      <c r="D91" s="159">
        <v>2022</v>
      </c>
      <c r="E91" s="157">
        <f>'Return LQ'!G90</f>
        <v>-0.32492113564668768</v>
      </c>
      <c r="F91" s="159">
        <v>2809</v>
      </c>
      <c r="G91" s="159">
        <v>3399</v>
      </c>
      <c r="H91" s="154">
        <f t="shared" si="3"/>
        <v>-0.17358046484260076</v>
      </c>
      <c r="I91" s="23">
        <f>(E91-E116)*J91</f>
        <v>0.17742381253492923</v>
      </c>
      <c r="J91" s="20">
        <f>H91-H116</f>
        <v>-0.53571860041128572</v>
      </c>
      <c r="K91" s="155">
        <f t="shared" si="5"/>
        <v>0.2869944188266268</v>
      </c>
      <c r="L91" s="76">
        <f t="shared" si="4"/>
        <v>0.61821345955201612</v>
      </c>
    </row>
    <row r="92" spans="1:12" ht="15.75" thickBot="1" x14ac:dyDescent="0.3">
      <c r="A92" s="102">
        <v>23</v>
      </c>
      <c r="B92" s="105" t="s">
        <v>65</v>
      </c>
      <c r="C92" s="108">
        <v>40369</v>
      </c>
      <c r="D92" s="156">
        <v>2019</v>
      </c>
      <c r="E92" s="157">
        <f>'Return LQ'!G91</f>
        <v>6.6985645933014357E-2</v>
      </c>
      <c r="F92" s="156">
        <v>1300</v>
      </c>
      <c r="G92" s="156">
        <v>1219</v>
      </c>
      <c r="H92" s="154">
        <f t="shared" si="3"/>
        <v>6.6447908121410992E-2</v>
      </c>
      <c r="I92" s="23">
        <f>(E92-E116)*J92</f>
        <v>-1.7953817480045285E-2</v>
      </c>
      <c r="J92" s="20">
        <f>H92-H116</f>
        <v>-0.29569022744727397</v>
      </c>
      <c r="K92" s="155">
        <f t="shared" si="5"/>
        <v>8.743271060782061E-2</v>
      </c>
      <c r="L92" s="76">
        <f t="shared" si="4"/>
        <v>-0.20534439977020874</v>
      </c>
    </row>
    <row r="93" spans="1:12" ht="15.75" thickBot="1" x14ac:dyDescent="0.3">
      <c r="A93" s="103"/>
      <c r="B93" s="106"/>
      <c r="C93" s="109"/>
      <c r="D93" s="149">
        <v>2020</v>
      </c>
      <c r="E93" s="157">
        <f>'Return LQ'!G92</f>
        <v>-0.14125560538116591</v>
      </c>
      <c r="F93" s="149">
        <v>1116</v>
      </c>
      <c r="G93" s="149">
        <v>1300</v>
      </c>
      <c r="H93" s="154">
        <f t="shared" si="3"/>
        <v>-0.14153846153846153</v>
      </c>
      <c r="I93" s="23">
        <f>(E93-E116)*J93</f>
        <v>7.4303841857935982E-2</v>
      </c>
      <c r="J93" s="20">
        <f>H93-H116</f>
        <v>-0.50367659710714652</v>
      </c>
      <c r="K93" s="155">
        <f t="shared" si="5"/>
        <v>0.25369011447343481</v>
      </c>
      <c r="L93" s="76">
        <f t="shared" si="4"/>
        <v>0.29289214525431073</v>
      </c>
    </row>
    <row r="94" spans="1:12" ht="15.75" thickBot="1" x14ac:dyDescent="0.3">
      <c r="A94" s="103"/>
      <c r="B94" s="106"/>
      <c r="C94" s="109"/>
      <c r="D94" s="149">
        <v>2021</v>
      </c>
      <c r="E94" s="157">
        <f>'Return LQ'!G93</f>
        <v>-9.1383812010443863E-2</v>
      </c>
      <c r="F94" s="149">
        <v>1015</v>
      </c>
      <c r="G94" s="149">
        <v>1116</v>
      </c>
      <c r="H94" s="154">
        <f t="shared" si="3"/>
        <v>-9.0501792114695334E-2</v>
      </c>
      <c r="I94" s="23">
        <f>(E94-E116)*J94</f>
        <v>4.4200798461642044E-2</v>
      </c>
      <c r="J94" s="20">
        <f>H94-H116</f>
        <v>-0.45263992768338029</v>
      </c>
      <c r="K94" s="155">
        <f t="shared" si="5"/>
        <v>0.20488290413321575</v>
      </c>
      <c r="L94" s="76">
        <f t="shared" si="4"/>
        <v>0.21573687979794787</v>
      </c>
    </row>
    <row r="95" spans="1:12" ht="15.75" thickBot="1" x14ac:dyDescent="0.3">
      <c r="A95" s="104"/>
      <c r="B95" s="107"/>
      <c r="C95" s="110"/>
      <c r="D95" s="159">
        <v>2022</v>
      </c>
      <c r="E95" s="157">
        <f>'Return LQ'!G94</f>
        <v>0.14942528735632185</v>
      </c>
      <c r="F95" s="159">
        <v>1166</v>
      </c>
      <c r="G95" s="159">
        <v>1015</v>
      </c>
      <c r="H95" s="154">
        <f t="shared" si="3"/>
        <v>0.14876847290640394</v>
      </c>
      <c r="I95" s="23">
        <f>(E95-E116)*J95</f>
        <v>-3.0545568555013256E-2</v>
      </c>
      <c r="J95" s="20">
        <f>H95-H116</f>
        <v>-0.21336966266228102</v>
      </c>
      <c r="K95" s="155">
        <f t="shared" si="5"/>
        <v>4.5526612944615602E-2</v>
      </c>
      <c r="L95" s="76">
        <f t="shared" si="4"/>
        <v>-0.67093874504068196</v>
      </c>
    </row>
    <row r="96" spans="1:12" ht="15.75" thickBot="1" x14ac:dyDescent="0.3">
      <c r="A96" s="102">
        <v>24</v>
      </c>
      <c r="B96" s="105" t="s">
        <v>66</v>
      </c>
      <c r="C96" s="108" t="s">
        <v>67</v>
      </c>
      <c r="D96" s="156">
        <v>2019</v>
      </c>
      <c r="E96" s="157">
        <f>'Return LQ'!G95</f>
        <v>0.69523809523809521</v>
      </c>
      <c r="F96" s="156">
        <v>14455</v>
      </c>
      <c r="G96" s="156">
        <v>2391</v>
      </c>
      <c r="H96" s="154">
        <f t="shared" si="3"/>
        <v>5.0455876202425767</v>
      </c>
      <c r="I96" s="23">
        <f>(E96-E116)*J96</f>
        <v>3.2267598519375915</v>
      </c>
      <c r="J96" s="20">
        <f>H96-H116</f>
        <v>4.6834494846738917</v>
      </c>
      <c r="K96" s="155">
        <f t="shared" si="5"/>
        <v>21.934699075492141</v>
      </c>
      <c r="L96" s="76">
        <f t="shared" si="4"/>
        <v>0.14710755049942228</v>
      </c>
    </row>
    <row r="97" spans="1:12" ht="15.75" thickBot="1" x14ac:dyDescent="0.3">
      <c r="A97" s="103"/>
      <c r="B97" s="106"/>
      <c r="C97" s="109"/>
      <c r="D97" s="149">
        <v>2020</v>
      </c>
      <c r="E97" s="157">
        <f>'Return LQ'!G96</f>
        <v>2.247191011235955E-2</v>
      </c>
      <c r="F97" s="149">
        <v>25699</v>
      </c>
      <c r="G97" s="149">
        <v>14455</v>
      </c>
      <c r="H97" s="154">
        <f t="shared" si="3"/>
        <v>0.77786233137322724</v>
      </c>
      <c r="I97" s="23">
        <f>(E97-E116)*J97</f>
        <v>6.7366428285203428E-3</v>
      </c>
      <c r="J97" s="20">
        <f>H97-H116</f>
        <v>0.41572419580454228</v>
      </c>
      <c r="K97" s="155">
        <f t="shared" si="5"/>
        <v>0.1728266069773334</v>
      </c>
      <c r="L97" s="76">
        <f t="shared" si="4"/>
        <v>3.8979199709705974E-2</v>
      </c>
    </row>
    <row r="98" spans="1:12" ht="15.75" thickBot="1" x14ac:dyDescent="0.3">
      <c r="A98" s="103"/>
      <c r="B98" s="106"/>
      <c r="C98" s="109"/>
      <c r="D98" s="149">
        <v>2021</v>
      </c>
      <c r="E98" s="157">
        <f>'Return LQ'!G97</f>
        <v>-0.17216117216117216</v>
      </c>
      <c r="F98" s="149">
        <v>32196</v>
      </c>
      <c r="G98" s="149">
        <v>25699</v>
      </c>
      <c r="H98" s="154">
        <f t="shared" si="3"/>
        <v>0.25281139343943343</v>
      </c>
      <c r="I98" s="23">
        <f>(E98-E116)*J98</f>
        <v>1.9507005057877256E-2</v>
      </c>
      <c r="J98" s="20">
        <f>H98-H116</f>
        <v>-0.10932674212925153</v>
      </c>
      <c r="K98" s="155">
        <f t="shared" si="5"/>
        <v>1.1952336544595862E-2</v>
      </c>
      <c r="L98" s="76">
        <f t="shared" si="4"/>
        <v>1.6320662478916865</v>
      </c>
    </row>
    <row r="99" spans="1:12" ht="15.75" thickBot="1" x14ac:dyDescent="0.3">
      <c r="A99" s="104"/>
      <c r="B99" s="107"/>
      <c r="C99" s="110"/>
      <c r="D99" s="159">
        <v>2022</v>
      </c>
      <c r="E99" s="157">
        <f>'Return LQ'!G98</f>
        <v>0.41150442477876104</v>
      </c>
      <c r="F99" s="159">
        <v>45445</v>
      </c>
      <c r="G99" s="159">
        <v>32196</v>
      </c>
      <c r="H99" s="154">
        <f t="shared" si="3"/>
        <v>0.41151074667660581</v>
      </c>
      <c r="I99" s="23">
        <f>(E99-E116)*J99</f>
        <v>2.000761429376699E-2</v>
      </c>
      <c r="J99" s="20">
        <f>H99-H116</f>
        <v>4.937261110792085E-2</v>
      </c>
      <c r="K99" s="155">
        <f t="shared" si="5"/>
        <v>2.4376547276139891E-3</v>
      </c>
      <c r="L99" s="76">
        <f t="shared" si="4"/>
        <v>8.2077310076438614</v>
      </c>
    </row>
    <row r="100" spans="1:12" ht="15.75" thickBot="1" x14ac:dyDescent="0.3">
      <c r="A100" s="102">
        <v>25</v>
      </c>
      <c r="B100" s="105" t="s">
        <v>68</v>
      </c>
      <c r="C100" s="108">
        <v>37299</v>
      </c>
      <c r="D100" s="156">
        <v>2019</v>
      </c>
      <c r="E100" s="157">
        <f>'Return LQ'!G99</f>
        <v>-0.38139534883720932</v>
      </c>
      <c r="F100" s="156">
        <v>2977</v>
      </c>
      <c r="G100" s="156">
        <v>4532</v>
      </c>
      <c r="H100" s="154">
        <f t="shared" si="3"/>
        <v>-0.34311562224183584</v>
      </c>
      <c r="I100" s="23">
        <f>(E100-E116)*J100</f>
        <v>0.27340054948894438</v>
      </c>
      <c r="J100" s="20">
        <f>H100-H116</f>
        <v>-0.7052537578105208</v>
      </c>
      <c r="K100" s="155">
        <f t="shared" si="5"/>
        <v>0.4973828629058607</v>
      </c>
      <c r="L100" s="76">
        <f t="shared" si="4"/>
        <v>0.54967826573608891</v>
      </c>
    </row>
    <row r="101" spans="1:12" ht="15.75" thickBot="1" x14ac:dyDescent="0.3">
      <c r="A101" s="103"/>
      <c r="B101" s="106"/>
      <c r="C101" s="109"/>
      <c r="D101" s="149">
        <v>2020</v>
      </c>
      <c r="E101" s="157">
        <f>'Return LQ'!G100</f>
        <v>5.6390977443609019E-2</v>
      </c>
      <c r="F101" s="149">
        <v>3237</v>
      </c>
      <c r="G101" s="149">
        <v>2977</v>
      </c>
      <c r="H101" s="154">
        <f t="shared" si="3"/>
        <v>8.7336244541484712E-2</v>
      </c>
      <c r="I101" s="23">
        <f>(E101-E116)*J101</f>
        <v>-1.3774077592964557E-2</v>
      </c>
      <c r="J101" s="20">
        <f>H101-H116</f>
        <v>-0.27480189102720026</v>
      </c>
      <c r="K101" s="155">
        <f t="shared" si="5"/>
        <v>7.5516079312125242E-2</v>
      </c>
      <c r="L101" s="76">
        <f t="shared" si="4"/>
        <v>-0.18239926805565662</v>
      </c>
    </row>
    <row r="102" spans="1:12" ht="15.75" thickBot="1" x14ac:dyDescent="0.3">
      <c r="A102" s="103"/>
      <c r="B102" s="106"/>
      <c r="C102" s="109"/>
      <c r="D102" s="149">
        <v>2021</v>
      </c>
      <c r="E102" s="157">
        <f>'Return LQ'!G101</f>
        <v>-3.5587188612099648E-2</v>
      </c>
      <c r="F102" s="149">
        <v>3122</v>
      </c>
      <c r="G102" s="149">
        <v>3237</v>
      </c>
      <c r="H102" s="154">
        <f t="shared" si="3"/>
        <v>-3.5526722273710225E-2</v>
      </c>
      <c r="I102" s="23">
        <f>(E102-E116)*J102</f>
        <v>1.6644064696073813E-2</v>
      </c>
      <c r="J102" s="20">
        <f>H102-H116</f>
        <v>-0.39766485784239519</v>
      </c>
      <c r="K102" s="155">
        <f t="shared" si="5"/>
        <v>0.15813733916281239</v>
      </c>
      <c r="L102" s="76">
        <f t="shared" si="4"/>
        <v>0.10525069401185318</v>
      </c>
    </row>
    <row r="103" spans="1:12" ht="15.75" thickBot="1" x14ac:dyDescent="0.3">
      <c r="A103" s="104"/>
      <c r="B103" s="107"/>
      <c r="C103" s="110"/>
      <c r="D103" s="159">
        <v>2022</v>
      </c>
      <c r="E103" s="157">
        <f>'Return LQ'!G102</f>
        <v>0.36162361623616235</v>
      </c>
      <c r="F103" s="159">
        <v>4239</v>
      </c>
      <c r="G103" s="159">
        <v>3122</v>
      </c>
      <c r="H103" s="154">
        <f t="shared" si="3"/>
        <v>0.3577834721332479</v>
      </c>
      <c r="I103" s="23">
        <f>(E103-E116)*J103</f>
        <v>-1.5474570973807939E-3</v>
      </c>
      <c r="J103" s="20">
        <f>H103-H116</f>
        <v>-4.3546634354370561E-3</v>
      </c>
      <c r="K103" s="155">
        <f t="shared" si="5"/>
        <v>1.8963093635932464E-5</v>
      </c>
      <c r="L103" s="76">
        <f t="shared" si="4"/>
        <v>-81.60362054261941</v>
      </c>
    </row>
    <row r="104" spans="1:12" ht="15.75" thickBot="1" x14ac:dyDescent="0.3">
      <c r="A104" s="102">
        <v>26</v>
      </c>
      <c r="B104" s="105" t="s">
        <v>69</v>
      </c>
      <c r="C104" s="108">
        <v>40423</v>
      </c>
      <c r="D104" s="156">
        <v>2019</v>
      </c>
      <c r="E104" s="157">
        <f>'Return LQ'!G103</f>
        <v>-0.12188365650969529</v>
      </c>
      <c r="F104" s="156">
        <v>9826</v>
      </c>
      <c r="G104" s="156">
        <v>11190</v>
      </c>
      <c r="H104" s="154">
        <f t="shared" si="3"/>
        <v>-0.12189454870420018</v>
      </c>
      <c r="I104" s="23">
        <f>(E104-E116)*J104</f>
        <v>6.2029258083381736E-2</v>
      </c>
      <c r="J104" s="20">
        <f>H104-H116</f>
        <v>-0.48403268427288515</v>
      </c>
      <c r="K104" s="155">
        <f t="shared" si="5"/>
        <v>0.23428763944441452</v>
      </c>
      <c r="L104" s="76">
        <f t="shared" si="4"/>
        <v>0.26475685286034206</v>
      </c>
    </row>
    <row r="105" spans="1:12" ht="15.75" thickBot="1" x14ac:dyDescent="0.3">
      <c r="A105" s="103"/>
      <c r="B105" s="106"/>
      <c r="C105" s="109"/>
      <c r="D105" s="149">
        <v>2020</v>
      </c>
      <c r="E105" s="157">
        <f>'Return LQ'!G104</f>
        <v>0.17665615141955837</v>
      </c>
      <c r="F105" s="149">
        <v>11562</v>
      </c>
      <c r="G105" s="149">
        <v>9826</v>
      </c>
      <c r="H105" s="154">
        <f t="shared" si="3"/>
        <v>0.17667412985955627</v>
      </c>
      <c r="I105" s="23">
        <f>(E105-E116)*J105</f>
        <v>-3.1600996379022146E-2</v>
      </c>
      <c r="J105" s="20">
        <f>H105-H116</f>
        <v>-0.18546400570912869</v>
      </c>
      <c r="K105" s="155">
        <f t="shared" si="5"/>
        <v>3.4396897413675721E-2</v>
      </c>
      <c r="L105" s="76">
        <f t="shared" si="4"/>
        <v>-0.91871647605222773</v>
      </c>
    </row>
    <row r="106" spans="1:12" ht="15.75" thickBot="1" x14ac:dyDescent="0.3">
      <c r="A106" s="103"/>
      <c r="B106" s="106"/>
      <c r="C106" s="109"/>
      <c r="D106" s="149">
        <v>2021</v>
      </c>
      <c r="E106" s="157">
        <f>'Return LQ'!G105</f>
        <v>-0.46916890080428952</v>
      </c>
      <c r="F106" s="149">
        <v>6137</v>
      </c>
      <c r="G106" s="149">
        <v>11562</v>
      </c>
      <c r="H106" s="154">
        <f t="shared" si="3"/>
        <v>-0.46920947932883583</v>
      </c>
      <c r="I106" s="23">
        <f>(E106-E116)*J106</f>
        <v>0.39525276293074119</v>
      </c>
      <c r="J106" s="20">
        <f>H106-H116</f>
        <v>-0.83134761489752074</v>
      </c>
      <c r="K106" s="155">
        <f t="shared" si="5"/>
        <v>0.69113885679579645</v>
      </c>
      <c r="L106" s="76">
        <f t="shared" si="4"/>
        <v>0.57188618328186747</v>
      </c>
    </row>
    <row r="107" spans="1:12" ht="15.75" thickBot="1" x14ac:dyDescent="0.3">
      <c r="A107" s="104"/>
      <c r="B107" s="107"/>
      <c r="C107" s="110"/>
      <c r="D107" s="159">
        <v>2022</v>
      </c>
      <c r="E107" s="157">
        <f>'Return LQ'!G106</f>
        <v>-0.27777777777777779</v>
      </c>
      <c r="F107" s="159">
        <v>4432</v>
      </c>
      <c r="G107" s="159">
        <v>6137</v>
      </c>
      <c r="H107" s="154">
        <f t="shared" si="3"/>
        <v>-0.27782304057357016</v>
      </c>
      <c r="I107" s="23">
        <f>(E107-E116)*J107</f>
        <v>0.1817778307939146</v>
      </c>
      <c r="J107" s="20">
        <f>H107-H116</f>
        <v>-0.63996117614225512</v>
      </c>
      <c r="K107" s="155">
        <f t="shared" si="5"/>
        <v>0.4095503069693785</v>
      </c>
      <c r="L107" s="76">
        <f t="shared" si="4"/>
        <v>0.44384738016447361</v>
      </c>
    </row>
    <row r="108" spans="1:12" ht="15.75" thickBot="1" x14ac:dyDescent="0.3">
      <c r="A108" s="102">
        <v>27</v>
      </c>
      <c r="B108" s="105" t="s">
        <v>29</v>
      </c>
      <c r="C108" s="108">
        <v>33457</v>
      </c>
      <c r="D108" s="156">
        <v>2019</v>
      </c>
      <c r="E108" s="157">
        <f>'Return LQ'!G107</f>
        <v>4.3478220170636517E-2</v>
      </c>
      <c r="F108" s="156">
        <v>71178</v>
      </c>
      <c r="G108" s="156">
        <v>68212</v>
      </c>
      <c r="H108" s="154">
        <f t="shared" si="3"/>
        <v>4.3482085263589987E-2</v>
      </c>
      <c r="I108" s="23">
        <f>(E108-E116)*J108</f>
        <v>-1.1857480496971528E-2</v>
      </c>
      <c r="J108" s="20">
        <f>H108-H116</f>
        <v>-0.31865605030509497</v>
      </c>
      <c r="K108" s="155">
        <f t="shared" si="5"/>
        <v>0.10154167839604322</v>
      </c>
      <c r="L108" s="76">
        <f t="shared" si="4"/>
        <v>-0.11677451746192112</v>
      </c>
    </row>
    <row r="109" spans="1:12" ht="15.75" thickBot="1" x14ac:dyDescent="0.3">
      <c r="A109" s="103"/>
      <c r="B109" s="106"/>
      <c r="C109" s="109"/>
      <c r="D109" s="149">
        <v>2020</v>
      </c>
      <c r="E109" s="157">
        <f>'Return LQ'!G108</f>
        <v>3.5416704233569435E-2</v>
      </c>
      <c r="F109" s="149">
        <v>76665</v>
      </c>
      <c r="G109" s="149">
        <v>71178</v>
      </c>
      <c r="H109" s="154">
        <f t="shared" si="3"/>
        <v>7.7088426199106469E-2</v>
      </c>
      <c r="I109" s="23">
        <f>(E109-E116)*J109</f>
        <v>-8.3090253113141475E-3</v>
      </c>
      <c r="J109" s="20">
        <f>H109-H116</f>
        <v>-0.28504970936957852</v>
      </c>
      <c r="K109" s="155">
        <f t="shared" si="5"/>
        <v>8.1253336811681176E-2</v>
      </c>
      <c r="L109" s="76">
        <f t="shared" si="4"/>
        <v>-0.10226072721876971</v>
      </c>
    </row>
    <row r="110" spans="1:12" ht="15.75" thickBot="1" x14ac:dyDescent="0.3">
      <c r="A110" s="103"/>
      <c r="B110" s="106"/>
      <c r="C110" s="109"/>
      <c r="D110" s="149">
        <v>2021</v>
      </c>
      <c r="E110" s="157">
        <f>'Return LQ'!G109</f>
        <v>-0.41649902661318078</v>
      </c>
      <c r="F110" s="149">
        <v>43004</v>
      </c>
      <c r="G110" s="149">
        <v>76665</v>
      </c>
      <c r="H110" s="154">
        <f t="shared" si="3"/>
        <v>-0.43906606665362291</v>
      </c>
      <c r="I110" s="23">
        <f>(E110-E116)*J110</f>
        <v>0.33872216838496838</v>
      </c>
      <c r="J110" s="20">
        <f>H110-H116</f>
        <v>-0.80120420222230782</v>
      </c>
      <c r="K110" s="155">
        <f t="shared" si="5"/>
        <v>0.64192817365868471</v>
      </c>
      <c r="L110" s="76">
        <f t="shared" si="4"/>
        <v>0.52766365815417238</v>
      </c>
    </row>
    <row r="111" spans="1:12" ht="15.75" thickBot="1" x14ac:dyDescent="0.3">
      <c r="A111" s="104"/>
      <c r="B111" s="107"/>
      <c r="C111" s="110"/>
      <c r="D111" s="159">
        <v>2022</v>
      </c>
      <c r="E111" s="157">
        <f>'Return LQ'!G110</f>
        <v>-9.0580249505459426E-2</v>
      </c>
      <c r="F111" s="159">
        <v>44391</v>
      </c>
      <c r="G111" s="159">
        <v>43004</v>
      </c>
      <c r="H111" s="154">
        <f t="shared" si="3"/>
        <v>3.2252813691749607E-2</v>
      </c>
      <c r="I111" s="23">
        <f>(E111-E116)*J111</f>
        <v>3.1948589547813752E-2</v>
      </c>
      <c r="J111" s="20">
        <f>H111-H116</f>
        <v>-0.32988532187693537</v>
      </c>
      <c r="K111" s="155">
        <f t="shared" si="5"/>
        <v>0.10882432558984925</v>
      </c>
      <c r="L111" s="76">
        <f t="shared" si="4"/>
        <v>0.29357948578726412</v>
      </c>
    </row>
    <row r="112" spans="1:12" ht="15.75" thickBot="1" x14ac:dyDescent="0.3">
      <c r="A112" s="102">
        <v>28</v>
      </c>
      <c r="B112" s="105" t="s">
        <v>30</v>
      </c>
      <c r="C112" s="108" t="s">
        <v>31</v>
      </c>
      <c r="D112" s="156">
        <v>2019</v>
      </c>
      <c r="E112" s="157">
        <f>'Return LQ'!G111</f>
        <v>5.8666666666666666E-2</v>
      </c>
      <c r="F112" s="156">
        <v>39328</v>
      </c>
      <c r="G112" s="156">
        <v>37148</v>
      </c>
      <c r="H112" s="154">
        <f t="shared" si="3"/>
        <v>5.8684182190158286E-2</v>
      </c>
      <c r="I112" s="23">
        <f>(E112-E116)*J112</f>
        <v>-1.5900790824368988E-2</v>
      </c>
      <c r="J112" s="20">
        <f>H112-H116</f>
        <v>-0.30345395337852665</v>
      </c>
      <c r="K112" s="155">
        <f t="shared" si="5"/>
        <v>9.2084301821057021E-2</v>
      </c>
      <c r="L112" s="76">
        <f t="shared" si="4"/>
        <v>-0.17267645526887121</v>
      </c>
    </row>
    <row r="113" spans="1:12" ht="15.75" thickBot="1" x14ac:dyDescent="0.3">
      <c r="A113" s="103"/>
      <c r="B113" s="106"/>
      <c r="C113" s="109"/>
      <c r="D113" s="149">
        <v>2020</v>
      </c>
      <c r="E113" s="157">
        <f>'Return LQ'!G112</f>
        <v>-0.16624685138539042</v>
      </c>
      <c r="F113" s="149">
        <v>32790</v>
      </c>
      <c r="G113" s="149">
        <v>39328</v>
      </c>
      <c r="H113" s="154">
        <f t="shared" si="3"/>
        <v>-0.16624288039056143</v>
      </c>
      <c r="I113" s="23">
        <f>(E113-E116)*J113</f>
        <v>9.1153209794011411E-2</v>
      </c>
      <c r="J113" s="20">
        <f>H113-H116</f>
        <v>-0.52838101595924636</v>
      </c>
      <c r="K113" s="155">
        <f t="shared" si="5"/>
        <v>0.27918649802612533</v>
      </c>
      <c r="L113" s="76">
        <f t="shared" si="4"/>
        <v>0.32649576694601329</v>
      </c>
    </row>
    <row r="114" spans="1:12" ht="15.75" thickBot="1" x14ac:dyDescent="0.3">
      <c r="A114" s="103"/>
      <c r="B114" s="106"/>
      <c r="C114" s="109"/>
      <c r="D114" s="149">
        <v>2021</v>
      </c>
      <c r="E114" s="157">
        <f>'Return LQ'!G113</f>
        <v>0.22054380664652568</v>
      </c>
      <c r="F114" s="149">
        <v>40021</v>
      </c>
      <c r="G114" s="149">
        <v>32790</v>
      </c>
      <c r="H114" s="154">
        <f t="shared" si="3"/>
        <v>0.22052455016773406</v>
      </c>
      <c r="I114" s="23">
        <f>(E114-E116)*J114</f>
        <v>-3.0344462438972479E-2</v>
      </c>
      <c r="J114" s="20">
        <f>H114-H116</f>
        <v>-0.1416135854009509</v>
      </c>
      <c r="K114" s="155">
        <f t="shared" si="5"/>
        <v>2.0054407570112412E-2</v>
      </c>
      <c r="L114" s="76">
        <f t="shared" si="4"/>
        <v>-1.5131068984653326</v>
      </c>
    </row>
    <row r="115" spans="1:12" ht="15.75" thickBot="1" x14ac:dyDescent="0.3">
      <c r="A115" s="104"/>
      <c r="B115" s="107"/>
      <c r="C115" s="110"/>
      <c r="D115" s="159">
        <v>2022</v>
      </c>
      <c r="E115" s="157">
        <f>'Return LQ'!G114</f>
        <v>-7.1782178217821777E-2</v>
      </c>
      <c r="F115" s="159">
        <v>37148</v>
      </c>
      <c r="G115" s="159">
        <v>40021</v>
      </c>
      <c r="H115" s="154">
        <f t="shared" si="3"/>
        <v>-7.1787311661377778E-2</v>
      </c>
      <c r="I115" s="23">
        <f>(E115-E116)*J115</f>
        <v>3.3867660669135796E-2</v>
      </c>
      <c r="J115" s="20">
        <f>H115-H116</f>
        <v>-0.43392544723006277</v>
      </c>
      <c r="K115" s="155">
        <f t="shared" si="5"/>
        <v>0.18829129375380999</v>
      </c>
      <c r="L115" s="76">
        <f t="shared" si="4"/>
        <v>0.17986843679250306</v>
      </c>
    </row>
    <row r="116" spans="1:12" x14ac:dyDescent="0.25">
      <c r="A116" s="166" t="s">
        <v>33</v>
      </c>
      <c r="B116" s="166"/>
      <c r="C116" s="166"/>
      <c r="D116" s="166"/>
      <c r="E116" s="167">
        <f>AVERAGE(E4:E115)</f>
        <v>6.2673136599373843E-3</v>
      </c>
      <c r="F116" s="168"/>
      <c r="G116" s="168"/>
      <c r="H116" s="167">
        <f>AVERAGE(H4:H115)</f>
        <v>0.36213813556868496</v>
      </c>
      <c r="I116" s="87"/>
      <c r="J116" s="87"/>
      <c r="K116" s="87"/>
      <c r="L116" s="87"/>
    </row>
  </sheetData>
  <mergeCells count="97">
    <mergeCell ref="A108:A111"/>
    <mergeCell ref="B108:B111"/>
    <mergeCell ref="C108:C111"/>
    <mergeCell ref="A112:A115"/>
    <mergeCell ref="B112:B115"/>
    <mergeCell ref="C112:C115"/>
    <mergeCell ref="A100:A103"/>
    <mergeCell ref="B100:B103"/>
    <mergeCell ref="C100:C103"/>
    <mergeCell ref="A104:A107"/>
    <mergeCell ref="B104:B107"/>
    <mergeCell ref="C104:C107"/>
    <mergeCell ref="A92:A95"/>
    <mergeCell ref="B92:B95"/>
    <mergeCell ref="C92:C95"/>
    <mergeCell ref="A96:A99"/>
    <mergeCell ref="B96:B99"/>
    <mergeCell ref="C96:C99"/>
    <mergeCell ref="A84:A87"/>
    <mergeCell ref="B84:B87"/>
    <mergeCell ref="C84:C87"/>
    <mergeCell ref="A88:A91"/>
    <mergeCell ref="B88:B91"/>
    <mergeCell ref="C88:C91"/>
    <mergeCell ref="A76:A79"/>
    <mergeCell ref="B76:B79"/>
    <mergeCell ref="C76:C79"/>
    <mergeCell ref="A80:A83"/>
    <mergeCell ref="B80:B83"/>
    <mergeCell ref="C80:C83"/>
    <mergeCell ref="A68:A71"/>
    <mergeCell ref="B68:B71"/>
    <mergeCell ref="C68:C71"/>
    <mergeCell ref="A72:A75"/>
    <mergeCell ref="B72:B75"/>
    <mergeCell ref="C72:C75"/>
    <mergeCell ref="A60:A63"/>
    <mergeCell ref="B60:B63"/>
    <mergeCell ref="C60:C63"/>
    <mergeCell ref="A64:A67"/>
    <mergeCell ref="B64:B67"/>
    <mergeCell ref="C64:C67"/>
    <mergeCell ref="A52:A55"/>
    <mergeCell ref="B52:B55"/>
    <mergeCell ref="C52:C55"/>
    <mergeCell ref="A56:A59"/>
    <mergeCell ref="B56:B59"/>
    <mergeCell ref="C56:C59"/>
    <mergeCell ref="A8:A11"/>
    <mergeCell ref="B8:B11"/>
    <mergeCell ref="C8:C11"/>
    <mergeCell ref="A1:A3"/>
    <mergeCell ref="B1:B3"/>
    <mergeCell ref="C1:C3"/>
    <mergeCell ref="K2:K3"/>
    <mergeCell ref="L2:L3"/>
    <mergeCell ref="A4:A7"/>
    <mergeCell ref="B4:B7"/>
    <mergeCell ref="C4:C7"/>
    <mergeCell ref="D1:D3"/>
    <mergeCell ref="E1:L1"/>
    <mergeCell ref="E2:E3"/>
    <mergeCell ref="F2:G2"/>
    <mergeCell ref="H2:H3"/>
    <mergeCell ref="I2:I3"/>
    <mergeCell ref="J2:J3"/>
    <mergeCell ref="A12:A15"/>
    <mergeCell ref="B12:B15"/>
    <mergeCell ref="C12:C15"/>
    <mergeCell ref="A16:A19"/>
    <mergeCell ref="B16:B19"/>
    <mergeCell ref="C16:C19"/>
    <mergeCell ref="A20:A23"/>
    <mergeCell ref="B20:B23"/>
    <mergeCell ref="C20:C23"/>
    <mergeCell ref="A24:A27"/>
    <mergeCell ref="B24:B27"/>
    <mergeCell ref="C24:C27"/>
    <mergeCell ref="A28:A31"/>
    <mergeCell ref="B28:B31"/>
    <mergeCell ref="C28:C31"/>
    <mergeCell ref="A32:A35"/>
    <mergeCell ref="B32:B35"/>
    <mergeCell ref="C32:C35"/>
    <mergeCell ref="A44:A47"/>
    <mergeCell ref="B44:B47"/>
    <mergeCell ref="C44:C47"/>
    <mergeCell ref="A116:D116"/>
    <mergeCell ref="A36:A39"/>
    <mergeCell ref="B36:B39"/>
    <mergeCell ref="C36:C39"/>
    <mergeCell ref="A40:A43"/>
    <mergeCell ref="B40:B43"/>
    <mergeCell ref="C40:C43"/>
    <mergeCell ref="A48:A51"/>
    <mergeCell ref="B48:B51"/>
    <mergeCell ref="C48:C5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3063B-6E80-435F-97C4-314DE51E92DC}">
  <dimension ref="A1:G114"/>
  <sheetViews>
    <sheetView zoomScale="70" zoomScaleNormal="70" workbookViewId="0">
      <selection activeCell="G3" sqref="G3:G114"/>
    </sheetView>
  </sheetViews>
  <sheetFormatPr defaultRowHeight="15" x14ac:dyDescent="0.25"/>
  <cols>
    <col min="3" max="3" width="11.28515625" bestFit="1" customWidth="1"/>
    <col min="5" max="5" width="23.85546875" bestFit="1" customWidth="1"/>
    <col min="6" max="6" width="29.7109375" bestFit="1" customWidth="1"/>
    <col min="7" max="7" width="12" bestFit="1" customWidth="1"/>
  </cols>
  <sheetData>
    <row r="1" spans="1:7" x14ac:dyDescent="0.25">
      <c r="A1" s="115" t="s">
        <v>1</v>
      </c>
      <c r="B1" s="115" t="s">
        <v>2</v>
      </c>
      <c r="C1" s="115" t="s">
        <v>3</v>
      </c>
      <c r="D1" s="115" t="s">
        <v>4</v>
      </c>
      <c r="E1" s="117" t="s">
        <v>34</v>
      </c>
      <c r="F1" s="117"/>
      <c r="G1" s="117"/>
    </row>
    <row r="2" spans="1:7" ht="15.75" thickBot="1" x14ac:dyDescent="0.3">
      <c r="A2" s="116"/>
      <c r="B2" s="116"/>
      <c r="C2" s="116"/>
      <c r="D2" s="116"/>
      <c r="E2" s="51" t="s">
        <v>35</v>
      </c>
      <c r="F2" s="52" t="s">
        <v>36</v>
      </c>
      <c r="G2" s="53" t="s">
        <v>0</v>
      </c>
    </row>
    <row r="3" spans="1:7" ht="15.75" thickBot="1" x14ac:dyDescent="0.3">
      <c r="A3" s="102">
        <v>1</v>
      </c>
      <c r="B3" s="105" t="s">
        <v>24</v>
      </c>
      <c r="C3" s="108" t="s">
        <v>25</v>
      </c>
      <c r="D3" s="19">
        <v>2019</v>
      </c>
      <c r="E3" s="21">
        <f>'LA LQ'!E3</f>
        <v>360703200000</v>
      </c>
      <c r="F3" s="21">
        <v>1924088000</v>
      </c>
      <c r="G3" s="75">
        <f>E3/F3</f>
        <v>187.46710129682219</v>
      </c>
    </row>
    <row r="4" spans="1:7" ht="15.75" thickBot="1" x14ac:dyDescent="0.3">
      <c r="A4" s="103"/>
      <c r="B4" s="106"/>
      <c r="C4" s="109"/>
      <c r="D4" s="26">
        <v>2020</v>
      </c>
      <c r="E4" s="21">
        <f>'LA LQ'!E4</f>
        <v>201540400000</v>
      </c>
      <c r="F4" s="28">
        <v>1924088000</v>
      </c>
      <c r="G4" s="75">
        <f t="shared" ref="G4:G67" si="0">E4/F4</f>
        <v>104.7459367762805</v>
      </c>
    </row>
    <row r="5" spans="1:7" ht="15.75" thickBot="1" x14ac:dyDescent="0.3">
      <c r="A5" s="103"/>
      <c r="B5" s="106"/>
      <c r="C5" s="109"/>
      <c r="D5" s="26">
        <v>2021</v>
      </c>
      <c r="E5" s="21">
        <f>'LA LQ'!E5</f>
        <v>168152500000</v>
      </c>
      <c r="F5" s="28">
        <v>1924088000</v>
      </c>
      <c r="G5" s="75">
        <f t="shared" si="0"/>
        <v>87.393352071215034</v>
      </c>
    </row>
    <row r="6" spans="1:7" ht="15.75" thickBot="1" x14ac:dyDescent="0.3">
      <c r="A6" s="104"/>
      <c r="B6" s="107"/>
      <c r="C6" s="110"/>
      <c r="D6" s="29">
        <v>2022</v>
      </c>
      <c r="E6" s="21">
        <f>'LA LQ'!E6</f>
        <v>866779000000</v>
      </c>
      <c r="F6" s="31">
        <v>1924088000</v>
      </c>
      <c r="G6" s="75">
        <f t="shared" si="0"/>
        <v>450.48823130750776</v>
      </c>
    </row>
    <row r="7" spans="1:7" ht="15.75" thickBot="1" x14ac:dyDescent="0.3">
      <c r="A7" s="102">
        <v>2</v>
      </c>
      <c r="B7" s="94" t="s">
        <v>26</v>
      </c>
      <c r="C7" s="97">
        <v>32881</v>
      </c>
      <c r="D7" s="2">
        <v>2019</v>
      </c>
      <c r="E7" s="21">
        <f>'LA LQ'!E7</f>
        <v>137211300000</v>
      </c>
      <c r="F7" s="4">
        <v>116318076</v>
      </c>
      <c r="G7" s="75">
        <f t="shared" si="0"/>
        <v>1179.6214717306707</v>
      </c>
    </row>
    <row r="8" spans="1:7" ht="15.75" thickBot="1" x14ac:dyDescent="0.3">
      <c r="A8" s="103"/>
      <c r="B8" s="95"/>
      <c r="C8" s="98"/>
      <c r="D8" s="9">
        <v>2020</v>
      </c>
      <c r="E8" s="21">
        <f>'LA LQ'!E8</f>
        <v>85813780000</v>
      </c>
      <c r="F8" s="11">
        <v>116318076</v>
      </c>
      <c r="G8" s="75">
        <f t="shared" si="0"/>
        <v>737.75102676216898</v>
      </c>
    </row>
    <row r="9" spans="1:7" ht="15.75" thickBot="1" x14ac:dyDescent="0.3">
      <c r="A9" s="103"/>
      <c r="B9" s="95"/>
      <c r="C9" s="98"/>
      <c r="D9" s="9">
        <v>2021</v>
      </c>
      <c r="E9" s="21">
        <f>'LA LQ'!E9</f>
        <v>71370970000</v>
      </c>
      <c r="F9" s="11">
        <v>116318076</v>
      </c>
      <c r="G9" s="75">
        <f t="shared" si="0"/>
        <v>613.58451286625473</v>
      </c>
    </row>
    <row r="10" spans="1:7" ht="15.75" thickBot="1" x14ac:dyDescent="0.3">
      <c r="A10" s="104"/>
      <c r="B10" s="96"/>
      <c r="C10" s="99"/>
      <c r="D10" s="12">
        <v>2022</v>
      </c>
      <c r="E10" s="21">
        <f>'LA LQ'!E10</f>
        <v>6323744000</v>
      </c>
      <c r="F10" s="14">
        <v>116318076</v>
      </c>
      <c r="G10" s="75">
        <f t="shared" si="0"/>
        <v>54.365961142617252</v>
      </c>
    </row>
    <row r="11" spans="1:7" ht="15.75" thickBot="1" x14ac:dyDescent="0.3">
      <c r="A11" s="102">
        <v>3</v>
      </c>
      <c r="B11" s="94" t="s">
        <v>43</v>
      </c>
      <c r="C11" s="97" t="s">
        <v>44</v>
      </c>
      <c r="D11" s="2">
        <v>2019</v>
      </c>
      <c r="E11" s="21">
        <f>'LA LQ'!E11</f>
        <v>59027000000</v>
      </c>
      <c r="F11" s="4">
        <v>8780000000</v>
      </c>
      <c r="G11" s="75">
        <f t="shared" si="0"/>
        <v>6.7228929384965834</v>
      </c>
    </row>
    <row r="12" spans="1:7" ht="15.75" thickBot="1" x14ac:dyDescent="0.3">
      <c r="A12" s="103"/>
      <c r="B12" s="95"/>
      <c r="C12" s="98"/>
      <c r="D12" s="9">
        <v>2020</v>
      </c>
      <c r="E12" s="21">
        <f>'LA LQ'!E12</f>
        <v>87521000000</v>
      </c>
      <c r="F12" s="11">
        <v>8780000000</v>
      </c>
      <c r="G12" s="75">
        <f t="shared" si="0"/>
        <v>9.9682232346241459</v>
      </c>
    </row>
    <row r="13" spans="1:7" ht="15.75" thickBot="1" x14ac:dyDescent="0.3">
      <c r="A13" s="103"/>
      <c r="B13" s="95"/>
      <c r="C13" s="98"/>
      <c r="D13" s="9">
        <v>2021</v>
      </c>
      <c r="E13" s="21">
        <f>'LA LQ'!E13</f>
        <v>112297000000</v>
      </c>
      <c r="F13" s="11">
        <v>8780000000</v>
      </c>
      <c r="G13" s="75">
        <f t="shared" si="0"/>
        <v>12.790091116173121</v>
      </c>
    </row>
    <row r="14" spans="1:7" ht="15.75" thickBot="1" x14ac:dyDescent="0.3">
      <c r="A14" s="104"/>
      <c r="B14" s="96"/>
      <c r="C14" s="99"/>
      <c r="D14" s="12">
        <v>2022</v>
      </c>
      <c r="E14" s="21">
        <f>'LA LQ'!E14</f>
        <v>91926000000</v>
      </c>
      <c r="F14" s="14">
        <v>8780000000</v>
      </c>
      <c r="G14" s="75">
        <f t="shared" si="0"/>
        <v>10.46993166287016</v>
      </c>
    </row>
    <row r="15" spans="1:7" ht="15.75" thickBot="1" x14ac:dyDescent="0.3">
      <c r="A15" s="102">
        <v>4</v>
      </c>
      <c r="B15" s="105" t="s">
        <v>45</v>
      </c>
      <c r="C15" s="108">
        <v>39428</v>
      </c>
      <c r="D15" s="19">
        <v>2019</v>
      </c>
      <c r="E15" s="21">
        <f>'LA LQ'!E15</f>
        <v>2074000000</v>
      </c>
      <c r="F15" s="21">
        <v>7257871200</v>
      </c>
      <c r="G15" s="75">
        <f t="shared" si="0"/>
        <v>0.285758722199424</v>
      </c>
    </row>
    <row r="16" spans="1:7" ht="15.75" thickBot="1" x14ac:dyDescent="0.3">
      <c r="A16" s="103"/>
      <c r="B16" s="106"/>
      <c r="C16" s="109"/>
      <c r="D16" s="26">
        <v>2020</v>
      </c>
      <c r="E16" s="21">
        <f>'LA LQ'!E16</f>
        <v>-42000000000</v>
      </c>
      <c r="F16" s="28">
        <v>7257871200</v>
      </c>
      <c r="G16" s="75">
        <f t="shared" si="0"/>
        <v>-5.7868207967096463</v>
      </c>
    </row>
    <row r="17" spans="1:7" ht="15.75" thickBot="1" x14ac:dyDescent="0.3">
      <c r="A17" s="103"/>
      <c r="B17" s="106"/>
      <c r="C17" s="109"/>
      <c r="D17" s="26">
        <v>2021</v>
      </c>
      <c r="E17" s="21">
        <f>'LA LQ'!E17</f>
        <v>871000000000</v>
      </c>
      <c r="F17" s="28">
        <v>7257871200</v>
      </c>
      <c r="G17" s="75">
        <f t="shared" si="0"/>
        <v>120.00764080795481</v>
      </c>
    </row>
    <row r="18" spans="1:7" ht="15.75" thickBot="1" x14ac:dyDescent="0.3">
      <c r="A18" s="104"/>
      <c r="B18" s="107"/>
      <c r="C18" s="110"/>
      <c r="D18" s="29">
        <v>2022</v>
      </c>
      <c r="E18" s="21">
        <f>'LA LQ'!E18</f>
        <v>2324000000</v>
      </c>
      <c r="F18" s="28">
        <v>7257871200</v>
      </c>
      <c r="G18" s="75">
        <f t="shared" si="0"/>
        <v>0.32020408408460044</v>
      </c>
    </row>
    <row r="19" spans="1:7" ht="15.75" thickBot="1" x14ac:dyDescent="0.3">
      <c r="A19" s="102">
        <v>5</v>
      </c>
      <c r="B19" s="94" t="s">
        <v>27</v>
      </c>
      <c r="C19" s="97" t="s">
        <v>28</v>
      </c>
      <c r="D19" s="2">
        <v>2019</v>
      </c>
      <c r="E19" s="21">
        <f>'LA LQ'!E19</f>
        <v>2537602000</v>
      </c>
      <c r="F19" s="4">
        <v>46875122</v>
      </c>
      <c r="G19" s="75">
        <f t="shared" si="0"/>
        <v>54.135368437014414</v>
      </c>
    </row>
    <row r="20" spans="1:7" ht="15.75" thickBot="1" x14ac:dyDescent="0.3">
      <c r="A20" s="103"/>
      <c r="B20" s="95"/>
      <c r="C20" s="98"/>
      <c r="D20" s="9">
        <v>2020</v>
      </c>
      <c r="E20" s="21">
        <f>'LA LQ'!E20</f>
        <v>2799623000</v>
      </c>
      <c r="F20" s="11">
        <v>46872947</v>
      </c>
      <c r="G20" s="75">
        <f t="shared" si="0"/>
        <v>59.727906589700879</v>
      </c>
    </row>
    <row r="21" spans="1:7" ht="15.75" thickBot="1" x14ac:dyDescent="0.3">
      <c r="A21" s="103"/>
      <c r="B21" s="95"/>
      <c r="C21" s="98"/>
      <c r="D21" s="9">
        <v>2021</v>
      </c>
      <c r="E21" s="21">
        <f>'LA LQ'!E21</f>
        <v>3232008000</v>
      </c>
      <c r="F21" s="11">
        <v>46872947</v>
      </c>
      <c r="G21" s="75">
        <f t="shared" si="0"/>
        <v>68.952523936675036</v>
      </c>
    </row>
    <row r="22" spans="1:7" ht="15.75" thickBot="1" x14ac:dyDescent="0.3">
      <c r="A22" s="104"/>
      <c r="B22" s="96"/>
      <c r="C22" s="99"/>
      <c r="D22" s="12">
        <v>2022</v>
      </c>
      <c r="E22" s="21">
        <f>'LA LQ'!E22</f>
        <v>3450083000</v>
      </c>
      <c r="F22" s="14">
        <v>46255641</v>
      </c>
      <c r="G22" s="75">
        <f t="shared" si="0"/>
        <v>74.587291958617541</v>
      </c>
    </row>
    <row r="23" spans="1:7" ht="15.75" thickBot="1" x14ac:dyDescent="0.3">
      <c r="A23" s="102">
        <v>6</v>
      </c>
      <c r="B23" s="105" t="s">
        <v>46</v>
      </c>
      <c r="C23" s="108">
        <v>33059</v>
      </c>
      <c r="D23" s="19">
        <v>2019</v>
      </c>
      <c r="E23" s="21">
        <f>'LA LQ'!E23</f>
        <v>613000000000</v>
      </c>
      <c r="F23" s="28">
        <v>16509000000</v>
      </c>
      <c r="G23" s="75">
        <f t="shared" si="0"/>
        <v>37.131261736022772</v>
      </c>
    </row>
    <row r="24" spans="1:7" ht="15.75" thickBot="1" x14ac:dyDescent="0.3">
      <c r="A24" s="103"/>
      <c r="B24" s="106"/>
      <c r="C24" s="109"/>
      <c r="D24" s="26">
        <v>2020</v>
      </c>
      <c r="E24" s="21">
        <f>'LA LQ'!E24</f>
        <v>246000000000</v>
      </c>
      <c r="F24" s="28">
        <v>16509000000</v>
      </c>
      <c r="G24" s="75">
        <f t="shared" si="0"/>
        <v>14.900963111030347</v>
      </c>
    </row>
    <row r="25" spans="1:7" ht="15.75" thickBot="1" x14ac:dyDescent="0.3">
      <c r="A25" s="103"/>
      <c r="B25" s="106"/>
      <c r="C25" s="109"/>
      <c r="D25" s="26">
        <v>2021</v>
      </c>
      <c r="E25" s="21">
        <f>'LA LQ'!E25</f>
        <v>550000000000</v>
      </c>
      <c r="F25" s="28">
        <v>16509000000</v>
      </c>
      <c r="G25" s="75">
        <f t="shared" si="0"/>
        <v>33.315161427100371</v>
      </c>
    </row>
    <row r="26" spans="1:7" ht="15.75" thickBot="1" x14ac:dyDescent="0.3">
      <c r="A26" s="104"/>
      <c r="B26" s="107"/>
      <c r="C26" s="110"/>
      <c r="D26" s="29">
        <v>2022</v>
      </c>
      <c r="E26" s="21">
        <f>'LA LQ'!E26</f>
        <v>772000000000</v>
      </c>
      <c r="F26" s="28">
        <v>16509000000</v>
      </c>
      <c r="G26" s="75">
        <f t="shared" si="0"/>
        <v>46.762372039493613</v>
      </c>
    </row>
    <row r="27" spans="1:7" ht="15.75" thickBot="1" x14ac:dyDescent="0.3">
      <c r="A27" s="102">
        <v>7</v>
      </c>
      <c r="B27" s="147" t="s">
        <v>52</v>
      </c>
      <c r="C27" s="148">
        <v>39244</v>
      </c>
      <c r="D27" s="43">
        <v>2019</v>
      </c>
      <c r="E27" s="21">
        <f>'LA LQ'!E27</f>
        <v>10366000000</v>
      </c>
      <c r="F27" s="45">
        <v>1715000000</v>
      </c>
      <c r="G27" s="75">
        <f t="shared" si="0"/>
        <v>6.0443148688046646</v>
      </c>
    </row>
    <row r="28" spans="1:7" ht="15.75" thickBot="1" x14ac:dyDescent="0.3">
      <c r="A28" s="103"/>
      <c r="B28" s="95"/>
      <c r="C28" s="98"/>
      <c r="D28" s="9">
        <v>2020</v>
      </c>
      <c r="E28" s="21">
        <f>'LA LQ'!E28</f>
        <v>7313000000</v>
      </c>
      <c r="F28" s="11">
        <v>1715000000</v>
      </c>
      <c r="G28" s="75">
        <f t="shared" si="0"/>
        <v>4.2641399416909618</v>
      </c>
    </row>
    <row r="29" spans="1:7" ht="15.75" thickBot="1" x14ac:dyDescent="0.3">
      <c r="A29" s="103"/>
      <c r="B29" s="95"/>
      <c r="C29" s="98"/>
      <c r="D29" s="9">
        <v>2021</v>
      </c>
      <c r="E29" s="21">
        <f>'LA LQ'!E29</f>
        <v>7188000000</v>
      </c>
      <c r="F29" s="11">
        <v>1715000000</v>
      </c>
      <c r="G29" s="75">
        <f t="shared" si="0"/>
        <v>4.1912536443148687</v>
      </c>
    </row>
    <row r="30" spans="1:7" ht="15.75" thickBot="1" x14ac:dyDescent="0.3">
      <c r="A30" s="104"/>
      <c r="B30" s="96"/>
      <c r="C30" s="99"/>
      <c r="D30" s="12">
        <v>2022</v>
      </c>
      <c r="E30" s="21">
        <f>'LA LQ'!E30</f>
        <v>674000000000</v>
      </c>
      <c r="F30" s="14">
        <v>1715000000</v>
      </c>
      <c r="G30" s="75">
        <f t="shared" si="0"/>
        <v>393.00291545189503</v>
      </c>
    </row>
    <row r="31" spans="1:7" ht="15.75" thickBot="1" x14ac:dyDescent="0.3">
      <c r="A31" s="102">
        <v>8</v>
      </c>
      <c r="B31" s="94" t="s">
        <v>53</v>
      </c>
      <c r="C31" s="97" t="s">
        <v>54</v>
      </c>
      <c r="D31" s="2">
        <v>2019</v>
      </c>
      <c r="E31" s="21">
        <f>'LA LQ'!E31</f>
        <v>19385000000</v>
      </c>
      <c r="F31" s="4">
        <v>24031000</v>
      </c>
      <c r="G31" s="75">
        <f t="shared" si="0"/>
        <v>806.66638924722236</v>
      </c>
    </row>
    <row r="32" spans="1:7" ht="15.75" thickBot="1" x14ac:dyDescent="0.3">
      <c r="A32" s="103"/>
      <c r="B32" s="95"/>
      <c r="C32" s="98"/>
      <c r="D32" s="9">
        <v>2020</v>
      </c>
      <c r="E32" s="21">
        <f>'LA LQ'!E32</f>
        <v>1149350000000</v>
      </c>
      <c r="F32" s="11">
        <v>24031000</v>
      </c>
      <c r="G32" s="75">
        <f t="shared" si="0"/>
        <v>47827.805750905078</v>
      </c>
    </row>
    <row r="33" spans="1:7" ht="15.75" thickBot="1" x14ac:dyDescent="0.3">
      <c r="A33" s="103"/>
      <c r="B33" s="95"/>
      <c r="C33" s="98"/>
      <c r="D33" s="9">
        <v>2021</v>
      </c>
      <c r="E33" s="21">
        <f>'LA LQ'!E33</f>
        <v>186174000000</v>
      </c>
      <c r="F33" s="11">
        <v>24031000</v>
      </c>
      <c r="G33" s="75">
        <f t="shared" si="0"/>
        <v>7747.2431442719817</v>
      </c>
    </row>
    <row r="34" spans="1:7" ht="15.75" thickBot="1" x14ac:dyDescent="0.3">
      <c r="A34" s="104"/>
      <c r="B34" s="96"/>
      <c r="C34" s="99"/>
      <c r="D34" s="12">
        <v>2022</v>
      </c>
      <c r="E34" s="21">
        <f>'LA LQ'!E34</f>
        <v>3820964000</v>
      </c>
      <c r="F34" s="14">
        <v>24031000</v>
      </c>
      <c r="G34" s="75">
        <f t="shared" si="0"/>
        <v>159.00145645208272</v>
      </c>
    </row>
    <row r="35" spans="1:7" ht="15.75" thickBot="1" x14ac:dyDescent="0.3">
      <c r="A35" s="102">
        <v>9</v>
      </c>
      <c r="B35" s="140" t="s">
        <v>47</v>
      </c>
      <c r="C35" s="143" t="s">
        <v>48</v>
      </c>
      <c r="D35" s="2">
        <v>2019</v>
      </c>
      <c r="E35" s="21">
        <f>'LA LQ'!E35</f>
        <v>8661000000</v>
      </c>
      <c r="F35" s="4">
        <v>22656999445</v>
      </c>
      <c r="G35" s="75">
        <f t="shared" si="0"/>
        <v>0.38226597573189813</v>
      </c>
    </row>
    <row r="36" spans="1:7" ht="15.75" thickBot="1" x14ac:dyDescent="0.3">
      <c r="A36" s="103"/>
      <c r="B36" s="141"/>
      <c r="C36" s="144"/>
      <c r="D36" s="9">
        <v>2020</v>
      </c>
      <c r="E36" s="21">
        <f>'LA LQ'!E36</f>
        <v>1066600000</v>
      </c>
      <c r="F36" s="11">
        <v>22656999445</v>
      </c>
      <c r="G36" s="75">
        <f t="shared" si="0"/>
        <v>4.7075960017970507E-2</v>
      </c>
    </row>
    <row r="37" spans="1:7" ht="15.75" thickBot="1" x14ac:dyDescent="0.3">
      <c r="A37" s="103"/>
      <c r="B37" s="141"/>
      <c r="C37" s="144"/>
      <c r="D37" s="9">
        <v>2021</v>
      </c>
      <c r="E37" s="21">
        <f>'LA LQ'!E37</f>
        <v>1601400000</v>
      </c>
      <c r="F37" s="11">
        <v>22656999445</v>
      </c>
      <c r="G37" s="75">
        <f t="shared" si="0"/>
        <v>7.0680144733525199E-2</v>
      </c>
    </row>
    <row r="38" spans="1:7" ht="15.75" thickBot="1" x14ac:dyDescent="0.3">
      <c r="A38" s="104"/>
      <c r="B38" s="142"/>
      <c r="C38" s="145"/>
      <c r="D38" s="12">
        <v>2022</v>
      </c>
      <c r="E38" s="21">
        <f>'LA LQ'!E38</f>
        <v>1689400000</v>
      </c>
      <c r="F38" s="14">
        <v>22656999445</v>
      </c>
      <c r="G38" s="75">
        <f t="shared" si="0"/>
        <v>7.4564154185598516E-2</v>
      </c>
    </row>
    <row r="39" spans="1:7" ht="15.75" thickBot="1" x14ac:dyDescent="0.3">
      <c r="A39" s="102">
        <v>10</v>
      </c>
      <c r="B39" s="94" t="s">
        <v>49</v>
      </c>
      <c r="C39" s="97">
        <v>40393</v>
      </c>
      <c r="D39" s="2">
        <v>2019</v>
      </c>
      <c r="E39" s="21">
        <f>'LA LQ'!E39</f>
        <v>23531000000</v>
      </c>
      <c r="F39" s="4">
        <v>510146255000</v>
      </c>
      <c r="G39" s="75">
        <f t="shared" si="0"/>
        <v>4.6125987928697036E-2</v>
      </c>
    </row>
    <row r="40" spans="1:7" ht="15.75" thickBot="1" x14ac:dyDescent="0.3">
      <c r="A40" s="103"/>
      <c r="B40" s="95"/>
      <c r="C40" s="98"/>
      <c r="D40" s="9">
        <v>2020</v>
      </c>
      <c r="E40" s="21">
        <f>'LA LQ'!E40</f>
        <v>28536000000</v>
      </c>
      <c r="F40" s="11">
        <v>510146255000</v>
      </c>
      <c r="G40" s="75">
        <f t="shared" si="0"/>
        <v>5.593689989942198E-2</v>
      </c>
    </row>
    <row r="41" spans="1:7" ht="15.75" thickBot="1" x14ac:dyDescent="0.3">
      <c r="A41" s="103"/>
      <c r="B41" s="95"/>
      <c r="C41" s="98"/>
      <c r="D41" s="9">
        <v>2021</v>
      </c>
      <c r="E41" s="21">
        <f>'LA LQ'!E41</f>
        <v>34479000000</v>
      </c>
      <c r="F41" s="11">
        <v>510146255000</v>
      </c>
      <c r="G41" s="75">
        <f t="shared" si="0"/>
        <v>6.7586500267457619E-2</v>
      </c>
    </row>
    <row r="42" spans="1:7" ht="15.75" thickBot="1" x14ac:dyDescent="0.3">
      <c r="A42" s="104"/>
      <c r="B42" s="96"/>
      <c r="C42" s="99"/>
      <c r="D42" s="12">
        <v>2022</v>
      </c>
      <c r="E42" s="21">
        <f>'LA LQ'!E42</f>
        <v>349650000000</v>
      </c>
      <c r="F42" s="14">
        <v>510146255000</v>
      </c>
      <c r="G42" s="75">
        <f t="shared" si="0"/>
        <v>0.68539168243036497</v>
      </c>
    </row>
    <row r="43" spans="1:7" ht="15.75" thickBot="1" x14ac:dyDescent="0.3">
      <c r="A43" s="102">
        <v>11</v>
      </c>
      <c r="B43" s="105" t="s">
        <v>50</v>
      </c>
      <c r="C43" s="108" t="s">
        <v>51</v>
      </c>
      <c r="D43" s="19">
        <v>2019</v>
      </c>
      <c r="E43" s="21">
        <f>'LA LQ'!E43</f>
        <v>26210150000</v>
      </c>
      <c r="F43" s="36">
        <v>8969950000</v>
      </c>
      <c r="G43" s="75">
        <f t="shared" si="0"/>
        <v>2.9219951058813036</v>
      </c>
    </row>
    <row r="44" spans="1:7" ht="15.75" thickBot="1" x14ac:dyDescent="0.3">
      <c r="A44" s="103"/>
      <c r="B44" s="106"/>
      <c r="C44" s="109"/>
      <c r="D44" s="26">
        <v>2020</v>
      </c>
      <c r="E44" s="21">
        <f>'LA LQ'!E44</f>
        <v>322343000000</v>
      </c>
      <c r="F44" s="28">
        <v>8969950000</v>
      </c>
      <c r="G44" s="75">
        <f t="shared" si="0"/>
        <v>35.935874781910712</v>
      </c>
    </row>
    <row r="45" spans="1:7" ht="15.75" thickBot="1" x14ac:dyDescent="0.3">
      <c r="A45" s="103"/>
      <c r="B45" s="106"/>
      <c r="C45" s="109"/>
      <c r="D45" s="26">
        <v>2021</v>
      </c>
      <c r="E45" s="21">
        <f>'LA LQ'!E45</f>
        <v>214425000000</v>
      </c>
      <c r="F45" s="28">
        <v>8969950000</v>
      </c>
      <c r="G45" s="75">
        <f t="shared" si="0"/>
        <v>23.904815522940485</v>
      </c>
    </row>
    <row r="46" spans="1:7" ht="15.75" thickBot="1" x14ac:dyDescent="0.3">
      <c r="A46" s="104"/>
      <c r="B46" s="107"/>
      <c r="C46" s="110"/>
      <c r="D46" s="29">
        <v>2022</v>
      </c>
      <c r="E46" s="21">
        <f>'LA LQ'!E46</f>
        <v>12586000000</v>
      </c>
      <c r="F46" s="31">
        <v>8969950000</v>
      </c>
      <c r="G46" s="75">
        <f t="shared" si="0"/>
        <v>1.4031293373987592</v>
      </c>
    </row>
    <row r="47" spans="1:7" ht="15.75" thickBot="1" x14ac:dyDescent="0.3">
      <c r="A47" s="102">
        <v>12</v>
      </c>
      <c r="B47" s="105" t="s">
        <v>55</v>
      </c>
      <c r="C47" s="108">
        <v>34403</v>
      </c>
      <c r="D47">
        <v>2019</v>
      </c>
      <c r="E47" s="21">
        <f>'LA LQ'!E47</f>
        <v>703000000000</v>
      </c>
      <c r="F47" s="21">
        <v>20073474</v>
      </c>
      <c r="G47" s="75">
        <f t="shared" si="0"/>
        <v>35021.342095543601</v>
      </c>
    </row>
    <row r="48" spans="1:7" ht="15.75" thickBot="1" x14ac:dyDescent="0.3">
      <c r="A48" s="103"/>
      <c r="B48" s="106"/>
      <c r="C48" s="109"/>
      <c r="D48">
        <v>2020</v>
      </c>
      <c r="E48" s="21">
        <f>'LA LQ'!E48</f>
        <v>962000000000</v>
      </c>
      <c r="F48" s="28">
        <v>20073474</v>
      </c>
      <c r="G48" s="75">
        <f t="shared" si="0"/>
        <v>47923.9418149544</v>
      </c>
    </row>
    <row r="49" spans="1:7" ht="15.75" thickBot="1" x14ac:dyDescent="0.3">
      <c r="A49" s="103"/>
      <c r="B49" s="106"/>
      <c r="C49" s="109"/>
      <c r="D49">
        <v>2021</v>
      </c>
      <c r="E49" s="21">
        <f>'LA LQ'!E49</f>
        <v>11350000000</v>
      </c>
      <c r="F49" s="28">
        <v>20073474</v>
      </c>
      <c r="G49" s="75">
        <f t="shared" si="0"/>
        <v>565.42280623672809</v>
      </c>
    </row>
    <row r="50" spans="1:7" ht="15.75" thickBot="1" x14ac:dyDescent="0.3">
      <c r="A50" s="104"/>
      <c r="B50" s="107"/>
      <c r="C50" s="110"/>
      <c r="D50">
        <v>2022</v>
      </c>
      <c r="E50" s="21">
        <f>'LA LQ'!E50</f>
        <v>24790000000</v>
      </c>
      <c r="F50" s="31">
        <v>20073474</v>
      </c>
      <c r="G50" s="75">
        <f t="shared" si="0"/>
        <v>1234.963116000748</v>
      </c>
    </row>
    <row r="51" spans="1:7" ht="15.75" thickBot="1" x14ac:dyDescent="0.3">
      <c r="A51" s="102">
        <v>13</v>
      </c>
      <c r="B51" s="105" t="s">
        <v>56</v>
      </c>
      <c r="C51" s="108">
        <v>32967</v>
      </c>
      <c r="D51">
        <v>2019</v>
      </c>
      <c r="E51" s="21">
        <f>'LA LQ'!E51</f>
        <v>26062100000</v>
      </c>
      <c r="F51" s="21">
        <v>40483553</v>
      </c>
      <c r="G51" s="75">
        <f t="shared" si="0"/>
        <v>643.77007620847905</v>
      </c>
    </row>
    <row r="52" spans="1:7" ht="15.75" thickBot="1" x14ac:dyDescent="0.3">
      <c r="A52" s="103"/>
      <c r="B52" s="106"/>
      <c r="C52" s="109"/>
      <c r="D52">
        <v>2020</v>
      </c>
      <c r="E52" s="21">
        <f>'LA LQ'!E52</f>
        <v>18057100000</v>
      </c>
      <c r="F52" s="28">
        <v>40483553</v>
      </c>
      <c r="G52" s="75">
        <f t="shared" si="0"/>
        <v>446.03545543544561</v>
      </c>
    </row>
    <row r="53" spans="1:7" ht="15.75" thickBot="1" x14ac:dyDescent="0.3">
      <c r="A53" s="103"/>
      <c r="B53" s="106"/>
      <c r="C53" s="109"/>
      <c r="D53">
        <v>2021</v>
      </c>
      <c r="E53" s="21">
        <f>'LA LQ'!E53</f>
        <v>25058600000</v>
      </c>
      <c r="F53" s="28">
        <v>40483553</v>
      </c>
      <c r="G53" s="75">
        <f t="shared" si="0"/>
        <v>618.98223211781828</v>
      </c>
    </row>
    <row r="54" spans="1:7" ht="15.75" thickBot="1" x14ac:dyDescent="0.3">
      <c r="A54" s="104"/>
      <c r="B54" s="107"/>
      <c r="C54" s="110"/>
      <c r="D54">
        <v>2022</v>
      </c>
      <c r="E54" s="21">
        <f>'LA LQ'!E54</f>
        <v>40042000000</v>
      </c>
      <c r="F54" s="31">
        <v>40483553</v>
      </c>
      <c r="G54" s="75">
        <f t="shared" si="0"/>
        <v>989.09302748204937</v>
      </c>
    </row>
    <row r="55" spans="1:7" ht="15.75" thickBot="1" x14ac:dyDescent="0.3">
      <c r="A55" s="102">
        <v>14</v>
      </c>
      <c r="B55" s="105" t="s">
        <v>15</v>
      </c>
      <c r="C55" s="108" t="s">
        <v>16</v>
      </c>
      <c r="D55">
        <v>2019</v>
      </c>
      <c r="E55" s="21">
        <f>'LA LQ'!E55</f>
        <v>28570000000</v>
      </c>
      <c r="F55" s="4">
        <v>24655010</v>
      </c>
      <c r="G55" s="75">
        <f t="shared" si="0"/>
        <v>1158.7908502166497</v>
      </c>
    </row>
    <row r="56" spans="1:7" ht="15.75" thickBot="1" x14ac:dyDescent="0.3">
      <c r="A56" s="103"/>
      <c r="B56" s="106"/>
      <c r="C56" s="109"/>
      <c r="D56">
        <v>2020</v>
      </c>
      <c r="E56" s="21">
        <f>'LA LQ'!E56</f>
        <v>27147000000</v>
      </c>
      <c r="F56" s="11">
        <v>24655010</v>
      </c>
      <c r="G56" s="75">
        <f t="shared" si="0"/>
        <v>1101.0743860984035</v>
      </c>
    </row>
    <row r="57" spans="1:7" ht="15.75" thickBot="1" x14ac:dyDescent="0.3">
      <c r="A57" s="103"/>
      <c r="B57" s="106"/>
      <c r="C57" s="109"/>
      <c r="D57">
        <v>2021</v>
      </c>
      <c r="E57" s="21">
        <f>'LA LQ'!E57</f>
        <v>31440000000</v>
      </c>
      <c r="F57" s="11">
        <v>123275050</v>
      </c>
      <c r="G57" s="75">
        <f t="shared" si="0"/>
        <v>255.03944228779466</v>
      </c>
    </row>
    <row r="58" spans="1:7" ht="15.75" thickBot="1" x14ac:dyDescent="0.3">
      <c r="A58" s="104"/>
      <c r="B58" s="107"/>
      <c r="C58" s="110"/>
      <c r="D58">
        <v>2022</v>
      </c>
      <c r="E58" s="21">
        <f>'LA LQ'!E58</f>
        <v>40760000000</v>
      </c>
      <c r="F58" s="14">
        <v>123275500</v>
      </c>
      <c r="G58" s="75">
        <f t="shared" si="0"/>
        <v>330.64153055554431</v>
      </c>
    </row>
    <row r="59" spans="1:7" ht="15.75" thickBot="1" x14ac:dyDescent="0.3">
      <c r="A59" s="102">
        <v>15</v>
      </c>
      <c r="B59" s="105" t="s">
        <v>17</v>
      </c>
      <c r="C59" s="108" t="s">
        <v>18</v>
      </c>
      <c r="D59">
        <v>2019</v>
      </c>
      <c r="E59" s="21">
        <f>'LA LQ'!E59</f>
        <v>15090000000</v>
      </c>
      <c r="F59" s="21">
        <v>1864866458</v>
      </c>
      <c r="G59" s="75">
        <f t="shared" si="0"/>
        <v>8.0917322177500388</v>
      </c>
    </row>
    <row r="60" spans="1:7" ht="15.75" thickBot="1" x14ac:dyDescent="0.3">
      <c r="A60" s="103"/>
      <c r="B60" s="106"/>
      <c r="C60" s="109"/>
      <c r="D60">
        <v>2020</v>
      </c>
      <c r="E60" s="21">
        <f>'LA LQ'!E60</f>
        <v>3321000000</v>
      </c>
      <c r="F60" s="28">
        <v>1864866458</v>
      </c>
      <c r="G60" s="75">
        <f t="shared" si="0"/>
        <v>1.7808245656161616</v>
      </c>
    </row>
    <row r="61" spans="1:7" ht="15.75" thickBot="1" x14ac:dyDescent="0.3">
      <c r="A61" s="103"/>
      <c r="B61" s="106"/>
      <c r="C61" s="109"/>
      <c r="D61">
        <v>2021</v>
      </c>
      <c r="E61" s="21">
        <f>'LA LQ'!E61</f>
        <v>10977000000</v>
      </c>
      <c r="F61" s="28">
        <v>1864866458</v>
      </c>
      <c r="G61" s="75">
        <f t="shared" si="0"/>
        <v>5.8862123627728415</v>
      </c>
    </row>
    <row r="62" spans="1:7" ht="15.75" thickBot="1" x14ac:dyDescent="0.3">
      <c r="A62" s="104"/>
      <c r="B62" s="107"/>
      <c r="C62" s="110"/>
      <c r="D62">
        <v>2022</v>
      </c>
      <c r="E62" s="21">
        <f>'LA LQ'!E62</f>
        <v>18482000000</v>
      </c>
      <c r="F62" s="31">
        <v>1864866458</v>
      </c>
      <c r="G62" s="75">
        <f t="shared" si="0"/>
        <v>9.9106292146094255</v>
      </c>
    </row>
    <row r="63" spans="1:7" ht="15.75" thickBot="1" x14ac:dyDescent="0.3">
      <c r="A63" s="102">
        <v>16</v>
      </c>
      <c r="B63" s="105" t="s">
        <v>19</v>
      </c>
      <c r="C63" s="108">
        <v>37905</v>
      </c>
      <c r="D63">
        <v>2019</v>
      </c>
      <c r="E63" s="21">
        <f>'LA LQ'!E63</f>
        <v>39498597000</v>
      </c>
      <c r="F63" s="4">
        <v>123345810</v>
      </c>
      <c r="G63" s="75">
        <f t="shared" si="0"/>
        <v>320.22649978949426</v>
      </c>
    </row>
    <row r="64" spans="1:7" ht="15.75" thickBot="1" x14ac:dyDescent="0.3">
      <c r="A64" s="103"/>
      <c r="B64" s="106"/>
      <c r="C64" s="109"/>
      <c r="D64">
        <v>2020</v>
      </c>
      <c r="E64" s="21">
        <f>'LA LQ'!E64</f>
        <v>21757779000</v>
      </c>
      <c r="F64" s="11">
        <v>123345810</v>
      </c>
      <c r="G64" s="75">
        <f t="shared" si="0"/>
        <v>176.3965796649274</v>
      </c>
    </row>
    <row r="65" spans="1:7" ht="15.75" thickBot="1" x14ac:dyDescent="0.3">
      <c r="A65" s="103"/>
      <c r="B65" s="106"/>
      <c r="C65" s="109"/>
      <c r="D65">
        <v>2021</v>
      </c>
      <c r="E65" s="21">
        <f>'LA LQ'!E65</f>
        <v>27557134000</v>
      </c>
      <c r="F65" s="11">
        <v>123345810</v>
      </c>
      <c r="G65" s="75">
        <f t="shared" si="0"/>
        <v>223.41362061670355</v>
      </c>
    </row>
    <row r="66" spans="1:7" ht="15.75" thickBot="1" x14ac:dyDescent="0.3">
      <c r="A66" s="104"/>
      <c r="B66" s="107"/>
      <c r="C66" s="110"/>
      <c r="D66">
        <v>2022</v>
      </c>
      <c r="E66" s="21">
        <f>'LA LQ'!E66</f>
        <v>48569183000</v>
      </c>
      <c r="F66" s="14">
        <v>151559001</v>
      </c>
      <c r="G66" s="75">
        <f t="shared" si="0"/>
        <v>320.46386344285816</v>
      </c>
    </row>
    <row r="67" spans="1:7" ht="15.75" thickBot="1" x14ac:dyDescent="0.3">
      <c r="A67" s="102">
        <v>17</v>
      </c>
      <c r="B67" s="105" t="s">
        <v>20</v>
      </c>
      <c r="C67" s="108" t="s">
        <v>21</v>
      </c>
      <c r="D67">
        <v>2019</v>
      </c>
      <c r="E67" s="21">
        <f>'LA LQ'!E67</f>
        <v>55733200000</v>
      </c>
      <c r="F67" s="21">
        <v>10590000</v>
      </c>
      <c r="G67" s="75">
        <f t="shared" si="0"/>
        <v>5262.8139754485364</v>
      </c>
    </row>
    <row r="68" spans="1:7" ht="15.75" thickBot="1" x14ac:dyDescent="0.3">
      <c r="A68" s="103"/>
      <c r="B68" s="106"/>
      <c r="C68" s="109"/>
      <c r="D68">
        <v>2020</v>
      </c>
      <c r="E68" s="21">
        <f>'LA LQ'!E68</f>
        <v>2352711000</v>
      </c>
      <c r="F68" s="28">
        <v>10590000</v>
      </c>
      <c r="G68" s="75">
        <f t="shared" ref="G68:G114" si="1">E68/F68</f>
        <v>222.16345609065155</v>
      </c>
    </row>
    <row r="69" spans="1:7" ht="15.75" thickBot="1" x14ac:dyDescent="0.3">
      <c r="A69" s="103"/>
      <c r="B69" s="106"/>
      <c r="C69" s="109"/>
      <c r="D69">
        <v>2021</v>
      </c>
      <c r="E69" s="21">
        <f>'LA LQ'!E69</f>
        <v>1418802000</v>
      </c>
      <c r="F69" s="28">
        <v>10590000</v>
      </c>
      <c r="G69" s="75">
        <f t="shared" si="1"/>
        <v>133.9756373937677</v>
      </c>
    </row>
    <row r="70" spans="1:7" ht="15.75" thickBot="1" x14ac:dyDescent="0.3">
      <c r="A70" s="104"/>
      <c r="B70" s="107"/>
      <c r="C70" s="110"/>
      <c r="D70">
        <v>2022</v>
      </c>
      <c r="E70" s="21">
        <f>'LA LQ'!E70</f>
        <v>1983756000</v>
      </c>
      <c r="F70" s="31">
        <v>12810000</v>
      </c>
      <c r="G70" s="75">
        <f t="shared" si="1"/>
        <v>154.8599531615925</v>
      </c>
    </row>
    <row r="71" spans="1:7" ht="15.75" thickBot="1" x14ac:dyDescent="0.3">
      <c r="A71" s="102">
        <v>18</v>
      </c>
      <c r="B71" s="105" t="s">
        <v>22</v>
      </c>
      <c r="C71" s="108" t="s">
        <v>23</v>
      </c>
      <c r="D71">
        <v>2019</v>
      </c>
      <c r="E71" s="21">
        <f>'LA LQ'!E71</f>
        <v>33643136600</v>
      </c>
      <c r="F71" s="4">
        <v>46666666666</v>
      </c>
      <c r="G71" s="75">
        <f t="shared" si="1"/>
        <v>0.72092435572458469</v>
      </c>
    </row>
    <row r="72" spans="1:7" ht="15.75" thickBot="1" x14ac:dyDescent="0.3">
      <c r="A72" s="103"/>
      <c r="B72" s="106"/>
      <c r="C72" s="109"/>
      <c r="D72">
        <v>2020</v>
      </c>
      <c r="E72" s="21">
        <f>'LA LQ'!E72</f>
        <v>18398928000</v>
      </c>
      <c r="F72" s="11">
        <v>46666666666</v>
      </c>
      <c r="G72" s="75">
        <f t="shared" si="1"/>
        <v>0.39426274286277518</v>
      </c>
    </row>
    <row r="73" spans="1:7" ht="15.75" thickBot="1" x14ac:dyDescent="0.3">
      <c r="A73" s="103"/>
      <c r="B73" s="106"/>
      <c r="C73" s="109"/>
      <c r="D73">
        <v>2021</v>
      </c>
      <c r="E73" s="21">
        <f>'LA LQ'!E73</f>
        <v>30551097000</v>
      </c>
      <c r="F73" s="11">
        <v>46666666666</v>
      </c>
      <c r="G73" s="75">
        <f t="shared" si="1"/>
        <v>0.65466636429506664</v>
      </c>
    </row>
    <row r="74" spans="1:7" ht="15.75" thickBot="1" x14ac:dyDescent="0.3">
      <c r="A74" s="104"/>
      <c r="B74" s="107"/>
      <c r="C74" s="110"/>
      <c r="D74">
        <v>2022</v>
      </c>
      <c r="E74" s="21">
        <f>'LA LQ'!E74</f>
        <v>44952368000</v>
      </c>
      <c r="F74" s="14">
        <v>46666666666</v>
      </c>
      <c r="G74" s="75">
        <f t="shared" si="1"/>
        <v>0.96326502858518948</v>
      </c>
    </row>
    <row r="75" spans="1:7" ht="15.75" thickBot="1" x14ac:dyDescent="0.3">
      <c r="A75" s="102">
        <v>19</v>
      </c>
      <c r="B75" s="105" t="s">
        <v>57</v>
      </c>
      <c r="C75" s="108" t="s">
        <v>58</v>
      </c>
      <c r="D75">
        <v>2019</v>
      </c>
      <c r="E75" s="21">
        <f>'LA LQ'!E75</f>
        <v>2317437000</v>
      </c>
      <c r="F75" s="21">
        <v>858000000</v>
      </c>
      <c r="G75" s="75">
        <f t="shared" si="1"/>
        <v>2.7009755244755245</v>
      </c>
    </row>
    <row r="76" spans="1:7" ht="15.75" thickBot="1" x14ac:dyDescent="0.3">
      <c r="A76" s="103"/>
      <c r="B76" s="106"/>
      <c r="C76" s="109"/>
      <c r="D76">
        <v>2020</v>
      </c>
      <c r="E76" s="21">
        <f>'LA LQ'!E76</f>
        <v>1801029000</v>
      </c>
      <c r="F76" s="28">
        <v>858000000</v>
      </c>
      <c r="G76" s="75">
        <f t="shared" si="1"/>
        <v>2.0991013986013987</v>
      </c>
    </row>
    <row r="77" spans="1:7" ht="15.75" thickBot="1" x14ac:dyDescent="0.3">
      <c r="A77" s="103"/>
      <c r="B77" s="106"/>
      <c r="C77" s="109"/>
      <c r="D77">
        <v>2021</v>
      </c>
      <c r="E77" s="21">
        <f>'LA LQ'!E77</f>
        <v>24113900000</v>
      </c>
      <c r="F77" s="28">
        <v>858000000</v>
      </c>
      <c r="G77" s="75">
        <f t="shared" si="1"/>
        <v>28.104778554778555</v>
      </c>
    </row>
    <row r="78" spans="1:7" ht="15.75" thickBot="1" x14ac:dyDescent="0.3">
      <c r="A78" s="104"/>
      <c r="B78" s="107"/>
      <c r="C78" s="110"/>
      <c r="D78">
        <v>2022</v>
      </c>
      <c r="E78" s="21">
        <f>'LA LQ'!E78</f>
        <v>2527621000</v>
      </c>
      <c r="F78" s="31">
        <v>858000000</v>
      </c>
      <c r="G78" s="75">
        <f t="shared" si="1"/>
        <v>2.9459452214452213</v>
      </c>
    </row>
    <row r="79" spans="1:7" ht="15.75" thickBot="1" x14ac:dyDescent="0.3">
      <c r="A79" s="102">
        <v>20</v>
      </c>
      <c r="B79" s="105" t="s">
        <v>59</v>
      </c>
      <c r="C79" s="108" t="s">
        <v>60</v>
      </c>
      <c r="D79">
        <v>2019</v>
      </c>
      <c r="E79" s="21">
        <f>'LA LQ'!E79</f>
        <v>3632174000</v>
      </c>
      <c r="F79" s="4">
        <v>16398000000</v>
      </c>
      <c r="G79" s="75">
        <f t="shared" si="1"/>
        <v>0.22150103671179411</v>
      </c>
    </row>
    <row r="80" spans="1:7" ht="15.75" thickBot="1" x14ac:dyDescent="0.3">
      <c r="A80" s="103"/>
      <c r="B80" s="106"/>
      <c r="C80" s="109"/>
      <c r="D80">
        <v>2020</v>
      </c>
      <c r="E80" s="21">
        <f>'LA LQ'!E80</f>
        <v>3845833000</v>
      </c>
      <c r="F80" s="11">
        <v>16398000000</v>
      </c>
      <c r="G80" s="75">
        <f t="shared" si="1"/>
        <v>0.23453061348944992</v>
      </c>
    </row>
    <row r="81" spans="1:7" ht="15.75" thickBot="1" x14ac:dyDescent="0.3">
      <c r="A81" s="103"/>
      <c r="B81" s="106"/>
      <c r="C81" s="109"/>
      <c r="D81">
        <v>2021</v>
      </c>
      <c r="E81" s="21">
        <f>'LA LQ'!E81</f>
        <v>3619010000</v>
      </c>
      <c r="F81" s="11">
        <v>16398000000</v>
      </c>
      <c r="G81" s="75">
        <f t="shared" si="1"/>
        <v>0.220698255884864</v>
      </c>
    </row>
    <row r="82" spans="1:7" ht="15.75" thickBot="1" x14ac:dyDescent="0.3">
      <c r="A82" s="104"/>
      <c r="B82" s="107"/>
      <c r="C82" s="110"/>
      <c r="D82">
        <v>2022</v>
      </c>
      <c r="E82" s="21">
        <f>'LA LQ'!E82</f>
        <v>2930357000</v>
      </c>
      <c r="F82" s="14">
        <v>16398000000</v>
      </c>
      <c r="G82" s="75">
        <f t="shared" si="1"/>
        <v>0.17870209781680693</v>
      </c>
    </row>
    <row r="83" spans="1:7" ht="15.75" thickBot="1" x14ac:dyDescent="0.3">
      <c r="A83" s="102">
        <v>21</v>
      </c>
      <c r="B83" s="105" t="s">
        <v>61</v>
      </c>
      <c r="C83" s="108" t="s">
        <v>62</v>
      </c>
      <c r="D83">
        <v>2019</v>
      </c>
      <c r="E83" s="21">
        <f>'LA LQ'!E83</f>
        <v>3255583000</v>
      </c>
      <c r="F83" s="21">
        <v>3190000000</v>
      </c>
      <c r="G83" s="75">
        <f t="shared" si="1"/>
        <v>1.0205589341692789</v>
      </c>
    </row>
    <row r="84" spans="1:7" ht="15.75" thickBot="1" x14ac:dyDescent="0.3">
      <c r="A84" s="103"/>
      <c r="B84" s="106"/>
      <c r="C84" s="109"/>
      <c r="D84">
        <v>2020</v>
      </c>
      <c r="E84" s="21">
        <f>'LA LQ'!E84</f>
        <v>67117200000</v>
      </c>
      <c r="F84" s="28">
        <v>3190000000</v>
      </c>
      <c r="G84" s="75">
        <f t="shared" si="1"/>
        <v>21.03987460815047</v>
      </c>
    </row>
    <row r="85" spans="1:7" ht="15.75" thickBot="1" x14ac:dyDescent="0.3">
      <c r="A85" s="103"/>
      <c r="B85" s="106"/>
      <c r="C85" s="109"/>
      <c r="D85">
        <v>2021</v>
      </c>
      <c r="E85" s="21">
        <f>'LA LQ'!E85</f>
        <v>111791700000</v>
      </c>
      <c r="F85" s="28">
        <v>15950000000</v>
      </c>
      <c r="G85" s="75">
        <f t="shared" si="1"/>
        <v>7.0088840125391849</v>
      </c>
    </row>
    <row r="86" spans="1:7" ht="15.75" thickBot="1" x14ac:dyDescent="0.3">
      <c r="A86" s="104"/>
      <c r="B86" s="107"/>
      <c r="C86" s="110"/>
      <c r="D86">
        <v>2022</v>
      </c>
      <c r="E86" s="21">
        <f>'LA LQ'!E86</f>
        <v>107655500000</v>
      </c>
      <c r="F86" s="31">
        <v>15950000000</v>
      </c>
      <c r="G86" s="75">
        <f t="shared" si="1"/>
        <v>6.7495611285266461</v>
      </c>
    </row>
    <row r="87" spans="1:7" ht="15.75" thickBot="1" x14ac:dyDescent="0.3">
      <c r="A87" s="102">
        <v>22</v>
      </c>
      <c r="B87" s="105" t="s">
        <v>63</v>
      </c>
      <c r="C87" s="108" t="s">
        <v>64</v>
      </c>
      <c r="D87">
        <v>2019</v>
      </c>
      <c r="E87" s="21">
        <f>'LA LQ'!E87</f>
        <v>71300000000</v>
      </c>
      <c r="F87" s="4">
        <v>10687960423</v>
      </c>
      <c r="G87" s="75">
        <f t="shared" si="1"/>
        <v>6.6710576366437202</v>
      </c>
    </row>
    <row r="88" spans="1:7" ht="15.75" thickBot="1" x14ac:dyDescent="0.3">
      <c r="A88" s="103"/>
      <c r="B88" s="106"/>
      <c r="C88" s="109"/>
      <c r="D88">
        <v>2020</v>
      </c>
      <c r="E88" s="21">
        <f>'LA LQ'!E88</f>
        <v>37200000000</v>
      </c>
      <c r="F88" s="11">
        <v>10706012530</v>
      </c>
      <c r="G88" s="75">
        <f t="shared" si="1"/>
        <v>3.474683024679778</v>
      </c>
    </row>
    <row r="89" spans="1:7" ht="15.75" thickBot="1" x14ac:dyDescent="0.3">
      <c r="A89" s="103"/>
      <c r="B89" s="106"/>
      <c r="C89" s="109"/>
      <c r="D89">
        <v>2021</v>
      </c>
      <c r="E89" s="21">
        <f>'LA LQ'!E89</f>
        <v>12880000000</v>
      </c>
      <c r="F89" s="11">
        <v>10724674776</v>
      </c>
      <c r="G89" s="75">
        <f t="shared" si="1"/>
        <v>1.200968819010088</v>
      </c>
    </row>
    <row r="90" spans="1:7" ht="15.75" thickBot="1" x14ac:dyDescent="0.3">
      <c r="A90" s="104"/>
      <c r="B90" s="107"/>
      <c r="C90" s="110"/>
      <c r="D90">
        <v>2022</v>
      </c>
      <c r="E90" s="21">
        <f>'LA LQ'!E90</f>
        <v>11210000000</v>
      </c>
      <c r="F90" s="14">
        <v>1312843066</v>
      </c>
      <c r="G90" s="75">
        <f t="shared" si="1"/>
        <v>8.5387204992862422</v>
      </c>
    </row>
    <row r="91" spans="1:7" ht="15.75" thickBot="1" x14ac:dyDescent="0.3">
      <c r="A91" s="102">
        <v>23</v>
      </c>
      <c r="B91" s="105" t="s">
        <v>65</v>
      </c>
      <c r="C91" s="108">
        <v>40369</v>
      </c>
      <c r="D91">
        <v>2019</v>
      </c>
      <c r="E91" s="21">
        <f>'LA LQ'!E91</f>
        <v>5360000000</v>
      </c>
      <c r="F91" s="21">
        <v>11661908000</v>
      </c>
      <c r="G91" s="75">
        <f t="shared" si="1"/>
        <v>0.45961604224626024</v>
      </c>
    </row>
    <row r="92" spans="1:7" ht="15.75" thickBot="1" x14ac:dyDescent="0.3">
      <c r="A92" s="103"/>
      <c r="B92" s="106"/>
      <c r="C92" s="109"/>
      <c r="D92">
        <v>2020</v>
      </c>
      <c r="E92" s="21">
        <f>'LA LQ'!E92</f>
        <v>7418600000</v>
      </c>
      <c r="F92" s="28">
        <v>11661908000</v>
      </c>
      <c r="G92" s="75">
        <f t="shared" si="1"/>
        <v>0.63613947220300482</v>
      </c>
    </row>
    <row r="93" spans="1:7" ht="15.75" thickBot="1" x14ac:dyDescent="0.3">
      <c r="A93" s="103"/>
      <c r="B93" s="106"/>
      <c r="C93" s="109"/>
      <c r="D93">
        <v>2021</v>
      </c>
      <c r="E93" s="21">
        <f>'LA LQ'!E93</f>
        <v>79119900000</v>
      </c>
      <c r="F93" s="28">
        <v>11661908000</v>
      </c>
      <c r="G93" s="75">
        <f t="shared" si="1"/>
        <v>6.7844730039029635</v>
      </c>
    </row>
    <row r="94" spans="1:7" ht="15.75" thickBot="1" x14ac:dyDescent="0.3">
      <c r="A94" s="104"/>
      <c r="B94" s="107"/>
      <c r="C94" s="110"/>
      <c r="D94">
        <v>2022</v>
      </c>
      <c r="E94" s="21">
        <f>'LA LQ'!E94</f>
        <v>72220000000</v>
      </c>
      <c r="F94" s="31">
        <v>11661908000</v>
      </c>
      <c r="G94" s="75">
        <f t="shared" si="1"/>
        <v>6.192811673698678</v>
      </c>
    </row>
    <row r="95" spans="1:7" ht="15.75" thickBot="1" x14ac:dyDescent="0.3">
      <c r="A95" s="102">
        <v>24</v>
      </c>
      <c r="B95" s="105" t="s">
        <v>66</v>
      </c>
      <c r="C95" s="108" t="s">
        <v>67</v>
      </c>
      <c r="D95">
        <v>2019</v>
      </c>
      <c r="E95" s="21">
        <f>'LA LQ'!E95</f>
        <v>791419000000</v>
      </c>
      <c r="F95" s="21">
        <v>14246349500</v>
      </c>
      <c r="G95" s="75">
        <f t="shared" si="1"/>
        <v>55.55240660072252</v>
      </c>
    </row>
    <row r="96" spans="1:7" ht="15.75" thickBot="1" x14ac:dyDescent="0.3">
      <c r="A96" s="103"/>
      <c r="B96" s="106"/>
      <c r="C96" s="109"/>
      <c r="D96">
        <v>2020</v>
      </c>
      <c r="E96" s="21">
        <f>'LA LQ'!E96</f>
        <v>9233473000000</v>
      </c>
      <c r="F96" s="28">
        <v>14246349500</v>
      </c>
      <c r="G96" s="75">
        <f t="shared" si="1"/>
        <v>648.12905228809666</v>
      </c>
    </row>
    <row r="97" spans="1:7" ht="15.75" thickBot="1" x14ac:dyDescent="0.3">
      <c r="A97" s="103"/>
      <c r="B97" s="106"/>
      <c r="C97" s="109"/>
      <c r="D97">
        <v>2021</v>
      </c>
      <c r="E97" s="21">
        <f>'LA LQ'!E97</f>
        <v>1361524000</v>
      </c>
      <c r="F97" s="28">
        <v>14246349500</v>
      </c>
      <c r="G97" s="75">
        <f t="shared" si="1"/>
        <v>9.557002655311804E-2</v>
      </c>
    </row>
    <row r="98" spans="1:7" ht="15.75" thickBot="1" x14ac:dyDescent="0.3">
      <c r="A98" s="104"/>
      <c r="B98" s="107"/>
      <c r="C98" s="110"/>
      <c r="D98">
        <v>2022</v>
      </c>
      <c r="E98" s="21">
        <f>'LA LQ'!E98</f>
        <v>109396378000</v>
      </c>
      <c r="F98" s="28">
        <v>14246349500</v>
      </c>
      <c r="G98" s="75">
        <f t="shared" si="1"/>
        <v>7.6789059541182816</v>
      </c>
    </row>
    <row r="99" spans="1:7" ht="15.75" thickBot="1" x14ac:dyDescent="0.3">
      <c r="A99" s="102">
        <v>25</v>
      </c>
      <c r="B99" s="105" t="s">
        <v>68</v>
      </c>
      <c r="C99" s="108">
        <v>37299</v>
      </c>
      <c r="D99">
        <v>2019</v>
      </c>
      <c r="E99" s="21">
        <f>'LA LQ'!E99</f>
        <v>4040394000</v>
      </c>
      <c r="F99" s="4">
        <v>11487209350</v>
      </c>
      <c r="G99" s="75">
        <f t="shared" si="1"/>
        <v>0.35172981329882352</v>
      </c>
    </row>
    <row r="100" spans="1:7" ht="15.75" thickBot="1" x14ac:dyDescent="0.3">
      <c r="A100" s="103"/>
      <c r="B100" s="106"/>
      <c r="C100" s="109"/>
      <c r="D100">
        <v>2020</v>
      </c>
      <c r="E100" s="21">
        <f>'LA LQ'!E100</f>
        <v>2407927000</v>
      </c>
      <c r="F100" s="11">
        <v>11487209350</v>
      </c>
      <c r="G100" s="75">
        <f t="shared" si="1"/>
        <v>0.20961810015240995</v>
      </c>
    </row>
    <row r="101" spans="1:7" ht="15.75" thickBot="1" x14ac:dyDescent="0.3">
      <c r="A101" s="103"/>
      <c r="B101" s="106"/>
      <c r="C101" s="109"/>
      <c r="D101">
        <v>2021</v>
      </c>
      <c r="E101" s="21">
        <f>'LA LQ'!E101</f>
        <v>8036888000</v>
      </c>
      <c r="F101" s="11">
        <v>11487209350</v>
      </c>
      <c r="G101" s="75">
        <f t="shared" si="1"/>
        <v>0.69963798474692207</v>
      </c>
    </row>
    <row r="102" spans="1:7" ht="15.75" thickBot="1" x14ac:dyDescent="0.3">
      <c r="A102" s="104"/>
      <c r="B102" s="107"/>
      <c r="C102" s="110"/>
      <c r="D102">
        <v>2022</v>
      </c>
      <c r="E102" s="21">
        <f>'LA LQ'!E102</f>
        <v>12779427000</v>
      </c>
      <c r="F102" s="14">
        <v>11487209350</v>
      </c>
      <c r="G102" s="75">
        <f t="shared" si="1"/>
        <v>1.1124918690543408</v>
      </c>
    </row>
    <row r="103" spans="1:7" ht="15.75" thickBot="1" x14ac:dyDescent="0.3">
      <c r="A103" s="102">
        <v>26</v>
      </c>
      <c r="B103" s="105" t="s">
        <v>69</v>
      </c>
      <c r="C103" s="108">
        <v>40423</v>
      </c>
      <c r="D103">
        <v>2019</v>
      </c>
      <c r="E103" s="21">
        <f>'LA LQ'!E103</f>
        <v>1048153000</v>
      </c>
      <c r="F103" s="21">
        <v>6199897354</v>
      </c>
      <c r="G103" s="75">
        <f t="shared" si="1"/>
        <v>0.16905973440411251</v>
      </c>
    </row>
    <row r="104" spans="1:7" ht="15.75" thickBot="1" x14ac:dyDescent="0.3">
      <c r="A104" s="103"/>
      <c r="B104" s="106"/>
      <c r="C104" s="109"/>
      <c r="D104">
        <v>2020</v>
      </c>
      <c r="E104" s="21">
        <f>'LA LQ'!E104</f>
        <v>311959000000</v>
      </c>
      <c r="F104" s="28">
        <v>8185241454</v>
      </c>
      <c r="G104" s="75">
        <f t="shared" si="1"/>
        <v>38.112376006641867</v>
      </c>
    </row>
    <row r="105" spans="1:7" ht="15.75" thickBot="1" x14ac:dyDescent="0.3">
      <c r="A105" s="103"/>
      <c r="B105" s="106"/>
      <c r="C105" s="109"/>
      <c r="D105">
        <v>2021</v>
      </c>
      <c r="E105" s="21">
        <f>'LA LQ'!E105</f>
        <v>361422000000</v>
      </c>
      <c r="F105" s="28">
        <v>8185241454</v>
      </c>
      <c r="G105" s="75">
        <f t="shared" si="1"/>
        <v>44.155325414790141</v>
      </c>
    </row>
    <row r="106" spans="1:7" ht="15.75" thickBot="1" x14ac:dyDescent="0.3">
      <c r="A106" s="104"/>
      <c r="B106" s="107"/>
      <c r="C106" s="110"/>
      <c r="D106">
        <v>2022</v>
      </c>
      <c r="E106" s="21">
        <f>'LA LQ'!E106</f>
        <v>36742000000</v>
      </c>
      <c r="F106" s="31">
        <v>8185241454</v>
      </c>
      <c r="G106" s="75">
        <f t="shared" si="1"/>
        <v>4.4888107707616562</v>
      </c>
    </row>
    <row r="107" spans="1:7" ht="15.75" thickBot="1" x14ac:dyDescent="0.3">
      <c r="A107" s="102">
        <v>27</v>
      </c>
      <c r="B107" s="105" t="s">
        <v>29</v>
      </c>
      <c r="C107" s="108">
        <v>33457</v>
      </c>
      <c r="D107">
        <v>2019</v>
      </c>
      <c r="E107" s="21">
        <f>'LA LQ'!E107</f>
        <v>2371233000</v>
      </c>
      <c r="F107" s="4">
        <v>5931520000</v>
      </c>
      <c r="G107" s="75">
        <f t="shared" si="1"/>
        <v>0.39976818758092358</v>
      </c>
    </row>
    <row r="108" spans="1:7" ht="15.75" thickBot="1" x14ac:dyDescent="0.3">
      <c r="A108" s="103"/>
      <c r="B108" s="106"/>
      <c r="C108" s="109"/>
      <c r="D108">
        <v>2020</v>
      </c>
      <c r="E108" s="21">
        <f>'LA LQ'!E108</f>
        <v>2674343000</v>
      </c>
      <c r="F108" s="11">
        <v>5931520000</v>
      </c>
      <c r="G108" s="75">
        <f t="shared" si="1"/>
        <v>0.45086976019637465</v>
      </c>
    </row>
    <row r="109" spans="1:7" ht="15.75" thickBot="1" x14ac:dyDescent="0.3">
      <c r="A109" s="103"/>
      <c r="B109" s="106"/>
      <c r="C109" s="109"/>
      <c r="D109">
        <v>2021</v>
      </c>
      <c r="E109" s="21">
        <f>'LA LQ'!E109</f>
        <v>2117236000</v>
      </c>
      <c r="F109" s="11">
        <v>5931520000</v>
      </c>
      <c r="G109" s="75">
        <f t="shared" si="1"/>
        <v>0.35694661739318084</v>
      </c>
    </row>
    <row r="110" spans="1:7" ht="15.75" thickBot="1" x14ac:dyDescent="0.3">
      <c r="A110" s="104"/>
      <c r="B110" s="107"/>
      <c r="C110" s="110"/>
      <c r="D110">
        <v>2022</v>
      </c>
      <c r="E110" s="21">
        <f>'LA LQ'!E110</f>
        <v>2499083000</v>
      </c>
      <c r="F110" s="14">
        <v>6751540089</v>
      </c>
      <c r="G110" s="75">
        <f t="shared" si="1"/>
        <v>0.37015006458624911</v>
      </c>
    </row>
    <row r="111" spans="1:7" ht="15.75" thickBot="1" x14ac:dyDescent="0.3">
      <c r="A111" s="102">
        <v>28</v>
      </c>
      <c r="B111" s="105" t="s">
        <v>30</v>
      </c>
      <c r="C111" s="108" t="s">
        <v>31</v>
      </c>
      <c r="D111">
        <v>2019</v>
      </c>
      <c r="E111" s="21">
        <f>'LA LQ'!E111</f>
        <v>27592000000</v>
      </c>
      <c r="F111" s="21">
        <v>990622216600</v>
      </c>
      <c r="G111" s="75">
        <f t="shared" si="1"/>
        <v>2.7853201288681861E-2</v>
      </c>
    </row>
    <row r="112" spans="1:7" ht="15.75" thickBot="1" x14ac:dyDescent="0.3">
      <c r="A112" s="103"/>
      <c r="B112" s="106"/>
      <c r="C112" s="109"/>
      <c r="D112">
        <v>2020</v>
      </c>
      <c r="E112" s="21">
        <f>'LA LQ'!E112</f>
        <v>29563000000</v>
      </c>
      <c r="F112" s="28">
        <v>990622216600</v>
      </c>
      <c r="G112" s="75">
        <f t="shared" si="1"/>
        <v>2.984285987595324E-2</v>
      </c>
    </row>
    <row r="113" spans="1:7" ht="15.75" thickBot="1" x14ac:dyDescent="0.3">
      <c r="A113" s="103"/>
      <c r="B113" s="106"/>
      <c r="C113" s="109"/>
      <c r="D113">
        <v>2021</v>
      </c>
      <c r="E113" s="21">
        <f>'LA LQ'!E113</f>
        <v>33948000000</v>
      </c>
      <c r="F113" s="28">
        <v>990622216600</v>
      </c>
      <c r="G113" s="75">
        <f t="shared" si="1"/>
        <v>3.4269370736016665E-2</v>
      </c>
    </row>
    <row r="114" spans="1:7" ht="15.75" thickBot="1" x14ac:dyDescent="0.3">
      <c r="A114" s="104"/>
      <c r="B114" s="107"/>
      <c r="C114" s="110"/>
      <c r="D114">
        <v>2022</v>
      </c>
      <c r="E114" s="21">
        <f>'LA LQ'!E114</f>
        <v>27680000000</v>
      </c>
      <c r="F114" s="31">
        <v>990622216600</v>
      </c>
      <c r="G114" s="75">
        <f t="shared" si="1"/>
        <v>2.7942034345850748E-2</v>
      </c>
    </row>
  </sheetData>
  <mergeCells count="89">
    <mergeCell ref="A107:A110"/>
    <mergeCell ref="B107:B110"/>
    <mergeCell ref="C107:C110"/>
    <mergeCell ref="A111:A114"/>
    <mergeCell ref="B111:B114"/>
    <mergeCell ref="C111:C114"/>
    <mergeCell ref="A99:A102"/>
    <mergeCell ref="B99:B102"/>
    <mergeCell ref="C99:C102"/>
    <mergeCell ref="A103:A106"/>
    <mergeCell ref="B103:B106"/>
    <mergeCell ref="C103:C106"/>
    <mergeCell ref="A91:A94"/>
    <mergeCell ref="B91:B94"/>
    <mergeCell ref="C91:C94"/>
    <mergeCell ref="A95:A98"/>
    <mergeCell ref="B95:B98"/>
    <mergeCell ref="C95:C98"/>
    <mergeCell ref="A83:A86"/>
    <mergeCell ref="B83:B86"/>
    <mergeCell ref="C83:C86"/>
    <mergeCell ref="A87:A90"/>
    <mergeCell ref="B87:B90"/>
    <mergeCell ref="C87:C90"/>
    <mergeCell ref="A75:A78"/>
    <mergeCell ref="B75:B78"/>
    <mergeCell ref="C75:C78"/>
    <mergeCell ref="A79:A82"/>
    <mergeCell ref="B79:B82"/>
    <mergeCell ref="C79:C82"/>
    <mergeCell ref="A67:A70"/>
    <mergeCell ref="B67:B70"/>
    <mergeCell ref="C67:C70"/>
    <mergeCell ref="A71:A74"/>
    <mergeCell ref="B71:B74"/>
    <mergeCell ref="C71:C74"/>
    <mergeCell ref="A59:A62"/>
    <mergeCell ref="B59:B62"/>
    <mergeCell ref="C59:C62"/>
    <mergeCell ref="A63:A66"/>
    <mergeCell ref="B63:B66"/>
    <mergeCell ref="C63:C66"/>
    <mergeCell ref="A51:A54"/>
    <mergeCell ref="B51:B54"/>
    <mergeCell ref="C51:C54"/>
    <mergeCell ref="A55:A58"/>
    <mergeCell ref="B55:B58"/>
    <mergeCell ref="C55:C58"/>
    <mergeCell ref="A3:A6"/>
    <mergeCell ref="B3:B6"/>
    <mergeCell ref="C3:C6"/>
    <mergeCell ref="A47:A50"/>
    <mergeCell ref="B47:B50"/>
    <mergeCell ref="C47:C50"/>
    <mergeCell ref="A1:A2"/>
    <mergeCell ref="B1:B2"/>
    <mergeCell ref="C1:C2"/>
    <mergeCell ref="D1:D2"/>
    <mergeCell ref="E1:G1"/>
    <mergeCell ref="A7:A10"/>
    <mergeCell ref="B7:B10"/>
    <mergeCell ref="C7:C10"/>
    <mergeCell ref="A11:A14"/>
    <mergeCell ref="B11:B14"/>
    <mergeCell ref="C11:C14"/>
    <mergeCell ref="A23:A26"/>
    <mergeCell ref="B23:B26"/>
    <mergeCell ref="C23:C26"/>
    <mergeCell ref="A15:A18"/>
    <mergeCell ref="B15:B18"/>
    <mergeCell ref="C15:C18"/>
    <mergeCell ref="A19:A22"/>
    <mergeCell ref="B19:B22"/>
    <mergeCell ref="C19:C22"/>
    <mergeCell ref="A43:A46"/>
    <mergeCell ref="B43:B46"/>
    <mergeCell ref="C43:C46"/>
    <mergeCell ref="A27:A30"/>
    <mergeCell ref="B27:B30"/>
    <mergeCell ref="C27:C30"/>
    <mergeCell ref="A31:A34"/>
    <mergeCell ref="B31:B34"/>
    <mergeCell ref="C31:C34"/>
    <mergeCell ref="C35:C38"/>
    <mergeCell ref="B35:B38"/>
    <mergeCell ref="A35:A38"/>
    <mergeCell ref="A39:A42"/>
    <mergeCell ref="B39:B42"/>
    <mergeCell ref="C39:C4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E77A5-623E-4E9C-837D-708FD5926479}">
  <dimension ref="A1:G114"/>
  <sheetViews>
    <sheetView topLeftCell="A87" zoomScale="70" zoomScaleNormal="70" workbookViewId="0">
      <selection activeCell="G3" sqref="G3:G114"/>
    </sheetView>
  </sheetViews>
  <sheetFormatPr defaultRowHeight="15" x14ac:dyDescent="0.25"/>
  <cols>
    <col min="3" max="3" width="11.28515625" bestFit="1" customWidth="1"/>
    <col min="5" max="5" width="24.7109375" bestFit="1" customWidth="1"/>
    <col min="6" max="6" width="21.7109375" bestFit="1" customWidth="1"/>
    <col min="7" max="7" width="21.42578125" bestFit="1" customWidth="1"/>
  </cols>
  <sheetData>
    <row r="1" spans="1:7" x14ac:dyDescent="0.25">
      <c r="A1" s="115" t="s">
        <v>1</v>
      </c>
      <c r="B1" s="115" t="s">
        <v>2</v>
      </c>
      <c r="C1" s="115" t="s">
        <v>3</v>
      </c>
      <c r="D1" s="115" t="s">
        <v>4</v>
      </c>
      <c r="E1" s="117" t="s">
        <v>37</v>
      </c>
      <c r="F1" s="117"/>
      <c r="G1" s="117"/>
    </row>
    <row r="2" spans="1:7" ht="15.75" thickBot="1" x14ac:dyDescent="0.3">
      <c r="A2" s="116"/>
      <c r="B2" s="116"/>
      <c r="C2" s="116"/>
      <c r="D2" s="116"/>
      <c r="E2" s="51" t="s">
        <v>38</v>
      </c>
      <c r="F2" s="52" t="s">
        <v>39</v>
      </c>
      <c r="G2" s="53" t="s">
        <v>37</v>
      </c>
    </row>
    <row r="3" spans="1:7" ht="15.75" thickBot="1" x14ac:dyDescent="0.3">
      <c r="A3" s="102">
        <v>1</v>
      </c>
      <c r="B3" s="105" t="s">
        <v>24</v>
      </c>
      <c r="C3" s="108" t="s">
        <v>25</v>
      </c>
      <c r="D3" s="19">
        <v>2019</v>
      </c>
      <c r="E3" s="21">
        <v>360703200000</v>
      </c>
      <c r="F3" s="21">
        <v>110523819000</v>
      </c>
      <c r="G3" s="90">
        <f>E3-F3</f>
        <v>250179381000</v>
      </c>
    </row>
    <row r="4" spans="1:7" ht="15.75" thickBot="1" x14ac:dyDescent="0.3">
      <c r="A4" s="103"/>
      <c r="B4" s="106"/>
      <c r="C4" s="109"/>
      <c r="D4" s="26">
        <v>2020</v>
      </c>
      <c r="E4" s="28">
        <v>201540400000</v>
      </c>
      <c r="F4" s="28">
        <v>114477311000</v>
      </c>
      <c r="G4" s="90">
        <f t="shared" ref="G4:G67" si="0">E4-F4</f>
        <v>87063089000</v>
      </c>
    </row>
    <row r="5" spans="1:7" ht="15.75" thickBot="1" x14ac:dyDescent="0.3">
      <c r="A5" s="103"/>
      <c r="B5" s="106"/>
      <c r="C5" s="109"/>
      <c r="D5" s="26">
        <v>2021</v>
      </c>
      <c r="E5" s="28">
        <v>168152500000</v>
      </c>
      <c r="F5" s="28">
        <v>124881266000</v>
      </c>
      <c r="G5" s="90">
        <f t="shared" si="0"/>
        <v>43271234000</v>
      </c>
    </row>
    <row r="6" spans="1:7" ht="15.75" thickBot="1" x14ac:dyDescent="0.3">
      <c r="A6" s="104"/>
      <c r="B6" s="107"/>
      <c r="C6" s="110"/>
      <c r="D6" s="29">
        <v>2022</v>
      </c>
      <c r="E6" s="31">
        <v>866779000000</v>
      </c>
      <c r="F6" s="31">
        <v>124682692000</v>
      </c>
      <c r="G6" s="90">
        <f t="shared" si="0"/>
        <v>742096308000</v>
      </c>
    </row>
    <row r="7" spans="1:7" ht="15.75" thickBot="1" x14ac:dyDescent="0.3">
      <c r="A7" s="102">
        <v>2</v>
      </c>
      <c r="B7" s="94" t="s">
        <v>26</v>
      </c>
      <c r="C7" s="97">
        <v>32881</v>
      </c>
      <c r="D7" s="2">
        <v>2019</v>
      </c>
      <c r="E7" s="4">
        <v>137211300000</v>
      </c>
      <c r="F7" s="4">
        <v>106055000000</v>
      </c>
      <c r="G7" s="90">
        <f t="shared" si="0"/>
        <v>31156300000</v>
      </c>
    </row>
    <row r="8" spans="1:7" ht="15.75" thickBot="1" x14ac:dyDescent="0.3">
      <c r="A8" s="103"/>
      <c r="B8" s="95"/>
      <c r="C8" s="98"/>
      <c r="D8" s="9">
        <v>2020</v>
      </c>
      <c r="E8" s="11">
        <v>85813780000</v>
      </c>
      <c r="F8" s="11">
        <v>92425000000</v>
      </c>
      <c r="G8" s="90">
        <f t="shared" si="0"/>
        <v>-6611220000</v>
      </c>
    </row>
    <row r="9" spans="1:7" ht="15.75" thickBot="1" x14ac:dyDescent="0.3">
      <c r="A9" s="103"/>
      <c r="B9" s="95"/>
      <c r="C9" s="98"/>
      <c r="D9" s="9">
        <v>2021</v>
      </c>
      <c r="E9" s="11">
        <v>71370970000</v>
      </c>
      <c r="F9" s="11">
        <v>9887000000</v>
      </c>
      <c r="G9" s="90">
        <f t="shared" si="0"/>
        <v>61483970000</v>
      </c>
    </row>
    <row r="10" spans="1:7" ht="15.75" thickBot="1" x14ac:dyDescent="0.3">
      <c r="A10" s="104"/>
      <c r="B10" s="96"/>
      <c r="C10" s="99"/>
      <c r="D10" s="12">
        <v>2022</v>
      </c>
      <c r="E10" s="14">
        <v>6323744000</v>
      </c>
      <c r="F10" s="14">
        <v>1112110000</v>
      </c>
      <c r="G10" s="90">
        <f t="shared" si="0"/>
        <v>5211634000</v>
      </c>
    </row>
    <row r="11" spans="1:7" ht="15.75" thickBot="1" x14ac:dyDescent="0.3">
      <c r="A11" s="102">
        <v>3</v>
      </c>
      <c r="B11" s="94" t="s">
        <v>43</v>
      </c>
      <c r="C11" s="97" t="s">
        <v>44</v>
      </c>
      <c r="D11" s="2">
        <v>2019</v>
      </c>
      <c r="E11" s="4">
        <v>59027000000</v>
      </c>
      <c r="F11" s="4">
        <v>7693000000</v>
      </c>
      <c r="G11" s="90">
        <f t="shared" si="0"/>
        <v>51334000000</v>
      </c>
    </row>
    <row r="12" spans="1:7" ht="15.75" thickBot="1" x14ac:dyDescent="0.3">
      <c r="A12" s="103"/>
      <c r="B12" s="95"/>
      <c r="C12" s="98"/>
      <c r="D12" s="9">
        <v>2020</v>
      </c>
      <c r="E12" s="11">
        <v>87521000000</v>
      </c>
      <c r="F12" s="11">
        <v>81731500000</v>
      </c>
      <c r="G12" s="90">
        <f t="shared" si="0"/>
        <v>5789500000</v>
      </c>
    </row>
    <row r="13" spans="1:7" ht="15.75" thickBot="1" x14ac:dyDescent="0.3">
      <c r="A13" s="103"/>
      <c r="B13" s="95"/>
      <c r="C13" s="98"/>
      <c r="D13" s="9">
        <v>2021</v>
      </c>
      <c r="E13" s="11">
        <v>112297000000</v>
      </c>
      <c r="F13" s="11">
        <v>99345600000</v>
      </c>
      <c r="G13" s="90">
        <f t="shared" si="0"/>
        <v>12951400000</v>
      </c>
    </row>
    <row r="14" spans="1:7" ht="15.75" thickBot="1" x14ac:dyDescent="0.3">
      <c r="A14" s="104"/>
      <c r="B14" s="96"/>
      <c r="C14" s="99"/>
      <c r="D14" s="12">
        <v>2022</v>
      </c>
      <c r="E14" s="14">
        <v>91926000000</v>
      </c>
      <c r="F14" s="14">
        <v>110830300000</v>
      </c>
      <c r="G14" s="90">
        <f t="shared" si="0"/>
        <v>-18904300000</v>
      </c>
    </row>
    <row r="15" spans="1:7" ht="15.75" thickBot="1" x14ac:dyDescent="0.3">
      <c r="A15" s="102">
        <v>4</v>
      </c>
      <c r="B15" s="105" t="s">
        <v>45</v>
      </c>
      <c r="C15" s="108">
        <v>39428</v>
      </c>
      <c r="D15" s="19">
        <v>2019</v>
      </c>
      <c r="E15" s="21">
        <v>2074000000</v>
      </c>
      <c r="F15" s="21">
        <v>19901000000</v>
      </c>
      <c r="G15" s="90">
        <f t="shared" si="0"/>
        <v>-17827000000</v>
      </c>
    </row>
    <row r="16" spans="1:7" ht="15.75" thickBot="1" x14ac:dyDescent="0.3">
      <c r="A16" s="103"/>
      <c r="B16" s="106"/>
      <c r="C16" s="109"/>
      <c r="D16" s="26">
        <v>2020</v>
      </c>
      <c r="E16" s="28">
        <v>-42000000000</v>
      </c>
      <c r="F16" s="28">
        <v>8349000000</v>
      </c>
      <c r="G16" s="90">
        <f t="shared" si="0"/>
        <v>-50349000000</v>
      </c>
    </row>
    <row r="17" spans="1:7" ht="15.75" thickBot="1" x14ac:dyDescent="0.3">
      <c r="A17" s="103"/>
      <c r="B17" s="106"/>
      <c r="C17" s="109"/>
      <c r="D17" s="26">
        <v>2021</v>
      </c>
      <c r="E17" s="28">
        <v>871000000000</v>
      </c>
      <c r="F17" s="28">
        <v>8695000000</v>
      </c>
      <c r="G17" s="90">
        <f t="shared" si="0"/>
        <v>862305000000</v>
      </c>
    </row>
    <row r="18" spans="1:7" ht="15.75" thickBot="1" x14ac:dyDescent="0.3">
      <c r="A18" s="104"/>
      <c r="B18" s="107"/>
      <c r="C18" s="110"/>
      <c r="D18" s="29">
        <v>2022</v>
      </c>
      <c r="E18" s="31">
        <v>2324000000</v>
      </c>
      <c r="F18" s="31">
        <v>9165000000</v>
      </c>
      <c r="G18" s="90">
        <f t="shared" si="0"/>
        <v>-6841000000</v>
      </c>
    </row>
    <row r="19" spans="1:7" ht="15.75" thickBot="1" x14ac:dyDescent="0.3">
      <c r="A19" s="102">
        <v>5</v>
      </c>
      <c r="B19" s="94" t="s">
        <v>27</v>
      </c>
      <c r="C19" s="97" t="s">
        <v>28</v>
      </c>
      <c r="D19" s="2">
        <v>2019</v>
      </c>
      <c r="E19" s="4">
        <v>2537602000</v>
      </c>
      <c r="F19" s="4">
        <v>22633476000</v>
      </c>
      <c r="G19" s="90">
        <f t="shared" si="0"/>
        <v>-20095874000</v>
      </c>
    </row>
    <row r="20" spans="1:7" ht="15.75" thickBot="1" x14ac:dyDescent="0.3">
      <c r="A20" s="103"/>
      <c r="B20" s="95"/>
      <c r="C20" s="98"/>
      <c r="D20" s="9">
        <v>2020</v>
      </c>
      <c r="E20" s="11">
        <v>2799623000</v>
      </c>
      <c r="F20" s="11">
        <v>23112655000</v>
      </c>
      <c r="G20" s="90">
        <f t="shared" si="0"/>
        <v>-20313032000</v>
      </c>
    </row>
    <row r="21" spans="1:7" ht="15.75" thickBot="1" x14ac:dyDescent="0.3">
      <c r="A21" s="103"/>
      <c r="B21" s="95"/>
      <c r="C21" s="98"/>
      <c r="D21" s="9">
        <v>2021</v>
      </c>
      <c r="E21" s="11">
        <v>3232008000</v>
      </c>
      <c r="F21" s="11">
        <v>26261195000</v>
      </c>
      <c r="G21" s="90">
        <f t="shared" si="0"/>
        <v>-23029187000</v>
      </c>
    </row>
    <row r="22" spans="1:7" ht="15.75" thickBot="1" x14ac:dyDescent="0.3">
      <c r="A22" s="104"/>
      <c r="B22" s="96"/>
      <c r="C22" s="99"/>
      <c r="D22" s="12">
        <v>2022</v>
      </c>
      <c r="E22" s="14">
        <v>3450083000</v>
      </c>
      <c r="F22" s="14">
        <v>28933503000</v>
      </c>
      <c r="G22" s="90">
        <f t="shared" si="0"/>
        <v>-25483420000</v>
      </c>
    </row>
    <row r="23" spans="1:7" ht="15.75" thickBot="1" x14ac:dyDescent="0.3">
      <c r="A23" s="102">
        <v>6</v>
      </c>
      <c r="B23" s="105" t="s">
        <v>46</v>
      </c>
      <c r="C23" s="108">
        <v>33059</v>
      </c>
      <c r="D23" s="19">
        <v>2019</v>
      </c>
      <c r="E23" s="21">
        <v>613000000000</v>
      </c>
      <c r="F23" s="21">
        <v>354466000000</v>
      </c>
      <c r="G23" s="90">
        <f t="shared" si="0"/>
        <v>258534000000</v>
      </c>
    </row>
    <row r="24" spans="1:7" ht="15.75" thickBot="1" x14ac:dyDescent="0.3">
      <c r="A24" s="103"/>
      <c r="B24" s="106"/>
      <c r="C24" s="109"/>
      <c r="D24" s="26">
        <v>2020</v>
      </c>
      <c r="E24" s="28">
        <v>246000000000</v>
      </c>
      <c r="F24" s="28">
        <v>275477690000</v>
      </c>
      <c r="G24" s="90">
        <f t="shared" si="0"/>
        <v>-29477690000</v>
      </c>
    </row>
    <row r="25" spans="1:7" ht="15.75" thickBot="1" x14ac:dyDescent="0.3">
      <c r="A25" s="103"/>
      <c r="B25" s="106"/>
      <c r="C25" s="109"/>
      <c r="D25" s="26">
        <v>2021</v>
      </c>
      <c r="E25" s="28">
        <v>550000000000</v>
      </c>
      <c r="F25" s="28">
        <v>306215761000</v>
      </c>
      <c r="G25" s="90">
        <f t="shared" si="0"/>
        <v>243784239000</v>
      </c>
    </row>
    <row r="26" spans="1:7" ht="15.75" thickBot="1" x14ac:dyDescent="0.3">
      <c r="A26" s="104"/>
      <c r="B26" s="107"/>
      <c r="C26" s="110"/>
      <c r="D26" s="29">
        <v>2022</v>
      </c>
      <c r="E26" s="31">
        <v>772000000000</v>
      </c>
      <c r="F26" s="31">
        <v>321562000000</v>
      </c>
      <c r="G26" s="90">
        <f t="shared" si="0"/>
        <v>450438000000</v>
      </c>
    </row>
    <row r="27" spans="1:7" ht="15.75" thickBot="1" x14ac:dyDescent="0.3">
      <c r="A27" s="102">
        <v>7</v>
      </c>
      <c r="B27" s="94" t="s">
        <v>52</v>
      </c>
      <c r="C27" s="97">
        <v>39244</v>
      </c>
      <c r="D27" s="2">
        <v>2019</v>
      </c>
      <c r="E27" s="4">
        <v>10366000000</v>
      </c>
      <c r="F27" s="4">
        <v>8142700000</v>
      </c>
      <c r="G27" s="90">
        <f t="shared" si="0"/>
        <v>2223300000</v>
      </c>
    </row>
    <row r="28" spans="1:7" ht="15.75" thickBot="1" x14ac:dyDescent="0.3">
      <c r="A28" s="103"/>
      <c r="B28" s="95"/>
      <c r="C28" s="98"/>
      <c r="D28" s="9">
        <v>2020</v>
      </c>
      <c r="E28" s="11">
        <v>7313000000</v>
      </c>
      <c r="F28" s="11">
        <v>74100000000</v>
      </c>
      <c r="G28" s="90">
        <f t="shared" si="0"/>
        <v>-66787000000</v>
      </c>
    </row>
    <row r="29" spans="1:7" ht="15.75" thickBot="1" x14ac:dyDescent="0.3">
      <c r="A29" s="103"/>
      <c r="B29" s="95"/>
      <c r="C29" s="98"/>
      <c r="D29" s="9">
        <v>2021</v>
      </c>
      <c r="E29" s="11">
        <v>7188000000</v>
      </c>
      <c r="F29" s="11">
        <v>65400000000</v>
      </c>
      <c r="G29" s="90">
        <f t="shared" si="0"/>
        <v>-58212000000</v>
      </c>
    </row>
    <row r="30" spans="1:7" ht="15.75" thickBot="1" x14ac:dyDescent="0.3">
      <c r="A30" s="104"/>
      <c r="B30" s="96"/>
      <c r="C30" s="99"/>
      <c r="D30" s="12">
        <v>2022</v>
      </c>
      <c r="E30" s="14">
        <v>674000000000</v>
      </c>
      <c r="F30" s="14">
        <v>676000000000</v>
      </c>
      <c r="G30" s="90">
        <f t="shared" si="0"/>
        <v>-2000000000</v>
      </c>
    </row>
    <row r="31" spans="1:7" ht="15.75" thickBot="1" x14ac:dyDescent="0.3">
      <c r="A31" s="102">
        <v>8</v>
      </c>
      <c r="B31" s="94" t="s">
        <v>53</v>
      </c>
      <c r="C31" s="97" t="s">
        <v>54</v>
      </c>
      <c r="D31" s="2">
        <v>2019</v>
      </c>
      <c r="E31" s="4">
        <v>19385000000</v>
      </c>
      <c r="F31" s="4">
        <v>32718540000</v>
      </c>
      <c r="G31" s="90">
        <f t="shared" si="0"/>
        <v>-13333540000</v>
      </c>
    </row>
    <row r="32" spans="1:7" ht="15.75" thickBot="1" x14ac:dyDescent="0.3">
      <c r="A32" s="103"/>
      <c r="B32" s="95"/>
      <c r="C32" s="98"/>
      <c r="D32" s="9">
        <v>2020</v>
      </c>
      <c r="E32" s="11">
        <v>1149350000000</v>
      </c>
      <c r="F32" s="11">
        <v>27372460000</v>
      </c>
      <c r="G32" s="90">
        <f t="shared" si="0"/>
        <v>1121977540000</v>
      </c>
    </row>
    <row r="33" spans="1:7" ht="15.75" thickBot="1" x14ac:dyDescent="0.3">
      <c r="A33" s="103"/>
      <c r="B33" s="95"/>
      <c r="C33" s="98"/>
      <c r="D33" s="9">
        <v>2021</v>
      </c>
      <c r="E33" s="11">
        <v>186174000000</v>
      </c>
      <c r="F33" s="11">
        <v>38445595000</v>
      </c>
      <c r="G33" s="90">
        <f t="shared" si="0"/>
        <v>147728405000</v>
      </c>
    </row>
    <row r="34" spans="1:7" ht="15.75" thickBot="1" x14ac:dyDescent="0.3">
      <c r="A34" s="104"/>
      <c r="B34" s="96"/>
      <c r="C34" s="99"/>
      <c r="D34" s="12">
        <v>2022</v>
      </c>
      <c r="E34" s="14">
        <v>3820964000</v>
      </c>
      <c r="F34" s="14">
        <v>45930356000</v>
      </c>
      <c r="G34" s="90">
        <f t="shared" si="0"/>
        <v>-42109392000</v>
      </c>
    </row>
    <row r="35" spans="1:7" ht="15.75" thickBot="1" x14ac:dyDescent="0.3">
      <c r="A35" s="102">
        <v>9</v>
      </c>
      <c r="B35" s="94" t="s">
        <v>47</v>
      </c>
      <c r="C35" s="97" t="s">
        <v>48</v>
      </c>
      <c r="D35" s="2">
        <v>2019</v>
      </c>
      <c r="E35" s="4">
        <v>8661000000</v>
      </c>
      <c r="F35" s="4">
        <v>2862400000</v>
      </c>
      <c r="G35" s="90">
        <f t="shared" si="0"/>
        <v>5798600000</v>
      </c>
    </row>
    <row r="36" spans="1:7" ht="15.75" thickBot="1" x14ac:dyDescent="0.3">
      <c r="A36" s="103"/>
      <c r="B36" s="95"/>
      <c r="C36" s="98"/>
      <c r="D36" s="9">
        <v>2020</v>
      </c>
      <c r="E36" s="11">
        <v>1066600000</v>
      </c>
      <c r="F36" s="11">
        <v>3174000000</v>
      </c>
      <c r="G36" s="90">
        <f t="shared" si="0"/>
        <v>-2107400000</v>
      </c>
    </row>
    <row r="37" spans="1:7" ht="15.75" thickBot="1" x14ac:dyDescent="0.3">
      <c r="A37" s="103"/>
      <c r="B37" s="95"/>
      <c r="C37" s="98"/>
      <c r="D37" s="9">
        <v>2021</v>
      </c>
      <c r="E37" s="11">
        <v>1601400000</v>
      </c>
      <c r="F37" s="11">
        <v>38976000000</v>
      </c>
      <c r="G37" s="90">
        <f t="shared" si="0"/>
        <v>-37374600000</v>
      </c>
    </row>
    <row r="38" spans="1:7" ht="15.75" thickBot="1" x14ac:dyDescent="0.3">
      <c r="A38" s="104"/>
      <c r="B38" s="96"/>
      <c r="C38" s="99"/>
      <c r="D38" s="12">
        <v>2022</v>
      </c>
      <c r="E38" s="14">
        <v>1689400000</v>
      </c>
      <c r="F38" s="14">
        <v>407772000</v>
      </c>
      <c r="G38" s="90">
        <f t="shared" si="0"/>
        <v>1281628000</v>
      </c>
    </row>
    <row r="39" spans="1:7" ht="15.75" thickBot="1" x14ac:dyDescent="0.3">
      <c r="A39" s="102">
        <v>10</v>
      </c>
      <c r="B39" s="94" t="s">
        <v>49</v>
      </c>
      <c r="C39" s="97">
        <v>40393</v>
      </c>
      <c r="D39" s="2">
        <v>2019</v>
      </c>
      <c r="E39" s="4">
        <v>23531000000</v>
      </c>
      <c r="F39" s="4">
        <v>14762000000</v>
      </c>
      <c r="G39" s="90">
        <f t="shared" si="0"/>
        <v>8769000000</v>
      </c>
    </row>
    <row r="40" spans="1:7" ht="15.75" thickBot="1" x14ac:dyDescent="0.3">
      <c r="A40" s="103"/>
      <c r="B40" s="95"/>
      <c r="C40" s="98"/>
      <c r="D40" s="9">
        <v>2020</v>
      </c>
      <c r="E40" s="11">
        <v>28536000000</v>
      </c>
      <c r="F40" s="11">
        <v>14599600000</v>
      </c>
      <c r="G40" s="90">
        <f t="shared" si="0"/>
        <v>13936400000</v>
      </c>
    </row>
    <row r="41" spans="1:7" ht="15.75" thickBot="1" x14ac:dyDescent="0.3">
      <c r="A41" s="103"/>
      <c r="B41" s="95"/>
      <c r="C41" s="98"/>
      <c r="D41" s="9">
        <v>2021</v>
      </c>
      <c r="E41" s="11">
        <v>34479000000</v>
      </c>
      <c r="F41" s="11">
        <v>12003700000</v>
      </c>
      <c r="G41" s="90">
        <f t="shared" si="0"/>
        <v>22475300000</v>
      </c>
    </row>
    <row r="42" spans="1:7" ht="15.75" thickBot="1" x14ac:dyDescent="0.3">
      <c r="A42" s="104"/>
      <c r="B42" s="96"/>
      <c r="C42" s="99"/>
      <c r="D42" s="12">
        <v>2022</v>
      </c>
      <c r="E42" s="14">
        <v>349650000000</v>
      </c>
      <c r="F42" s="14">
        <v>16906200000</v>
      </c>
      <c r="G42" s="90">
        <f t="shared" si="0"/>
        <v>332743800000</v>
      </c>
    </row>
    <row r="43" spans="1:7" ht="15.75" thickBot="1" x14ac:dyDescent="0.3">
      <c r="A43" s="102">
        <v>11</v>
      </c>
      <c r="B43" s="105" t="s">
        <v>50</v>
      </c>
      <c r="C43" s="108" t="s">
        <v>51</v>
      </c>
      <c r="D43" s="19">
        <v>2019</v>
      </c>
      <c r="E43" s="21">
        <v>26210150000</v>
      </c>
      <c r="F43" s="21">
        <v>13186000000</v>
      </c>
      <c r="G43" s="90">
        <f t="shared" si="0"/>
        <v>13024150000</v>
      </c>
    </row>
    <row r="44" spans="1:7" ht="15.75" thickBot="1" x14ac:dyDescent="0.3">
      <c r="A44" s="103"/>
      <c r="B44" s="106"/>
      <c r="C44" s="109"/>
      <c r="D44" s="26">
        <v>2020</v>
      </c>
      <c r="E44" s="28">
        <v>322343000000</v>
      </c>
      <c r="F44" s="28">
        <v>11276000000</v>
      </c>
      <c r="G44" s="90">
        <f t="shared" si="0"/>
        <v>311067000000</v>
      </c>
    </row>
    <row r="45" spans="1:7" ht="15.75" thickBot="1" x14ac:dyDescent="0.3">
      <c r="A45" s="103"/>
      <c r="B45" s="106"/>
      <c r="C45" s="109"/>
      <c r="D45" s="26">
        <v>2021</v>
      </c>
      <c r="E45" s="28">
        <v>214425000000</v>
      </c>
      <c r="F45" s="28">
        <v>8579000000</v>
      </c>
      <c r="G45" s="90">
        <f t="shared" si="0"/>
        <v>205846000000</v>
      </c>
    </row>
    <row r="46" spans="1:7" ht="15.75" thickBot="1" x14ac:dyDescent="0.3">
      <c r="A46" s="104"/>
      <c r="B46" s="107"/>
      <c r="C46" s="110"/>
      <c r="D46" s="29">
        <v>2022</v>
      </c>
      <c r="E46" s="31">
        <v>12586000000</v>
      </c>
      <c r="F46" s="31">
        <v>4762000000</v>
      </c>
      <c r="G46" s="90">
        <f t="shared" si="0"/>
        <v>7824000000</v>
      </c>
    </row>
    <row r="47" spans="1:7" ht="15.75" thickBot="1" x14ac:dyDescent="0.3">
      <c r="A47" s="102">
        <v>12</v>
      </c>
      <c r="B47" s="105" t="s">
        <v>55</v>
      </c>
      <c r="C47" s="108">
        <v>34403</v>
      </c>
      <c r="D47">
        <v>2019</v>
      </c>
      <c r="E47" s="31">
        <v>703000000000</v>
      </c>
      <c r="F47" s="31">
        <v>2170300000</v>
      </c>
      <c r="G47" s="90">
        <f t="shared" si="0"/>
        <v>700829700000</v>
      </c>
    </row>
    <row r="48" spans="1:7" ht="15.75" thickBot="1" x14ac:dyDescent="0.3">
      <c r="A48" s="103"/>
      <c r="B48" s="106"/>
      <c r="C48" s="109"/>
      <c r="D48">
        <v>2020</v>
      </c>
      <c r="E48" s="31">
        <v>962000000000</v>
      </c>
      <c r="F48" s="31">
        <v>17716000000</v>
      </c>
      <c r="G48" s="90">
        <f t="shared" si="0"/>
        <v>944284000000</v>
      </c>
    </row>
    <row r="49" spans="1:7" ht="15.75" thickBot="1" x14ac:dyDescent="0.3">
      <c r="A49" s="103"/>
      <c r="B49" s="106"/>
      <c r="C49" s="109"/>
      <c r="D49">
        <v>2021</v>
      </c>
      <c r="E49" s="31">
        <v>11350000000</v>
      </c>
      <c r="F49" s="31">
        <v>25707000000</v>
      </c>
      <c r="G49" s="90">
        <f t="shared" si="0"/>
        <v>-14357000000</v>
      </c>
    </row>
    <row r="50" spans="1:7" ht="15.75" thickBot="1" x14ac:dyDescent="0.3">
      <c r="A50" s="104"/>
      <c r="B50" s="107"/>
      <c r="C50" s="110"/>
      <c r="D50">
        <v>2022</v>
      </c>
      <c r="E50" s="31">
        <v>24790000000</v>
      </c>
      <c r="F50" s="31">
        <v>47540000000</v>
      </c>
      <c r="G50" s="90">
        <f t="shared" si="0"/>
        <v>-22750000000</v>
      </c>
    </row>
    <row r="51" spans="1:7" ht="15.75" thickBot="1" x14ac:dyDescent="0.3">
      <c r="A51" s="102">
        <v>13</v>
      </c>
      <c r="B51" s="105" t="s">
        <v>56</v>
      </c>
      <c r="C51" s="108">
        <v>32967</v>
      </c>
      <c r="D51">
        <v>2019</v>
      </c>
      <c r="E51" s="31">
        <v>26062100000</v>
      </c>
      <c r="F51" s="31">
        <v>23720000000</v>
      </c>
      <c r="G51" s="90">
        <f t="shared" si="0"/>
        <v>2342100000</v>
      </c>
    </row>
    <row r="52" spans="1:7" ht="15.75" thickBot="1" x14ac:dyDescent="0.3">
      <c r="A52" s="103"/>
      <c r="B52" s="106"/>
      <c r="C52" s="109"/>
      <c r="D52">
        <v>2020</v>
      </c>
      <c r="E52" s="31">
        <v>18057100000</v>
      </c>
      <c r="F52" s="31">
        <v>1750460000</v>
      </c>
      <c r="G52" s="90">
        <f t="shared" si="0"/>
        <v>16306640000</v>
      </c>
    </row>
    <row r="53" spans="1:7" ht="15.75" thickBot="1" x14ac:dyDescent="0.3">
      <c r="A53" s="103"/>
      <c r="B53" s="106"/>
      <c r="C53" s="109"/>
      <c r="D53">
        <v>2021</v>
      </c>
      <c r="E53" s="31">
        <v>25058600000</v>
      </c>
      <c r="F53" s="31">
        <v>23348500000</v>
      </c>
      <c r="G53" s="90">
        <f t="shared" si="0"/>
        <v>1710100000</v>
      </c>
    </row>
    <row r="54" spans="1:7" ht="15.75" thickBot="1" x14ac:dyDescent="0.3">
      <c r="A54" s="104"/>
      <c r="B54" s="107"/>
      <c r="C54" s="110"/>
      <c r="D54">
        <v>2022</v>
      </c>
      <c r="E54" s="31">
        <v>40042000000</v>
      </c>
      <c r="F54" s="31">
        <v>30137900000</v>
      </c>
      <c r="G54" s="90">
        <f t="shared" si="0"/>
        <v>9904100000</v>
      </c>
    </row>
    <row r="55" spans="1:7" ht="15.75" thickBot="1" x14ac:dyDescent="0.3">
      <c r="A55" s="102">
        <v>14</v>
      </c>
      <c r="B55" s="105" t="s">
        <v>15</v>
      </c>
      <c r="C55" s="108" t="s">
        <v>16</v>
      </c>
      <c r="D55">
        <v>2019</v>
      </c>
      <c r="E55" s="31">
        <v>28570000000</v>
      </c>
      <c r="F55" s="31">
        <v>16842800000</v>
      </c>
      <c r="G55" s="90">
        <f t="shared" si="0"/>
        <v>11727200000</v>
      </c>
    </row>
    <row r="56" spans="1:7" ht="15.75" thickBot="1" x14ac:dyDescent="0.3">
      <c r="A56" s="103"/>
      <c r="B56" s="106"/>
      <c r="C56" s="109"/>
      <c r="D56">
        <v>2020</v>
      </c>
      <c r="E56" s="31">
        <v>27147000000</v>
      </c>
      <c r="F56" s="31">
        <v>19213800000</v>
      </c>
      <c r="G56" s="90">
        <f t="shared" si="0"/>
        <v>7933200000</v>
      </c>
    </row>
    <row r="57" spans="1:7" ht="15.75" thickBot="1" x14ac:dyDescent="0.3">
      <c r="A57" s="103"/>
      <c r="B57" s="106"/>
      <c r="C57" s="109"/>
      <c r="D57">
        <v>2021</v>
      </c>
      <c r="E57" s="31">
        <v>31440000000</v>
      </c>
      <c r="F57" s="31">
        <v>20401300000</v>
      </c>
      <c r="G57" s="90">
        <f t="shared" si="0"/>
        <v>11038700000</v>
      </c>
    </row>
    <row r="58" spans="1:7" ht="15.75" thickBot="1" x14ac:dyDescent="0.3">
      <c r="A58" s="104"/>
      <c r="B58" s="107"/>
      <c r="C58" s="110"/>
      <c r="D58">
        <v>2022</v>
      </c>
      <c r="E58" s="31">
        <v>40760000000</v>
      </c>
      <c r="F58" s="31">
        <v>18613600000</v>
      </c>
      <c r="G58" s="90">
        <f t="shared" si="0"/>
        <v>22146400000</v>
      </c>
    </row>
    <row r="59" spans="1:7" ht="15.75" thickBot="1" x14ac:dyDescent="0.3">
      <c r="A59" s="102">
        <v>15</v>
      </c>
      <c r="B59" s="105" t="s">
        <v>17</v>
      </c>
      <c r="C59" s="108" t="s">
        <v>18</v>
      </c>
      <c r="D59">
        <v>2019</v>
      </c>
      <c r="E59" s="31">
        <v>15090000000</v>
      </c>
      <c r="F59" s="31">
        <v>21830000000</v>
      </c>
      <c r="G59" s="90">
        <f t="shared" si="0"/>
        <v>-6740000000</v>
      </c>
    </row>
    <row r="60" spans="1:7" ht="15.75" thickBot="1" x14ac:dyDescent="0.3">
      <c r="A60" s="103"/>
      <c r="B60" s="106"/>
      <c r="C60" s="109"/>
      <c r="D60">
        <v>2020</v>
      </c>
      <c r="E60" s="31">
        <v>3321000000</v>
      </c>
      <c r="F60" s="31">
        <v>2590000000</v>
      </c>
      <c r="G60" s="90">
        <f t="shared" si="0"/>
        <v>731000000</v>
      </c>
    </row>
    <row r="61" spans="1:7" ht="15.75" thickBot="1" x14ac:dyDescent="0.3">
      <c r="A61" s="103"/>
      <c r="B61" s="106"/>
      <c r="C61" s="109"/>
      <c r="D61">
        <v>2021</v>
      </c>
      <c r="E61" s="31">
        <v>10977000000</v>
      </c>
      <c r="F61" s="31">
        <v>1829000000</v>
      </c>
      <c r="G61" s="90">
        <f t="shared" si="0"/>
        <v>9148000000</v>
      </c>
    </row>
    <row r="62" spans="1:7" ht="15.75" thickBot="1" x14ac:dyDescent="0.3">
      <c r="A62" s="104"/>
      <c r="B62" s="107"/>
      <c r="C62" s="110"/>
      <c r="D62">
        <v>2022</v>
      </c>
      <c r="E62" s="31">
        <v>18482000000</v>
      </c>
      <c r="F62" s="31">
        <v>2885000000</v>
      </c>
      <c r="G62" s="90">
        <f t="shared" si="0"/>
        <v>15597000000</v>
      </c>
    </row>
    <row r="63" spans="1:7" ht="15.75" thickBot="1" x14ac:dyDescent="0.3">
      <c r="A63" s="102">
        <v>16</v>
      </c>
      <c r="B63" s="105" t="s">
        <v>19</v>
      </c>
      <c r="C63" s="108">
        <v>37905</v>
      </c>
      <c r="D63">
        <v>2019</v>
      </c>
      <c r="E63" s="31">
        <v>39498597000</v>
      </c>
      <c r="F63" s="31">
        <v>14100000000</v>
      </c>
      <c r="G63" s="90">
        <f t="shared" si="0"/>
        <v>25398597000</v>
      </c>
    </row>
    <row r="64" spans="1:7" ht="15.75" thickBot="1" x14ac:dyDescent="0.3">
      <c r="A64" s="103"/>
      <c r="B64" s="106"/>
      <c r="C64" s="109"/>
      <c r="D64">
        <v>2020</v>
      </c>
      <c r="E64" s="31">
        <v>21757779000</v>
      </c>
      <c r="F64" s="31">
        <v>3521400000</v>
      </c>
      <c r="G64" s="90">
        <f t="shared" si="0"/>
        <v>18236379000</v>
      </c>
    </row>
    <row r="65" spans="1:7" ht="15.75" thickBot="1" x14ac:dyDescent="0.3">
      <c r="A65" s="103"/>
      <c r="B65" s="106"/>
      <c r="C65" s="109"/>
      <c r="D65">
        <v>2021</v>
      </c>
      <c r="E65" s="31">
        <v>27557134000</v>
      </c>
      <c r="F65" s="31">
        <v>55165400000</v>
      </c>
      <c r="G65" s="90">
        <f t="shared" si="0"/>
        <v>-27608266000</v>
      </c>
    </row>
    <row r="66" spans="1:7" ht="15.75" thickBot="1" x14ac:dyDescent="0.3">
      <c r="A66" s="104"/>
      <c r="B66" s="107"/>
      <c r="C66" s="110"/>
      <c r="D66">
        <v>2022</v>
      </c>
      <c r="E66" s="31">
        <v>48569183000</v>
      </c>
      <c r="F66" s="31">
        <v>34319000000</v>
      </c>
      <c r="G66" s="90">
        <f t="shared" si="0"/>
        <v>14250183000</v>
      </c>
    </row>
    <row r="67" spans="1:7" ht="15.75" thickBot="1" x14ac:dyDescent="0.3">
      <c r="A67" s="102">
        <v>17</v>
      </c>
      <c r="B67" s="105" t="s">
        <v>20</v>
      </c>
      <c r="C67" s="108" t="s">
        <v>21</v>
      </c>
      <c r="D67">
        <v>2019</v>
      </c>
      <c r="E67" s="31">
        <v>55733200000</v>
      </c>
      <c r="F67" s="31">
        <v>14453000000</v>
      </c>
      <c r="G67" s="90">
        <f t="shared" si="0"/>
        <v>41280200000</v>
      </c>
    </row>
    <row r="68" spans="1:7" ht="15.75" thickBot="1" x14ac:dyDescent="0.3">
      <c r="A68" s="103"/>
      <c r="B68" s="106"/>
      <c r="C68" s="109"/>
      <c r="D68">
        <v>2020</v>
      </c>
      <c r="E68" s="31">
        <v>2352711000</v>
      </c>
      <c r="F68" s="31">
        <v>3083510000</v>
      </c>
      <c r="G68" s="90">
        <f t="shared" ref="G68:G114" si="1">E68-F68</f>
        <v>-730799000</v>
      </c>
    </row>
    <row r="69" spans="1:7" ht="15.75" thickBot="1" x14ac:dyDescent="0.3">
      <c r="A69" s="103"/>
      <c r="B69" s="106"/>
      <c r="C69" s="109"/>
      <c r="D69">
        <v>2021</v>
      </c>
      <c r="E69" s="31">
        <v>1418802000</v>
      </c>
      <c r="F69" s="31">
        <v>8186790000</v>
      </c>
      <c r="G69" s="90">
        <f t="shared" si="1"/>
        <v>-6767988000</v>
      </c>
    </row>
    <row r="70" spans="1:7" ht="15.75" thickBot="1" x14ac:dyDescent="0.3">
      <c r="A70" s="104"/>
      <c r="B70" s="107"/>
      <c r="C70" s="110"/>
      <c r="D70">
        <v>2022</v>
      </c>
      <c r="E70" s="31">
        <v>1983756000</v>
      </c>
      <c r="F70" s="31">
        <v>2662300000</v>
      </c>
      <c r="G70" s="90">
        <f t="shared" si="1"/>
        <v>-678544000</v>
      </c>
    </row>
    <row r="71" spans="1:7" ht="15.75" thickBot="1" x14ac:dyDescent="0.3">
      <c r="A71" s="102">
        <v>18</v>
      </c>
      <c r="B71" s="105" t="s">
        <v>22</v>
      </c>
      <c r="C71" s="108" t="s">
        <v>23</v>
      </c>
      <c r="D71">
        <v>2019</v>
      </c>
      <c r="E71" s="31">
        <v>33643136600</v>
      </c>
      <c r="F71" s="31">
        <v>3467900000</v>
      </c>
      <c r="G71" s="90">
        <f t="shared" si="1"/>
        <v>30175236600</v>
      </c>
    </row>
    <row r="72" spans="1:7" ht="15.75" thickBot="1" x14ac:dyDescent="0.3">
      <c r="A72" s="103"/>
      <c r="B72" s="106"/>
      <c r="C72" s="109"/>
      <c r="D72">
        <v>2020</v>
      </c>
      <c r="E72" s="31">
        <v>18398928000</v>
      </c>
      <c r="F72" s="31">
        <v>9990260000</v>
      </c>
      <c r="G72" s="90">
        <f t="shared" si="1"/>
        <v>8408668000</v>
      </c>
    </row>
    <row r="73" spans="1:7" ht="15.75" thickBot="1" x14ac:dyDescent="0.3">
      <c r="A73" s="103"/>
      <c r="B73" s="106"/>
      <c r="C73" s="109"/>
      <c r="D73">
        <v>2021</v>
      </c>
      <c r="E73" s="31">
        <v>30551097000</v>
      </c>
      <c r="F73" s="31">
        <v>30424000000</v>
      </c>
      <c r="G73" s="90">
        <f t="shared" si="1"/>
        <v>127097000</v>
      </c>
    </row>
    <row r="74" spans="1:7" ht="15.75" thickBot="1" x14ac:dyDescent="0.3">
      <c r="A74" s="104"/>
      <c r="B74" s="107"/>
      <c r="C74" s="110"/>
      <c r="D74">
        <v>2022</v>
      </c>
      <c r="E74" s="31">
        <v>44952368000</v>
      </c>
      <c r="F74" s="31">
        <v>39957900000</v>
      </c>
      <c r="G74" s="90">
        <f t="shared" si="1"/>
        <v>4994468000</v>
      </c>
    </row>
    <row r="75" spans="1:7" ht="15.75" thickBot="1" x14ac:dyDescent="0.3">
      <c r="A75" s="102">
        <v>19</v>
      </c>
      <c r="B75" s="105" t="s">
        <v>57</v>
      </c>
      <c r="C75" s="108" t="s">
        <v>58</v>
      </c>
      <c r="D75">
        <v>2019</v>
      </c>
      <c r="E75" s="31">
        <v>2317437000</v>
      </c>
      <c r="F75" s="31">
        <v>1311000000</v>
      </c>
      <c r="G75" s="90">
        <f t="shared" si="1"/>
        <v>1006437000</v>
      </c>
    </row>
    <row r="76" spans="1:7" ht="15.75" thickBot="1" x14ac:dyDescent="0.3">
      <c r="A76" s="103"/>
      <c r="B76" s="106"/>
      <c r="C76" s="109"/>
      <c r="D76">
        <v>2020</v>
      </c>
      <c r="E76" s="31">
        <v>1801029000</v>
      </c>
      <c r="F76" s="31">
        <v>1209900000</v>
      </c>
      <c r="G76" s="90">
        <f t="shared" si="1"/>
        <v>591129000</v>
      </c>
    </row>
    <row r="77" spans="1:7" ht="15.75" thickBot="1" x14ac:dyDescent="0.3">
      <c r="A77" s="103"/>
      <c r="B77" s="106"/>
      <c r="C77" s="109"/>
      <c r="D77">
        <v>2021</v>
      </c>
      <c r="E77" s="31">
        <v>24113900000</v>
      </c>
      <c r="F77" s="31">
        <v>5000000000</v>
      </c>
      <c r="G77" s="90">
        <f t="shared" si="1"/>
        <v>19113900000</v>
      </c>
    </row>
    <row r="78" spans="1:7" ht="15.75" thickBot="1" x14ac:dyDescent="0.3">
      <c r="A78" s="104"/>
      <c r="B78" s="107"/>
      <c r="C78" s="110"/>
      <c r="D78">
        <v>2022</v>
      </c>
      <c r="E78" s="31">
        <v>2527621000</v>
      </c>
      <c r="F78" s="31">
        <v>2457800000</v>
      </c>
      <c r="G78" s="90">
        <f t="shared" si="1"/>
        <v>69821000</v>
      </c>
    </row>
    <row r="79" spans="1:7" ht="15.75" thickBot="1" x14ac:dyDescent="0.3">
      <c r="A79" s="102">
        <v>20</v>
      </c>
      <c r="B79" s="105" t="s">
        <v>59</v>
      </c>
      <c r="C79" s="108" t="s">
        <v>60</v>
      </c>
      <c r="D79">
        <v>2019</v>
      </c>
      <c r="E79" s="31">
        <v>3632174000</v>
      </c>
      <c r="F79" s="31">
        <v>33863450200</v>
      </c>
      <c r="G79" s="90">
        <f t="shared" si="1"/>
        <v>-30231276200</v>
      </c>
    </row>
    <row r="80" spans="1:7" ht="15.75" thickBot="1" x14ac:dyDescent="0.3">
      <c r="A80" s="103"/>
      <c r="B80" s="106"/>
      <c r="C80" s="109"/>
      <c r="D80">
        <v>2020</v>
      </c>
      <c r="E80" s="31">
        <v>3845833000</v>
      </c>
      <c r="F80" s="31">
        <v>4251878200</v>
      </c>
      <c r="G80" s="90">
        <f t="shared" si="1"/>
        <v>-406045200</v>
      </c>
    </row>
    <row r="81" spans="1:7" ht="15.75" thickBot="1" x14ac:dyDescent="0.3">
      <c r="A81" s="103"/>
      <c r="B81" s="106"/>
      <c r="C81" s="109"/>
      <c r="D81">
        <v>2021</v>
      </c>
      <c r="E81" s="31">
        <v>3619010000</v>
      </c>
      <c r="F81" s="31">
        <v>5169824900</v>
      </c>
      <c r="G81" s="90">
        <f t="shared" si="1"/>
        <v>-1550814900</v>
      </c>
    </row>
    <row r="82" spans="1:7" ht="15.75" thickBot="1" x14ac:dyDescent="0.3">
      <c r="A82" s="104"/>
      <c r="B82" s="107"/>
      <c r="C82" s="110"/>
      <c r="D82">
        <v>2022</v>
      </c>
      <c r="E82" s="31">
        <v>2930357000</v>
      </c>
      <c r="F82" s="31">
        <v>5686744000</v>
      </c>
      <c r="G82" s="90">
        <f t="shared" si="1"/>
        <v>-2756387000</v>
      </c>
    </row>
    <row r="83" spans="1:7" ht="15.75" thickBot="1" x14ac:dyDescent="0.3">
      <c r="A83" s="102">
        <v>21</v>
      </c>
      <c r="B83" s="105" t="s">
        <v>61</v>
      </c>
      <c r="C83" s="108" t="s">
        <v>62</v>
      </c>
      <c r="D83">
        <v>2019</v>
      </c>
      <c r="E83" s="31">
        <v>3255583000</v>
      </c>
      <c r="F83" s="31">
        <v>3294490300</v>
      </c>
      <c r="G83" s="90">
        <f t="shared" si="1"/>
        <v>-38907300</v>
      </c>
    </row>
    <row r="84" spans="1:7" ht="15.75" thickBot="1" x14ac:dyDescent="0.3">
      <c r="A84" s="103"/>
      <c r="B84" s="106"/>
      <c r="C84" s="109"/>
      <c r="D84">
        <v>2020</v>
      </c>
      <c r="E84" s="31">
        <v>67117200000</v>
      </c>
      <c r="F84" s="31">
        <v>34113455000</v>
      </c>
      <c r="G84" s="90">
        <f t="shared" si="1"/>
        <v>33003745000</v>
      </c>
    </row>
    <row r="85" spans="1:7" ht="15.75" thickBot="1" x14ac:dyDescent="0.3">
      <c r="A85" s="103"/>
      <c r="B85" s="106"/>
      <c r="C85" s="109"/>
      <c r="D85">
        <v>2021</v>
      </c>
      <c r="E85" s="31">
        <v>111791700000</v>
      </c>
      <c r="F85" s="31">
        <v>43466977000</v>
      </c>
      <c r="G85" s="90">
        <f t="shared" si="1"/>
        <v>68324723000</v>
      </c>
    </row>
    <row r="86" spans="1:7" ht="15.75" thickBot="1" x14ac:dyDescent="0.3">
      <c r="A86" s="104"/>
      <c r="B86" s="107"/>
      <c r="C86" s="110"/>
      <c r="D86">
        <v>2022</v>
      </c>
      <c r="E86" s="31">
        <v>107655500000</v>
      </c>
      <c r="F86" s="31">
        <v>49471484000</v>
      </c>
      <c r="G86" s="90">
        <f t="shared" si="1"/>
        <v>58184016000</v>
      </c>
    </row>
    <row r="87" spans="1:7" ht="15.75" thickBot="1" x14ac:dyDescent="0.3">
      <c r="A87" s="102">
        <v>22</v>
      </c>
      <c r="B87" s="105" t="s">
        <v>63</v>
      </c>
      <c r="C87" s="108" t="s">
        <v>64</v>
      </c>
      <c r="D87">
        <v>2019</v>
      </c>
      <c r="E87" s="31">
        <v>71300000000</v>
      </c>
      <c r="F87" s="31">
        <v>2343000000</v>
      </c>
      <c r="G87" s="90">
        <f t="shared" si="1"/>
        <v>68957000000</v>
      </c>
    </row>
    <row r="88" spans="1:7" ht="15.75" thickBot="1" x14ac:dyDescent="0.3">
      <c r="A88" s="103"/>
      <c r="B88" s="106"/>
      <c r="C88" s="109"/>
      <c r="D88">
        <v>2020</v>
      </c>
      <c r="E88" s="31">
        <v>37200000000</v>
      </c>
      <c r="F88" s="31">
        <v>20613000000</v>
      </c>
      <c r="G88" s="90">
        <f t="shared" si="1"/>
        <v>16587000000</v>
      </c>
    </row>
    <row r="89" spans="1:7" ht="15.75" thickBot="1" x14ac:dyDescent="0.3">
      <c r="A89" s="103"/>
      <c r="B89" s="106"/>
      <c r="C89" s="109"/>
      <c r="D89">
        <v>2021</v>
      </c>
      <c r="E89" s="31">
        <v>12880000000</v>
      </c>
      <c r="F89" s="31">
        <v>4190130000</v>
      </c>
      <c r="G89" s="90">
        <f t="shared" si="1"/>
        <v>8689870000</v>
      </c>
    </row>
    <row r="90" spans="1:7" ht="15.75" thickBot="1" x14ac:dyDescent="0.3">
      <c r="A90" s="104"/>
      <c r="B90" s="107"/>
      <c r="C90" s="110"/>
      <c r="D90">
        <v>2022</v>
      </c>
      <c r="E90" s="31">
        <v>11210000000</v>
      </c>
      <c r="F90" s="31">
        <v>4468050000</v>
      </c>
      <c r="G90" s="90">
        <f t="shared" si="1"/>
        <v>6741950000</v>
      </c>
    </row>
    <row r="91" spans="1:7" ht="15.75" thickBot="1" x14ac:dyDescent="0.3">
      <c r="A91" s="102">
        <v>23</v>
      </c>
      <c r="B91" s="105" t="s">
        <v>65</v>
      </c>
      <c r="C91" s="108">
        <v>40369</v>
      </c>
      <c r="D91">
        <v>2019</v>
      </c>
      <c r="E91" s="31">
        <v>5360000000</v>
      </c>
      <c r="F91" s="31">
        <v>4229670000</v>
      </c>
      <c r="G91" s="90">
        <f t="shared" si="1"/>
        <v>1130330000</v>
      </c>
    </row>
    <row r="92" spans="1:7" ht="15.75" thickBot="1" x14ac:dyDescent="0.3">
      <c r="A92" s="103"/>
      <c r="B92" s="106"/>
      <c r="C92" s="109"/>
      <c r="D92">
        <v>2020</v>
      </c>
      <c r="E92" s="31">
        <v>7418600000</v>
      </c>
      <c r="F92" s="31">
        <v>4664100000</v>
      </c>
      <c r="G92" s="90">
        <f t="shared" si="1"/>
        <v>2754500000</v>
      </c>
    </row>
    <row r="93" spans="1:7" ht="15.75" thickBot="1" x14ac:dyDescent="0.3">
      <c r="A93" s="103"/>
      <c r="B93" s="106"/>
      <c r="C93" s="109"/>
      <c r="D93">
        <v>2021</v>
      </c>
      <c r="E93" s="31">
        <v>79119900000</v>
      </c>
      <c r="F93" s="31">
        <v>6803700000</v>
      </c>
      <c r="G93" s="90">
        <f t="shared" si="1"/>
        <v>72316200000</v>
      </c>
    </row>
    <row r="94" spans="1:7" ht="15.75" thickBot="1" x14ac:dyDescent="0.3">
      <c r="A94" s="104"/>
      <c r="B94" s="107"/>
      <c r="C94" s="110"/>
      <c r="D94">
        <v>2022</v>
      </c>
      <c r="E94" s="31">
        <v>72220000000</v>
      </c>
      <c r="F94" s="31">
        <v>64797500000</v>
      </c>
      <c r="G94" s="90">
        <f t="shared" si="1"/>
        <v>7422500000</v>
      </c>
    </row>
    <row r="95" spans="1:7" ht="15.75" thickBot="1" x14ac:dyDescent="0.3">
      <c r="A95" s="102">
        <v>24</v>
      </c>
      <c r="B95" s="105" t="s">
        <v>66</v>
      </c>
      <c r="C95" s="108" t="s">
        <v>67</v>
      </c>
      <c r="D95">
        <v>2019</v>
      </c>
      <c r="E95" s="31">
        <v>791419000000</v>
      </c>
      <c r="F95" s="31">
        <v>100433000000</v>
      </c>
      <c r="G95" s="90">
        <f t="shared" si="1"/>
        <v>690986000000</v>
      </c>
    </row>
    <row r="96" spans="1:7" ht="15.75" thickBot="1" x14ac:dyDescent="0.3">
      <c r="A96" s="103"/>
      <c r="B96" s="106"/>
      <c r="C96" s="109"/>
      <c r="D96">
        <v>2020</v>
      </c>
      <c r="E96" s="31">
        <v>9233473000000</v>
      </c>
      <c r="F96" s="31">
        <v>1169750000000</v>
      </c>
      <c r="G96" s="90">
        <f t="shared" si="1"/>
        <v>8063723000000</v>
      </c>
    </row>
    <row r="97" spans="1:7" ht="15.75" thickBot="1" x14ac:dyDescent="0.3">
      <c r="A97" s="103"/>
      <c r="B97" s="106"/>
      <c r="C97" s="109"/>
      <c r="D97">
        <v>2021</v>
      </c>
      <c r="E97" s="31">
        <v>1361524000</v>
      </c>
      <c r="F97" s="31">
        <v>1719518000</v>
      </c>
      <c r="G97" s="90">
        <f t="shared" si="1"/>
        <v>-357994000</v>
      </c>
    </row>
    <row r="98" spans="1:7" ht="15.75" thickBot="1" x14ac:dyDescent="0.3">
      <c r="A98" s="104"/>
      <c r="B98" s="107"/>
      <c r="C98" s="110"/>
      <c r="D98">
        <v>2022</v>
      </c>
      <c r="E98" s="31">
        <v>109396378000</v>
      </c>
      <c r="F98" s="31">
        <v>13386405000</v>
      </c>
      <c r="G98" s="90">
        <f t="shared" si="1"/>
        <v>96009973000</v>
      </c>
    </row>
    <row r="99" spans="1:7" ht="15.75" thickBot="1" x14ac:dyDescent="0.3">
      <c r="A99" s="102">
        <v>25</v>
      </c>
      <c r="B99" s="105" t="s">
        <v>68</v>
      </c>
      <c r="C99" s="108">
        <v>37299</v>
      </c>
      <c r="D99">
        <v>2019</v>
      </c>
      <c r="E99" s="31">
        <v>4040394000</v>
      </c>
      <c r="F99" s="31">
        <v>2779340100</v>
      </c>
      <c r="G99" s="90">
        <f t="shared" si="1"/>
        <v>1261053900</v>
      </c>
    </row>
    <row r="100" spans="1:7" ht="15.75" thickBot="1" x14ac:dyDescent="0.3">
      <c r="A100" s="103"/>
      <c r="B100" s="106"/>
      <c r="C100" s="109"/>
      <c r="D100">
        <v>2020</v>
      </c>
      <c r="E100" s="31">
        <v>2407927000</v>
      </c>
      <c r="F100" s="31">
        <v>26124876000</v>
      </c>
      <c r="G100" s="90">
        <f t="shared" si="1"/>
        <v>-23716949000</v>
      </c>
    </row>
    <row r="101" spans="1:7" ht="15.75" thickBot="1" x14ac:dyDescent="0.3">
      <c r="A101" s="103"/>
      <c r="B101" s="106"/>
      <c r="C101" s="109"/>
      <c r="D101">
        <v>2021</v>
      </c>
      <c r="E101" s="31">
        <v>8036888000</v>
      </c>
      <c r="F101" s="31">
        <v>28369919000</v>
      </c>
      <c r="G101" s="90">
        <f t="shared" si="1"/>
        <v>-20333031000</v>
      </c>
    </row>
    <row r="102" spans="1:7" ht="15.75" thickBot="1" x14ac:dyDescent="0.3">
      <c r="A102" s="104"/>
      <c r="B102" s="107"/>
      <c r="C102" s="110"/>
      <c r="D102">
        <v>2022</v>
      </c>
      <c r="E102" s="31">
        <v>12779427000</v>
      </c>
      <c r="F102" s="31">
        <v>31653634000</v>
      </c>
      <c r="G102" s="90">
        <f t="shared" si="1"/>
        <v>-18874207000</v>
      </c>
    </row>
    <row r="103" spans="1:7" ht="15.75" thickBot="1" x14ac:dyDescent="0.3">
      <c r="A103" s="102">
        <v>26</v>
      </c>
      <c r="B103" s="105" t="s">
        <v>69</v>
      </c>
      <c r="C103" s="108">
        <v>40423</v>
      </c>
      <c r="D103">
        <v>2019</v>
      </c>
      <c r="E103" s="31">
        <v>1048153000</v>
      </c>
      <c r="F103" s="31">
        <v>34822000000</v>
      </c>
      <c r="G103" s="90">
        <f t="shared" si="1"/>
        <v>-33773847000</v>
      </c>
    </row>
    <row r="104" spans="1:7" ht="15.75" thickBot="1" x14ac:dyDescent="0.3">
      <c r="A104" s="103"/>
      <c r="B104" s="106"/>
      <c r="C104" s="109"/>
      <c r="D104">
        <v>2020</v>
      </c>
      <c r="E104" s="31">
        <v>311959000000</v>
      </c>
      <c r="F104" s="31">
        <v>45471000000</v>
      </c>
      <c r="G104" s="90">
        <f t="shared" si="1"/>
        <v>266488000000</v>
      </c>
    </row>
    <row r="105" spans="1:7" ht="15.75" thickBot="1" x14ac:dyDescent="0.3">
      <c r="A105" s="103"/>
      <c r="B105" s="106"/>
      <c r="C105" s="109"/>
      <c r="D105">
        <v>2021</v>
      </c>
      <c r="E105" s="31">
        <v>361422000000</v>
      </c>
      <c r="F105" s="31">
        <v>40826000000</v>
      </c>
      <c r="G105" s="90">
        <f t="shared" si="1"/>
        <v>320596000000</v>
      </c>
    </row>
    <row r="106" spans="1:7" ht="15.75" thickBot="1" x14ac:dyDescent="0.3">
      <c r="A106" s="104"/>
      <c r="B106" s="107"/>
      <c r="C106" s="110"/>
      <c r="D106">
        <v>2022</v>
      </c>
      <c r="E106" s="31">
        <v>36742000000</v>
      </c>
      <c r="F106" s="31">
        <v>32307000000</v>
      </c>
      <c r="G106" s="90">
        <f t="shared" si="1"/>
        <v>4435000000</v>
      </c>
    </row>
    <row r="107" spans="1:7" ht="15.75" thickBot="1" x14ac:dyDescent="0.3">
      <c r="A107" s="102">
        <v>27</v>
      </c>
      <c r="B107" s="105" t="s">
        <v>29</v>
      </c>
      <c r="C107" s="108">
        <v>33457</v>
      </c>
      <c r="D107">
        <v>2019</v>
      </c>
      <c r="E107" s="31">
        <v>2371233000</v>
      </c>
      <c r="F107" s="31">
        <v>4328000000</v>
      </c>
      <c r="G107" s="90">
        <f t="shared" si="1"/>
        <v>-1956767000</v>
      </c>
    </row>
    <row r="108" spans="1:7" ht="15.75" thickBot="1" x14ac:dyDescent="0.3">
      <c r="A108" s="103"/>
      <c r="B108" s="106"/>
      <c r="C108" s="109"/>
      <c r="D108">
        <v>2020</v>
      </c>
      <c r="E108" s="31">
        <v>2674343000</v>
      </c>
      <c r="F108" s="31">
        <v>3984900000</v>
      </c>
      <c r="G108" s="90">
        <f t="shared" si="1"/>
        <v>-1310557000</v>
      </c>
    </row>
    <row r="109" spans="1:7" ht="15.75" thickBot="1" x14ac:dyDescent="0.3">
      <c r="A109" s="103"/>
      <c r="B109" s="106"/>
      <c r="C109" s="109"/>
      <c r="D109">
        <v>2021</v>
      </c>
      <c r="E109" s="31">
        <v>2117236000</v>
      </c>
      <c r="F109" s="31">
        <v>4240900000</v>
      </c>
      <c r="G109" s="90">
        <f t="shared" si="1"/>
        <v>-2123664000</v>
      </c>
    </row>
    <row r="110" spans="1:7" ht="15.75" thickBot="1" x14ac:dyDescent="0.3">
      <c r="A110" s="104"/>
      <c r="B110" s="107"/>
      <c r="C110" s="110"/>
      <c r="D110">
        <v>2022</v>
      </c>
      <c r="E110" s="31">
        <v>2499083000</v>
      </c>
      <c r="F110" s="31">
        <v>3692100000</v>
      </c>
      <c r="G110" s="90">
        <f t="shared" si="1"/>
        <v>-1193017000</v>
      </c>
    </row>
    <row r="111" spans="1:7" ht="15.75" thickBot="1" x14ac:dyDescent="0.3">
      <c r="A111" s="102">
        <v>28</v>
      </c>
      <c r="B111" s="105" t="s">
        <v>30</v>
      </c>
      <c r="C111" s="108" t="s">
        <v>31</v>
      </c>
      <c r="D111">
        <v>2019</v>
      </c>
      <c r="E111" s="31">
        <v>27592000000</v>
      </c>
      <c r="F111" s="31">
        <v>9391300000</v>
      </c>
      <c r="G111" s="90">
        <f t="shared" si="1"/>
        <v>18200700000</v>
      </c>
    </row>
    <row r="112" spans="1:7" ht="15.75" thickBot="1" x14ac:dyDescent="0.3">
      <c r="A112" s="103"/>
      <c r="B112" s="106"/>
      <c r="C112" s="109"/>
      <c r="D112">
        <v>2020</v>
      </c>
      <c r="E112" s="31">
        <v>29563000000</v>
      </c>
      <c r="F112" s="31">
        <v>9327400000</v>
      </c>
      <c r="G112" s="90">
        <f t="shared" si="1"/>
        <v>20235600000</v>
      </c>
    </row>
    <row r="113" spans="1:7" ht="15.75" thickBot="1" x14ac:dyDescent="0.3">
      <c r="A113" s="103"/>
      <c r="B113" s="106"/>
      <c r="C113" s="109"/>
      <c r="D113">
        <v>2021</v>
      </c>
      <c r="E113" s="31">
        <v>33948000000</v>
      </c>
      <c r="F113" s="31">
        <v>9930300000</v>
      </c>
      <c r="G113" s="90">
        <f t="shared" si="1"/>
        <v>24017700000</v>
      </c>
    </row>
    <row r="114" spans="1:7" ht="15.75" thickBot="1" x14ac:dyDescent="0.3">
      <c r="A114" s="104"/>
      <c r="B114" s="107"/>
      <c r="C114" s="110"/>
      <c r="D114">
        <v>2022</v>
      </c>
      <c r="E114" s="31">
        <v>27680000000</v>
      </c>
      <c r="F114" s="31">
        <v>10156900000</v>
      </c>
      <c r="G114" s="90">
        <f t="shared" si="1"/>
        <v>17523100000</v>
      </c>
    </row>
  </sheetData>
  <mergeCells count="89">
    <mergeCell ref="A107:A110"/>
    <mergeCell ref="B107:B110"/>
    <mergeCell ref="C107:C110"/>
    <mergeCell ref="A111:A114"/>
    <mergeCell ref="B111:B114"/>
    <mergeCell ref="C111:C114"/>
    <mergeCell ref="A99:A102"/>
    <mergeCell ref="B99:B102"/>
    <mergeCell ref="C99:C102"/>
    <mergeCell ref="A103:A106"/>
    <mergeCell ref="B103:B106"/>
    <mergeCell ref="C103:C106"/>
    <mergeCell ref="A91:A94"/>
    <mergeCell ref="B91:B94"/>
    <mergeCell ref="C91:C94"/>
    <mergeCell ref="A95:A98"/>
    <mergeCell ref="B95:B98"/>
    <mergeCell ref="C95:C98"/>
    <mergeCell ref="A83:A86"/>
    <mergeCell ref="B83:B86"/>
    <mergeCell ref="C83:C86"/>
    <mergeCell ref="A87:A90"/>
    <mergeCell ref="B87:B90"/>
    <mergeCell ref="C87:C90"/>
    <mergeCell ref="A75:A78"/>
    <mergeCell ref="B75:B78"/>
    <mergeCell ref="C75:C78"/>
    <mergeCell ref="A79:A82"/>
    <mergeCell ref="B79:B82"/>
    <mergeCell ref="C79:C82"/>
    <mergeCell ref="A67:A70"/>
    <mergeCell ref="B67:B70"/>
    <mergeCell ref="C67:C70"/>
    <mergeCell ref="A71:A74"/>
    <mergeCell ref="B71:B74"/>
    <mergeCell ref="C71:C74"/>
    <mergeCell ref="A59:A62"/>
    <mergeCell ref="B59:B62"/>
    <mergeCell ref="C59:C62"/>
    <mergeCell ref="A63:A66"/>
    <mergeCell ref="B63:B66"/>
    <mergeCell ref="C63:C66"/>
    <mergeCell ref="A51:A54"/>
    <mergeCell ref="B51:B54"/>
    <mergeCell ref="C51:C54"/>
    <mergeCell ref="A55:A58"/>
    <mergeCell ref="B55:B58"/>
    <mergeCell ref="C55:C58"/>
    <mergeCell ref="A3:A6"/>
    <mergeCell ref="B3:B6"/>
    <mergeCell ref="C3:C6"/>
    <mergeCell ref="A47:A50"/>
    <mergeCell ref="B47:B50"/>
    <mergeCell ref="C47:C50"/>
    <mergeCell ref="A1:A2"/>
    <mergeCell ref="B1:B2"/>
    <mergeCell ref="C1:C2"/>
    <mergeCell ref="D1:D2"/>
    <mergeCell ref="E1:G1"/>
    <mergeCell ref="A7:A10"/>
    <mergeCell ref="B7:B10"/>
    <mergeCell ref="C7:C10"/>
    <mergeCell ref="A11:A14"/>
    <mergeCell ref="B11:B14"/>
    <mergeCell ref="C11:C14"/>
    <mergeCell ref="A15:A18"/>
    <mergeCell ref="B15:B18"/>
    <mergeCell ref="C15:C18"/>
    <mergeCell ref="A19:A22"/>
    <mergeCell ref="B19:B22"/>
    <mergeCell ref="C19:C22"/>
    <mergeCell ref="A23:A26"/>
    <mergeCell ref="B23:B26"/>
    <mergeCell ref="C23:C26"/>
    <mergeCell ref="A27:A30"/>
    <mergeCell ref="B27:B30"/>
    <mergeCell ref="C27:C30"/>
    <mergeCell ref="A31:A34"/>
    <mergeCell ref="B31:B34"/>
    <mergeCell ref="C31:C34"/>
    <mergeCell ref="A35:A38"/>
    <mergeCell ref="B35:B38"/>
    <mergeCell ref="C35:C38"/>
    <mergeCell ref="A39:A42"/>
    <mergeCell ref="B39:B42"/>
    <mergeCell ref="C39:C42"/>
    <mergeCell ref="A43:A46"/>
    <mergeCell ref="B43:B46"/>
    <mergeCell ref="C43:C4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D0F46-DCE9-41EC-9F7C-CF28A5CA7E8E}">
  <dimension ref="A1:G114"/>
  <sheetViews>
    <sheetView tabSelected="1" zoomScale="70" zoomScaleNormal="70" workbookViewId="0">
      <selection activeCell="S13" sqref="S13"/>
    </sheetView>
  </sheetViews>
  <sheetFormatPr defaultRowHeight="15" x14ac:dyDescent="0.25"/>
  <cols>
    <col min="3" max="3" width="11.28515625" bestFit="1" customWidth="1"/>
    <col min="5" max="5" width="10.5703125" bestFit="1" customWidth="1"/>
    <col min="6" max="6" width="12" bestFit="1" customWidth="1"/>
  </cols>
  <sheetData>
    <row r="1" spans="1:7" x14ac:dyDescent="0.25">
      <c r="A1" s="115" t="s">
        <v>1</v>
      </c>
      <c r="B1" s="115" t="s">
        <v>2</v>
      </c>
      <c r="C1" s="115" t="s">
        <v>3</v>
      </c>
      <c r="D1" s="115" t="s">
        <v>4</v>
      </c>
      <c r="E1" s="146" t="s">
        <v>40</v>
      </c>
      <c r="F1" s="146"/>
      <c r="G1" s="146"/>
    </row>
    <row r="2" spans="1:7" ht="15.75" thickBot="1" x14ac:dyDescent="0.3">
      <c r="A2" s="116"/>
      <c r="B2" s="116"/>
      <c r="C2" s="116"/>
      <c r="D2" s="116"/>
      <c r="E2" s="55" t="s">
        <v>41</v>
      </c>
      <c r="F2" s="55" t="s">
        <v>42</v>
      </c>
      <c r="G2" s="56" t="s">
        <v>6</v>
      </c>
    </row>
    <row r="3" spans="1:7" x14ac:dyDescent="0.25">
      <c r="A3" s="128">
        <v>1</v>
      </c>
      <c r="B3" s="130" t="s">
        <v>24</v>
      </c>
      <c r="C3" s="132" t="s">
        <v>25</v>
      </c>
      <c r="D3" s="19">
        <v>2019</v>
      </c>
      <c r="E3" s="57">
        <v>53000</v>
      </c>
      <c r="F3" s="58">
        <v>83625</v>
      </c>
      <c r="G3" s="84">
        <f>(E3-F3)/F3</f>
        <v>-0.36621823617339311</v>
      </c>
    </row>
    <row r="4" spans="1:7" x14ac:dyDescent="0.25">
      <c r="A4" s="129"/>
      <c r="B4" s="131"/>
      <c r="C4" s="133"/>
      <c r="D4" s="26">
        <v>2020</v>
      </c>
      <c r="E4" s="57">
        <v>41000</v>
      </c>
      <c r="F4" s="59">
        <f>E3</f>
        <v>53000</v>
      </c>
      <c r="G4" s="84">
        <f t="shared" ref="G4:G26" si="0">(E4-F4)/F4</f>
        <v>-0.22641509433962265</v>
      </c>
    </row>
    <row r="5" spans="1:7" x14ac:dyDescent="0.25">
      <c r="A5" s="129"/>
      <c r="B5" s="131"/>
      <c r="C5" s="133"/>
      <c r="D5" s="26">
        <v>2021</v>
      </c>
      <c r="E5" s="57">
        <v>30600</v>
      </c>
      <c r="F5" s="59">
        <f>E4</f>
        <v>41000</v>
      </c>
      <c r="G5" s="84">
        <f t="shared" si="0"/>
        <v>-0.25365853658536586</v>
      </c>
    </row>
    <row r="6" spans="1:7" ht="15.75" thickBot="1" x14ac:dyDescent="0.3">
      <c r="A6" s="134"/>
      <c r="B6" s="135"/>
      <c r="C6" s="136"/>
      <c r="D6" s="29">
        <v>2022</v>
      </c>
      <c r="E6" s="60">
        <v>18000</v>
      </c>
      <c r="F6" s="59">
        <f>E5</f>
        <v>30600</v>
      </c>
      <c r="G6" s="84">
        <f t="shared" si="0"/>
        <v>-0.41176470588235292</v>
      </c>
    </row>
    <row r="7" spans="1:7" x14ac:dyDescent="0.25">
      <c r="A7" s="128">
        <v>2</v>
      </c>
      <c r="B7" s="140" t="s">
        <v>26</v>
      </c>
      <c r="C7" s="143">
        <v>32881</v>
      </c>
      <c r="D7" s="2">
        <v>2019</v>
      </c>
      <c r="E7" s="57">
        <v>2100</v>
      </c>
      <c r="F7" s="58">
        <v>3710</v>
      </c>
      <c r="G7" s="84">
        <f t="shared" si="0"/>
        <v>-0.43396226415094341</v>
      </c>
    </row>
    <row r="8" spans="1:7" x14ac:dyDescent="0.25">
      <c r="A8" s="129"/>
      <c r="B8" s="141"/>
      <c r="C8" s="144"/>
      <c r="D8" s="9">
        <v>2020</v>
      </c>
      <c r="E8" s="57">
        <v>1505</v>
      </c>
      <c r="F8" s="59">
        <f>E7</f>
        <v>2100</v>
      </c>
      <c r="G8" s="84">
        <f t="shared" si="0"/>
        <v>-0.28333333333333333</v>
      </c>
    </row>
    <row r="9" spans="1:7" x14ac:dyDescent="0.25">
      <c r="A9" s="129"/>
      <c r="B9" s="141"/>
      <c r="C9" s="144"/>
      <c r="D9" s="9">
        <v>2021</v>
      </c>
      <c r="E9" s="57">
        <v>965</v>
      </c>
      <c r="F9" s="59">
        <f>E8</f>
        <v>1505</v>
      </c>
      <c r="G9" s="84">
        <f t="shared" si="0"/>
        <v>-0.35880398671096347</v>
      </c>
    </row>
    <row r="10" spans="1:7" ht="15.75" thickBot="1" x14ac:dyDescent="0.3">
      <c r="A10" s="134"/>
      <c r="B10" s="142"/>
      <c r="C10" s="145"/>
      <c r="D10" s="12">
        <v>2022</v>
      </c>
      <c r="E10" s="60">
        <v>840</v>
      </c>
      <c r="F10" s="59">
        <f>E9</f>
        <v>965</v>
      </c>
      <c r="G10" s="84">
        <f t="shared" si="0"/>
        <v>-0.12953367875647667</v>
      </c>
    </row>
    <row r="11" spans="1:7" x14ac:dyDescent="0.25">
      <c r="A11" s="128">
        <v>3</v>
      </c>
      <c r="B11" s="140" t="s">
        <v>43</v>
      </c>
      <c r="C11" s="143" t="s">
        <v>44</v>
      </c>
      <c r="D11" s="2">
        <v>2019</v>
      </c>
      <c r="E11" s="57">
        <v>7925</v>
      </c>
      <c r="F11" s="58">
        <v>7450</v>
      </c>
      <c r="G11" s="84">
        <f t="shared" si="0"/>
        <v>6.3758389261744972E-2</v>
      </c>
    </row>
    <row r="12" spans="1:7" x14ac:dyDescent="0.25">
      <c r="A12" s="129"/>
      <c r="B12" s="141"/>
      <c r="C12" s="144"/>
      <c r="D12" s="9">
        <v>2020</v>
      </c>
      <c r="E12" s="57">
        <v>6850</v>
      </c>
      <c r="F12" s="59">
        <f>E11</f>
        <v>7925</v>
      </c>
      <c r="G12" s="84">
        <f t="shared" si="0"/>
        <v>-0.13564668769716087</v>
      </c>
    </row>
    <row r="13" spans="1:7" x14ac:dyDescent="0.25">
      <c r="A13" s="129"/>
      <c r="B13" s="141"/>
      <c r="C13" s="144"/>
      <c r="D13" s="9">
        <v>2021</v>
      </c>
      <c r="E13" s="57">
        <v>6325</v>
      </c>
      <c r="F13" s="59">
        <f>E12</f>
        <v>6850</v>
      </c>
      <c r="G13" s="84">
        <f t="shared" si="0"/>
        <v>-7.6642335766423361E-2</v>
      </c>
    </row>
    <row r="14" spans="1:7" ht="15.75" thickBot="1" x14ac:dyDescent="0.3">
      <c r="A14" s="134"/>
      <c r="B14" s="142"/>
      <c r="C14" s="145"/>
      <c r="D14" s="12">
        <v>2022</v>
      </c>
      <c r="E14" s="60">
        <v>6725</v>
      </c>
      <c r="F14" s="59">
        <f>E13</f>
        <v>6325</v>
      </c>
      <c r="G14" s="84">
        <f t="shared" si="0"/>
        <v>6.3241106719367585E-2</v>
      </c>
    </row>
    <row r="15" spans="1:7" x14ac:dyDescent="0.25">
      <c r="A15" s="128">
        <v>4</v>
      </c>
      <c r="B15" s="130" t="s">
        <v>45</v>
      </c>
      <c r="C15" s="132">
        <v>39428</v>
      </c>
      <c r="D15" s="19">
        <v>2019</v>
      </c>
      <c r="E15" s="57">
        <v>5175</v>
      </c>
      <c r="F15" s="58">
        <v>4280</v>
      </c>
      <c r="G15" s="84">
        <f t="shared" si="0"/>
        <v>0.20911214953271029</v>
      </c>
    </row>
    <row r="16" spans="1:7" x14ac:dyDescent="0.25">
      <c r="A16" s="129"/>
      <c r="B16" s="131"/>
      <c r="C16" s="133"/>
      <c r="D16" s="26">
        <v>2020</v>
      </c>
      <c r="E16" s="57">
        <v>4630</v>
      </c>
      <c r="F16" s="59">
        <f>E15</f>
        <v>5175</v>
      </c>
      <c r="G16" s="84">
        <f t="shared" si="0"/>
        <v>-0.10531400966183575</v>
      </c>
    </row>
    <row r="17" spans="1:7" x14ac:dyDescent="0.25">
      <c r="A17" s="129"/>
      <c r="B17" s="131"/>
      <c r="C17" s="133"/>
      <c r="D17" s="26">
        <v>2021</v>
      </c>
      <c r="E17" s="57">
        <v>3890</v>
      </c>
      <c r="F17" s="59">
        <f>E16</f>
        <v>4630</v>
      </c>
      <c r="G17" s="84">
        <f t="shared" si="0"/>
        <v>-0.15982721382289417</v>
      </c>
    </row>
    <row r="18" spans="1:7" ht="15.75" thickBot="1" x14ac:dyDescent="0.3">
      <c r="A18" s="134"/>
      <c r="B18" s="135"/>
      <c r="C18" s="136"/>
      <c r="D18" s="29">
        <v>2022</v>
      </c>
      <c r="E18" s="60">
        <v>2980</v>
      </c>
      <c r="F18" s="59">
        <f>E17</f>
        <v>3890</v>
      </c>
      <c r="G18" s="84">
        <f t="shared" si="0"/>
        <v>-0.23393316195372751</v>
      </c>
    </row>
    <row r="19" spans="1:7" x14ac:dyDescent="0.25">
      <c r="A19" s="128">
        <v>5</v>
      </c>
      <c r="B19" s="140" t="s">
        <v>27</v>
      </c>
      <c r="C19" s="143" t="s">
        <v>28</v>
      </c>
      <c r="D19" s="2">
        <v>2019</v>
      </c>
      <c r="E19" s="57">
        <v>1620</v>
      </c>
      <c r="F19" s="58">
        <v>1520</v>
      </c>
      <c r="G19" s="84">
        <f t="shared" si="0"/>
        <v>6.5789473684210523E-2</v>
      </c>
    </row>
    <row r="20" spans="1:7" x14ac:dyDescent="0.25">
      <c r="A20" s="129"/>
      <c r="B20" s="141"/>
      <c r="C20" s="144"/>
      <c r="D20" s="9">
        <v>2020</v>
      </c>
      <c r="E20" s="57">
        <v>1480</v>
      </c>
      <c r="F20" s="59">
        <f>E19</f>
        <v>1620</v>
      </c>
      <c r="G20" s="84">
        <f t="shared" si="0"/>
        <v>-8.6419753086419748E-2</v>
      </c>
    </row>
    <row r="21" spans="1:7" x14ac:dyDescent="0.25">
      <c r="A21" s="129"/>
      <c r="B21" s="141"/>
      <c r="C21" s="144"/>
      <c r="D21" s="9">
        <v>2021</v>
      </c>
      <c r="E21" s="57">
        <v>1615</v>
      </c>
      <c r="F21" s="59">
        <f>E20</f>
        <v>1480</v>
      </c>
      <c r="G21" s="84">
        <f t="shared" si="0"/>
        <v>9.1216216216216214E-2</v>
      </c>
    </row>
    <row r="22" spans="1:7" ht="15.75" thickBot="1" x14ac:dyDescent="0.3">
      <c r="A22" s="134"/>
      <c r="B22" s="142"/>
      <c r="C22" s="145"/>
      <c r="D22" s="12">
        <v>2022</v>
      </c>
      <c r="E22" s="60">
        <v>2090</v>
      </c>
      <c r="F22" s="59">
        <f>E21</f>
        <v>1615</v>
      </c>
      <c r="G22" s="84">
        <f t="shared" si="0"/>
        <v>0.29411764705882354</v>
      </c>
    </row>
    <row r="23" spans="1:7" x14ac:dyDescent="0.25">
      <c r="A23" s="128">
        <v>6</v>
      </c>
      <c r="B23" s="130" t="s">
        <v>46</v>
      </c>
      <c r="C23" s="132">
        <v>33059</v>
      </c>
      <c r="D23" s="19">
        <v>2019</v>
      </c>
      <c r="E23" s="57">
        <v>973.81457499999999</v>
      </c>
      <c r="F23" s="58">
        <v>780.02062999999998</v>
      </c>
      <c r="G23" s="84">
        <f t="shared" si="0"/>
        <v>0.24844720453098787</v>
      </c>
    </row>
    <row r="24" spans="1:7" x14ac:dyDescent="0.25">
      <c r="A24" s="129"/>
      <c r="B24" s="131"/>
      <c r="C24" s="133"/>
      <c r="D24" s="26">
        <v>2020</v>
      </c>
      <c r="E24" s="57">
        <v>780.02062999999998</v>
      </c>
      <c r="F24" s="59">
        <f>E23</f>
        <v>973.81457499999999</v>
      </c>
      <c r="G24" s="84">
        <f t="shared" si="0"/>
        <v>-0.19900497484338844</v>
      </c>
    </row>
    <row r="25" spans="1:7" x14ac:dyDescent="0.25">
      <c r="A25" s="129"/>
      <c r="B25" s="131"/>
      <c r="C25" s="133"/>
      <c r="D25" s="26">
        <v>2021</v>
      </c>
      <c r="E25" s="57">
        <v>835</v>
      </c>
      <c r="F25" s="59">
        <f>E24</f>
        <v>780.02062999999998</v>
      </c>
      <c r="G25" s="84">
        <f t="shared" si="0"/>
        <v>7.0484507570011345E-2</v>
      </c>
    </row>
    <row r="26" spans="1:7" ht="15.75" thickBot="1" x14ac:dyDescent="0.3">
      <c r="A26" s="134"/>
      <c r="B26" s="135"/>
      <c r="C26" s="136"/>
      <c r="D26" s="29">
        <v>2022</v>
      </c>
      <c r="E26" s="60">
        <v>605</v>
      </c>
      <c r="F26" s="59">
        <f>E25</f>
        <v>835</v>
      </c>
      <c r="G26" s="84">
        <f t="shared" si="0"/>
        <v>-0.27544910179640719</v>
      </c>
    </row>
    <row r="27" spans="1:7" x14ac:dyDescent="0.25">
      <c r="A27" s="128">
        <v>7</v>
      </c>
      <c r="B27" s="140" t="s">
        <v>52</v>
      </c>
      <c r="C27" s="143">
        <v>39244</v>
      </c>
      <c r="D27" s="2">
        <v>2019</v>
      </c>
      <c r="E27" s="57">
        <v>1495</v>
      </c>
      <c r="F27" s="58">
        <v>1490</v>
      </c>
      <c r="G27" s="84">
        <f t="shared" ref="G27:G90" si="1">(E27-F27)/F27</f>
        <v>3.3557046979865771E-3</v>
      </c>
    </row>
    <row r="28" spans="1:7" x14ac:dyDescent="0.25">
      <c r="A28" s="129"/>
      <c r="B28" s="141"/>
      <c r="C28" s="144"/>
      <c r="D28" s="9">
        <v>2020</v>
      </c>
      <c r="E28" s="57">
        <v>1715</v>
      </c>
      <c r="F28" s="59">
        <f>E27</f>
        <v>1495</v>
      </c>
      <c r="G28" s="84">
        <f t="shared" si="1"/>
        <v>0.14715719063545152</v>
      </c>
    </row>
    <row r="29" spans="1:7" x14ac:dyDescent="0.25">
      <c r="A29" s="129"/>
      <c r="B29" s="141"/>
      <c r="C29" s="144"/>
      <c r="D29" s="9">
        <v>2021</v>
      </c>
      <c r="E29" s="57">
        <v>1280</v>
      </c>
      <c r="F29" s="59">
        <f>E28</f>
        <v>1715</v>
      </c>
      <c r="G29" s="84">
        <f t="shared" si="1"/>
        <v>-0.25364431486880468</v>
      </c>
    </row>
    <row r="30" spans="1:7" ht="15.75" thickBot="1" x14ac:dyDescent="0.3">
      <c r="A30" s="134"/>
      <c r="B30" s="142"/>
      <c r="C30" s="145"/>
      <c r="D30" s="12">
        <v>2022</v>
      </c>
      <c r="E30" s="60">
        <v>496</v>
      </c>
      <c r="F30" s="59">
        <f>E29</f>
        <v>1280</v>
      </c>
      <c r="G30" s="84">
        <f t="shared" si="1"/>
        <v>-0.61250000000000004</v>
      </c>
    </row>
    <row r="31" spans="1:7" x14ac:dyDescent="0.25">
      <c r="A31" s="128">
        <v>8</v>
      </c>
      <c r="B31" s="140" t="s">
        <v>53</v>
      </c>
      <c r="C31" s="143" t="s">
        <v>54</v>
      </c>
      <c r="D31" s="2">
        <v>2019</v>
      </c>
      <c r="E31" s="57">
        <v>840</v>
      </c>
      <c r="F31" s="58">
        <v>765</v>
      </c>
      <c r="G31" s="84">
        <f t="shared" si="1"/>
        <v>9.8039215686274508E-2</v>
      </c>
    </row>
    <row r="32" spans="1:7" x14ac:dyDescent="0.25">
      <c r="A32" s="129"/>
      <c r="B32" s="141"/>
      <c r="C32" s="144"/>
      <c r="D32" s="9">
        <v>2020</v>
      </c>
      <c r="E32" s="57">
        <v>1935</v>
      </c>
      <c r="F32" s="59">
        <f>E31</f>
        <v>840</v>
      </c>
      <c r="G32" s="84">
        <f t="shared" si="1"/>
        <v>1.3035714285714286</v>
      </c>
    </row>
    <row r="33" spans="1:7" x14ac:dyDescent="0.25">
      <c r="A33" s="129"/>
      <c r="B33" s="141"/>
      <c r="C33" s="144"/>
      <c r="D33" s="9">
        <v>2021</v>
      </c>
      <c r="E33" s="57">
        <v>2250</v>
      </c>
      <c r="F33" s="59">
        <f>E32</f>
        <v>1935</v>
      </c>
      <c r="G33" s="84">
        <f t="shared" si="1"/>
        <v>0.16279069767441862</v>
      </c>
    </row>
    <row r="34" spans="1:7" ht="15.75" thickBot="1" x14ac:dyDescent="0.3">
      <c r="A34" s="134"/>
      <c r="B34" s="142"/>
      <c r="C34" s="145"/>
      <c r="D34" s="12">
        <v>2022</v>
      </c>
      <c r="E34" s="60">
        <v>1985</v>
      </c>
      <c r="F34" s="59">
        <f>E33</f>
        <v>2250</v>
      </c>
      <c r="G34" s="84">
        <f t="shared" si="1"/>
        <v>-0.11777777777777777</v>
      </c>
    </row>
    <row r="35" spans="1:7" x14ac:dyDescent="0.25">
      <c r="A35" s="128">
        <v>9</v>
      </c>
      <c r="B35" s="140" t="s">
        <v>47</v>
      </c>
      <c r="C35" s="143" t="s">
        <v>48</v>
      </c>
      <c r="D35" s="2">
        <v>2019</v>
      </c>
      <c r="E35" s="57">
        <v>1230</v>
      </c>
      <c r="F35" s="58">
        <v>720</v>
      </c>
      <c r="G35" s="84">
        <f t="shared" si="1"/>
        <v>0.70833333333333337</v>
      </c>
    </row>
    <row r="36" spans="1:7" x14ac:dyDescent="0.25">
      <c r="A36" s="129"/>
      <c r="B36" s="141"/>
      <c r="C36" s="144"/>
      <c r="D36" s="9">
        <v>2020</v>
      </c>
      <c r="E36" s="57">
        <v>1630</v>
      </c>
      <c r="F36" s="59">
        <f>E35</f>
        <v>1230</v>
      </c>
      <c r="G36" s="84">
        <f t="shared" si="1"/>
        <v>0.32520325203252032</v>
      </c>
    </row>
    <row r="37" spans="1:7" x14ac:dyDescent="0.25">
      <c r="A37" s="129"/>
      <c r="B37" s="141"/>
      <c r="C37" s="144"/>
      <c r="D37" s="9">
        <v>2021</v>
      </c>
      <c r="E37" s="57">
        <v>2950</v>
      </c>
      <c r="F37" s="59">
        <f>E36</f>
        <v>1630</v>
      </c>
      <c r="G37" s="84">
        <f t="shared" si="1"/>
        <v>0.80981595092024539</v>
      </c>
    </row>
    <row r="38" spans="1:7" ht="15.75" thickBot="1" x14ac:dyDescent="0.3">
      <c r="A38" s="134"/>
      <c r="B38" s="142"/>
      <c r="C38" s="145"/>
      <c r="D38" s="12">
        <v>2022</v>
      </c>
      <c r="E38" s="57">
        <v>2300</v>
      </c>
      <c r="F38" s="59">
        <f>E37</f>
        <v>2950</v>
      </c>
      <c r="G38" s="84">
        <f t="shared" si="1"/>
        <v>-0.22033898305084745</v>
      </c>
    </row>
    <row r="39" spans="1:7" x14ac:dyDescent="0.25">
      <c r="A39" s="128">
        <v>10</v>
      </c>
      <c r="B39" s="140" t="s">
        <v>49</v>
      </c>
      <c r="C39" s="143">
        <v>40393</v>
      </c>
      <c r="D39" s="2">
        <v>2019</v>
      </c>
      <c r="E39" s="57">
        <v>805</v>
      </c>
      <c r="F39" s="58">
        <v>690</v>
      </c>
      <c r="G39" s="84">
        <f t="shared" si="1"/>
        <v>0.16666666666666666</v>
      </c>
    </row>
    <row r="40" spans="1:7" x14ac:dyDescent="0.25">
      <c r="A40" s="129"/>
      <c r="B40" s="141"/>
      <c r="C40" s="144"/>
      <c r="D40" s="9">
        <v>2020</v>
      </c>
      <c r="E40" s="57">
        <v>960</v>
      </c>
      <c r="F40" s="59">
        <f>E39</f>
        <v>805</v>
      </c>
      <c r="G40" s="84">
        <f t="shared" si="1"/>
        <v>0.19254658385093168</v>
      </c>
    </row>
    <row r="41" spans="1:7" x14ac:dyDescent="0.25">
      <c r="A41" s="129"/>
      <c r="B41" s="141"/>
      <c r="C41" s="144"/>
      <c r="D41" s="9">
        <v>2021</v>
      </c>
      <c r="E41" s="57">
        <v>1125</v>
      </c>
      <c r="F41" s="59">
        <f>E40</f>
        <v>960</v>
      </c>
      <c r="G41" s="84">
        <f t="shared" si="1"/>
        <v>0.171875</v>
      </c>
    </row>
    <row r="42" spans="1:7" ht="15.75" thickBot="1" x14ac:dyDescent="0.3">
      <c r="A42" s="134"/>
      <c r="B42" s="142"/>
      <c r="C42" s="145"/>
      <c r="D42" s="12">
        <v>2022</v>
      </c>
      <c r="E42" s="60">
        <v>1100</v>
      </c>
      <c r="F42" s="59">
        <f>E41</f>
        <v>1125</v>
      </c>
      <c r="G42" s="84">
        <f t="shared" si="1"/>
        <v>-2.2222222222222223E-2</v>
      </c>
    </row>
    <row r="43" spans="1:7" x14ac:dyDescent="0.25">
      <c r="A43" s="128">
        <v>11</v>
      </c>
      <c r="B43" s="130" t="s">
        <v>50</v>
      </c>
      <c r="C43" s="132" t="s">
        <v>51</v>
      </c>
      <c r="D43" s="19">
        <v>2019</v>
      </c>
      <c r="E43" s="57">
        <v>1990</v>
      </c>
      <c r="F43" s="58">
        <v>1655</v>
      </c>
      <c r="G43" s="84">
        <f t="shared" si="1"/>
        <v>0.20241691842900303</v>
      </c>
    </row>
    <row r="44" spans="1:7" x14ac:dyDescent="0.25">
      <c r="A44" s="129"/>
      <c r="B44" s="131"/>
      <c r="C44" s="133"/>
      <c r="D44" s="26">
        <v>2020</v>
      </c>
      <c r="E44" s="57">
        <v>1985</v>
      </c>
      <c r="F44" s="59">
        <f>E43</f>
        <v>1990</v>
      </c>
      <c r="G44" s="84">
        <f t="shared" si="1"/>
        <v>-2.5125628140703518E-3</v>
      </c>
    </row>
    <row r="45" spans="1:7" x14ac:dyDescent="0.25">
      <c r="A45" s="129"/>
      <c r="B45" s="131"/>
      <c r="C45" s="133"/>
      <c r="D45" s="26">
        <v>2021</v>
      </c>
      <c r="E45" s="57">
        <v>1105</v>
      </c>
      <c r="F45" s="59">
        <f>E44</f>
        <v>1985</v>
      </c>
      <c r="G45" s="84">
        <f t="shared" si="1"/>
        <v>-0.44332493702770781</v>
      </c>
    </row>
    <row r="46" spans="1:7" ht="15.75" thickBot="1" x14ac:dyDescent="0.3">
      <c r="A46" s="129"/>
      <c r="B46" s="131"/>
      <c r="C46" s="133"/>
      <c r="D46" s="49">
        <v>2022</v>
      </c>
      <c r="E46" s="162">
        <v>800</v>
      </c>
      <c r="F46" s="163">
        <f>E45</f>
        <v>1105</v>
      </c>
      <c r="G46" s="84">
        <f t="shared" si="1"/>
        <v>-0.27601809954751133</v>
      </c>
    </row>
    <row r="47" spans="1:7" x14ac:dyDescent="0.25">
      <c r="A47" s="128">
        <v>12</v>
      </c>
      <c r="B47" s="130" t="s">
        <v>55</v>
      </c>
      <c r="C47" s="132">
        <v>34403</v>
      </c>
      <c r="D47" s="156">
        <v>2019</v>
      </c>
      <c r="E47" s="164">
        <v>790</v>
      </c>
      <c r="F47" s="58">
        <v>858</v>
      </c>
      <c r="G47" s="84">
        <f t="shared" si="1"/>
        <v>-7.9254079254079249E-2</v>
      </c>
    </row>
    <row r="48" spans="1:7" x14ac:dyDescent="0.25">
      <c r="A48" s="129"/>
      <c r="B48" s="131"/>
      <c r="C48" s="133"/>
      <c r="D48" s="149">
        <v>2020</v>
      </c>
      <c r="E48" s="161">
        <v>636</v>
      </c>
      <c r="F48" s="165">
        <f>E47</f>
        <v>790</v>
      </c>
      <c r="G48" s="84">
        <f t="shared" si="1"/>
        <v>-0.19493670886075951</v>
      </c>
    </row>
    <row r="49" spans="1:7" x14ac:dyDescent="0.25">
      <c r="A49" s="129"/>
      <c r="B49" s="131"/>
      <c r="C49" s="133"/>
      <c r="D49" s="149">
        <v>2021</v>
      </c>
      <c r="E49" s="161">
        <v>822</v>
      </c>
      <c r="F49" s="165">
        <f>E48</f>
        <v>636</v>
      </c>
      <c r="G49" s="84">
        <f t="shared" si="1"/>
        <v>0.29245283018867924</v>
      </c>
    </row>
    <row r="50" spans="1:7" ht="15.75" thickBot="1" x14ac:dyDescent="0.3">
      <c r="A50" s="134"/>
      <c r="B50" s="135"/>
      <c r="C50" s="136"/>
      <c r="D50" s="159">
        <v>2022</v>
      </c>
      <c r="E50" s="162">
        <v>1400</v>
      </c>
      <c r="F50" s="163">
        <f>E49</f>
        <v>822</v>
      </c>
      <c r="G50" s="84">
        <f t="shared" si="1"/>
        <v>0.7031630170316302</v>
      </c>
    </row>
    <row r="51" spans="1:7" x14ac:dyDescent="0.25">
      <c r="A51" s="129">
        <v>13</v>
      </c>
      <c r="B51" s="131" t="s">
        <v>56</v>
      </c>
      <c r="C51" s="133">
        <v>32967</v>
      </c>
      <c r="D51">
        <v>2019</v>
      </c>
      <c r="E51" s="161">
        <v>6925</v>
      </c>
      <c r="F51" s="58">
        <v>8225</v>
      </c>
      <c r="G51" s="84">
        <f t="shared" si="1"/>
        <v>-0.1580547112462006</v>
      </c>
    </row>
    <row r="52" spans="1:7" x14ac:dyDescent="0.25">
      <c r="A52" s="129"/>
      <c r="B52" s="131"/>
      <c r="C52" s="133"/>
      <c r="D52">
        <v>2020</v>
      </c>
      <c r="E52" s="161">
        <v>6025</v>
      </c>
      <c r="F52" s="59">
        <f>E51</f>
        <v>6925</v>
      </c>
      <c r="G52" s="84">
        <f t="shared" si="1"/>
        <v>-0.1299638989169675</v>
      </c>
    </row>
    <row r="53" spans="1:7" x14ac:dyDescent="0.25">
      <c r="A53" s="129"/>
      <c r="B53" s="131"/>
      <c r="C53" s="133"/>
      <c r="D53">
        <v>2021</v>
      </c>
      <c r="E53" s="161">
        <v>5700</v>
      </c>
      <c r="F53" s="59">
        <f>E52</f>
        <v>6025</v>
      </c>
      <c r="G53" s="84">
        <f t="shared" si="1"/>
        <v>-5.3941908713692949E-2</v>
      </c>
    </row>
    <row r="54" spans="1:7" ht="15.75" thickBot="1" x14ac:dyDescent="0.3">
      <c r="A54" s="134"/>
      <c r="B54" s="135"/>
      <c r="C54" s="136"/>
      <c r="D54" s="159">
        <v>2022</v>
      </c>
      <c r="E54" s="60">
        <v>5700</v>
      </c>
      <c r="F54" s="163">
        <f>E53</f>
        <v>5700</v>
      </c>
      <c r="G54" s="84">
        <f t="shared" si="1"/>
        <v>0</v>
      </c>
    </row>
    <row r="55" spans="1:7" x14ac:dyDescent="0.25">
      <c r="A55" s="128">
        <v>14</v>
      </c>
      <c r="B55" s="130" t="s">
        <v>15</v>
      </c>
      <c r="C55" s="132" t="s">
        <v>16</v>
      </c>
      <c r="D55">
        <v>2019</v>
      </c>
      <c r="E55" s="57">
        <v>6685</v>
      </c>
      <c r="F55" s="161">
        <v>5200</v>
      </c>
      <c r="G55" s="84">
        <f t="shared" si="1"/>
        <v>0.28557692307692306</v>
      </c>
    </row>
    <row r="56" spans="1:7" x14ac:dyDescent="0.25">
      <c r="A56" s="129"/>
      <c r="B56" s="131"/>
      <c r="C56" s="133"/>
      <c r="D56">
        <v>2020</v>
      </c>
      <c r="E56" s="57">
        <v>6770</v>
      </c>
      <c r="F56" s="59">
        <f>E55</f>
        <v>6685</v>
      </c>
      <c r="G56" s="84">
        <f t="shared" si="1"/>
        <v>1.2715033657442034E-2</v>
      </c>
    </row>
    <row r="57" spans="1:7" x14ac:dyDescent="0.25">
      <c r="A57" s="129"/>
      <c r="B57" s="131"/>
      <c r="C57" s="133"/>
      <c r="D57">
        <v>2021</v>
      </c>
      <c r="E57" s="57">
        <v>7300</v>
      </c>
      <c r="F57" s="59">
        <f>E56</f>
        <v>6770</v>
      </c>
      <c r="G57" s="84">
        <f t="shared" si="1"/>
        <v>7.8286558345642535E-2</v>
      </c>
    </row>
    <row r="58" spans="1:7" ht="15.75" thickBot="1" x14ac:dyDescent="0.3">
      <c r="A58" s="134"/>
      <c r="B58" s="135"/>
      <c r="C58" s="136"/>
      <c r="D58" s="159">
        <v>2022</v>
      </c>
      <c r="E58" s="60">
        <v>8550</v>
      </c>
      <c r="F58" s="163">
        <f>E57</f>
        <v>7300</v>
      </c>
      <c r="G58" s="84">
        <f t="shared" si="1"/>
        <v>0.17123287671232876</v>
      </c>
    </row>
    <row r="59" spans="1:7" x14ac:dyDescent="0.25">
      <c r="A59" s="128">
        <v>15</v>
      </c>
      <c r="B59" s="130" t="s">
        <v>17</v>
      </c>
      <c r="C59" s="132" t="s">
        <v>18</v>
      </c>
      <c r="D59">
        <v>2019</v>
      </c>
      <c r="E59" s="57">
        <v>3925</v>
      </c>
      <c r="F59" s="161">
        <v>8800</v>
      </c>
      <c r="G59" s="84">
        <f t="shared" si="1"/>
        <v>-0.55397727272727271</v>
      </c>
    </row>
    <row r="60" spans="1:7" x14ac:dyDescent="0.25">
      <c r="A60" s="129"/>
      <c r="B60" s="131"/>
      <c r="C60" s="133"/>
      <c r="D60">
        <v>2020</v>
      </c>
      <c r="E60" s="57">
        <v>3087.5</v>
      </c>
      <c r="F60" s="59">
        <f>E59</f>
        <v>3925</v>
      </c>
      <c r="G60" s="84">
        <f t="shared" si="1"/>
        <v>-0.21337579617834396</v>
      </c>
    </row>
    <row r="61" spans="1:7" x14ac:dyDescent="0.25">
      <c r="A61" s="129"/>
      <c r="B61" s="131"/>
      <c r="C61" s="133"/>
      <c r="D61">
        <v>2021</v>
      </c>
      <c r="E61" s="57">
        <v>3375</v>
      </c>
      <c r="F61" s="59">
        <f>E60</f>
        <v>3087.5</v>
      </c>
      <c r="G61" s="84">
        <f t="shared" si="1"/>
        <v>9.3117408906882596E-2</v>
      </c>
    </row>
    <row r="62" spans="1:7" ht="15.75" thickBot="1" x14ac:dyDescent="0.3">
      <c r="A62" s="134"/>
      <c r="B62" s="135"/>
      <c r="C62" s="136"/>
      <c r="D62" s="159">
        <v>2022</v>
      </c>
      <c r="E62" s="60">
        <v>4612.5</v>
      </c>
      <c r="F62" s="163">
        <f>E61</f>
        <v>3375</v>
      </c>
      <c r="G62" s="84">
        <f t="shared" si="1"/>
        <v>0.36666666666666664</v>
      </c>
    </row>
    <row r="63" spans="1:7" x14ac:dyDescent="0.25">
      <c r="A63" s="128">
        <v>16</v>
      </c>
      <c r="B63" s="130" t="s">
        <v>19</v>
      </c>
      <c r="C63" s="132">
        <v>37905</v>
      </c>
      <c r="D63">
        <v>2019</v>
      </c>
      <c r="E63" s="57">
        <v>3999.9309079999998</v>
      </c>
      <c r="F63" s="161">
        <v>3660</v>
      </c>
      <c r="G63" s="84">
        <f t="shared" si="1"/>
        <v>9.2877297267759507E-2</v>
      </c>
    </row>
    <row r="64" spans="1:7" x14ac:dyDescent="0.25">
      <c r="A64" s="129"/>
      <c r="B64" s="131"/>
      <c r="C64" s="133"/>
      <c r="D64">
        <v>2020</v>
      </c>
      <c r="E64" s="57">
        <v>3790.8435060000002</v>
      </c>
      <c r="F64" s="59">
        <f>E63</f>
        <v>3999.9309079999998</v>
      </c>
      <c r="G64" s="84">
        <f t="shared" si="1"/>
        <v>-5.2272753407269522E-2</v>
      </c>
    </row>
    <row r="65" spans="1:7" x14ac:dyDescent="0.25">
      <c r="A65" s="129"/>
      <c r="B65" s="131"/>
      <c r="C65" s="133"/>
      <c r="D65">
        <v>2021</v>
      </c>
      <c r="E65" s="57">
        <v>4110</v>
      </c>
      <c r="F65" s="59">
        <f>E64</f>
        <v>3790.8435060000002</v>
      </c>
      <c r="G65" s="84">
        <f t="shared" si="1"/>
        <v>8.4191419006047416E-2</v>
      </c>
    </row>
    <row r="66" spans="1:7" ht="15.75" thickBot="1" x14ac:dyDescent="0.3">
      <c r="A66" s="134"/>
      <c r="B66" s="135"/>
      <c r="C66" s="136"/>
      <c r="D66" s="159">
        <v>2022</v>
      </c>
      <c r="E66" s="60">
        <v>4940</v>
      </c>
      <c r="F66" s="163">
        <f>E65</f>
        <v>4110</v>
      </c>
      <c r="G66" s="84">
        <f t="shared" si="1"/>
        <v>0.20194647201946472</v>
      </c>
    </row>
    <row r="67" spans="1:7" x14ac:dyDescent="0.25">
      <c r="A67" s="128">
        <v>17</v>
      </c>
      <c r="B67" s="130" t="s">
        <v>20</v>
      </c>
      <c r="C67" s="132" t="s">
        <v>21</v>
      </c>
      <c r="D67">
        <v>2019</v>
      </c>
      <c r="E67" s="57">
        <v>1883.414673</v>
      </c>
      <c r="F67" s="161">
        <v>2540</v>
      </c>
      <c r="G67" s="84">
        <f t="shared" si="1"/>
        <v>-0.25849816023622046</v>
      </c>
    </row>
    <row r="68" spans="1:7" x14ac:dyDescent="0.25">
      <c r="A68" s="129"/>
      <c r="B68" s="131"/>
      <c r="C68" s="133"/>
      <c r="D68">
        <v>2020</v>
      </c>
      <c r="E68" s="57">
        <v>1532.4954829999999</v>
      </c>
      <c r="F68" s="59">
        <f>E67</f>
        <v>1883.414673</v>
      </c>
      <c r="G68" s="84">
        <f t="shared" si="1"/>
        <v>-0.18632072640755096</v>
      </c>
    </row>
    <row r="69" spans="1:7" x14ac:dyDescent="0.25">
      <c r="A69" s="129"/>
      <c r="B69" s="131"/>
      <c r="C69" s="133"/>
      <c r="D69">
        <v>2021</v>
      </c>
      <c r="E69" s="57">
        <v>1536.9375</v>
      </c>
      <c r="F69" s="59">
        <f>E68</f>
        <v>1532.4954829999999</v>
      </c>
      <c r="G69" s="84">
        <f t="shared" si="1"/>
        <v>2.8985514471497327E-3</v>
      </c>
    </row>
    <row r="70" spans="1:7" ht="15.75" thickBot="1" x14ac:dyDescent="0.3">
      <c r="A70" s="134"/>
      <c r="B70" s="135"/>
      <c r="C70" s="136"/>
      <c r="D70" s="159">
        <v>2022</v>
      </c>
      <c r="E70" s="60">
        <v>1350</v>
      </c>
      <c r="F70" s="163">
        <f>E69</f>
        <v>1536.9375</v>
      </c>
      <c r="G70" s="84">
        <f t="shared" si="1"/>
        <v>-0.12162986458460412</v>
      </c>
    </row>
    <row r="71" spans="1:7" x14ac:dyDescent="0.25">
      <c r="A71" s="128">
        <v>18</v>
      </c>
      <c r="B71" s="130" t="s">
        <v>22</v>
      </c>
      <c r="C71" s="132" t="s">
        <v>23</v>
      </c>
      <c r="D71">
        <v>2019</v>
      </c>
      <c r="E71" s="57">
        <v>3837.5</v>
      </c>
      <c r="F71" s="161">
        <v>3687.5</v>
      </c>
      <c r="G71" s="84">
        <f t="shared" si="1"/>
        <v>4.0677966101694912E-2</v>
      </c>
    </row>
    <row r="72" spans="1:7" x14ac:dyDescent="0.25">
      <c r="A72" s="129"/>
      <c r="B72" s="131"/>
      <c r="C72" s="133"/>
      <c r="D72">
        <v>2020</v>
      </c>
      <c r="E72" s="57">
        <v>3162.5</v>
      </c>
      <c r="F72" s="59">
        <f>E71</f>
        <v>3837.5</v>
      </c>
      <c r="G72" s="84">
        <f t="shared" si="1"/>
        <v>-0.1758957654723127</v>
      </c>
    </row>
    <row r="73" spans="1:7" x14ac:dyDescent="0.25">
      <c r="A73" s="129"/>
      <c r="B73" s="131"/>
      <c r="C73" s="133"/>
      <c r="D73">
        <v>2021</v>
      </c>
      <c r="E73" s="57">
        <v>3512.5</v>
      </c>
      <c r="F73" s="59">
        <f>E72</f>
        <v>3162.5</v>
      </c>
      <c r="G73" s="84">
        <f t="shared" si="1"/>
        <v>0.11067193675889328</v>
      </c>
    </row>
    <row r="74" spans="1:7" ht="15.75" thickBot="1" x14ac:dyDescent="0.3">
      <c r="A74" s="134"/>
      <c r="B74" s="135"/>
      <c r="C74" s="136"/>
      <c r="D74" s="159">
        <v>2022</v>
      </c>
      <c r="E74" s="60">
        <v>4962.5</v>
      </c>
      <c r="F74" s="163">
        <f>E73</f>
        <v>3512.5</v>
      </c>
      <c r="G74" s="84">
        <f t="shared" si="1"/>
        <v>0.41281138790035588</v>
      </c>
    </row>
    <row r="75" spans="1:7" x14ac:dyDescent="0.25">
      <c r="A75" s="128">
        <v>19</v>
      </c>
      <c r="B75" s="130" t="s">
        <v>57</v>
      </c>
      <c r="C75" s="132" t="s">
        <v>58</v>
      </c>
      <c r="D75">
        <v>2019</v>
      </c>
      <c r="E75" s="57">
        <v>348</v>
      </c>
      <c r="F75" s="161">
        <v>242</v>
      </c>
      <c r="G75" s="84">
        <f t="shared" si="1"/>
        <v>0.43801652892561982</v>
      </c>
    </row>
    <row r="76" spans="1:7" x14ac:dyDescent="0.25">
      <c r="A76" s="129"/>
      <c r="B76" s="131"/>
      <c r="C76" s="133"/>
      <c r="D76">
        <v>2020</v>
      </c>
      <c r="E76" s="57">
        <v>290</v>
      </c>
      <c r="F76" s="59">
        <f>E75</f>
        <v>348</v>
      </c>
      <c r="G76" s="84">
        <f t="shared" si="1"/>
        <v>-0.16666666666666666</v>
      </c>
    </row>
    <row r="77" spans="1:7" x14ac:dyDescent="0.25">
      <c r="A77" s="129"/>
      <c r="B77" s="131"/>
      <c r="C77" s="133"/>
      <c r="D77">
        <v>2021</v>
      </c>
      <c r="E77" s="57">
        <v>260</v>
      </c>
      <c r="F77" s="59">
        <f>E76</f>
        <v>290</v>
      </c>
      <c r="G77" s="84">
        <f t="shared" si="1"/>
        <v>-0.10344827586206896</v>
      </c>
    </row>
    <row r="78" spans="1:7" ht="15.75" thickBot="1" x14ac:dyDescent="0.3">
      <c r="A78" s="134"/>
      <c r="B78" s="135"/>
      <c r="C78" s="136"/>
      <c r="D78" s="159">
        <v>2022</v>
      </c>
      <c r="E78" s="60">
        <v>278</v>
      </c>
      <c r="F78" s="163">
        <f>E77</f>
        <v>260</v>
      </c>
      <c r="G78" s="84">
        <f t="shared" si="1"/>
        <v>6.9230769230769235E-2</v>
      </c>
    </row>
    <row r="79" spans="1:7" x14ac:dyDescent="0.25">
      <c r="A79" s="128">
        <v>20</v>
      </c>
      <c r="B79" s="130" t="s">
        <v>59</v>
      </c>
      <c r="C79" s="132" t="s">
        <v>60</v>
      </c>
      <c r="D79">
        <v>2019</v>
      </c>
      <c r="E79" s="57">
        <v>6500</v>
      </c>
      <c r="F79" s="161">
        <v>7225</v>
      </c>
      <c r="G79" s="84">
        <f t="shared" si="1"/>
        <v>-0.10034602076124567</v>
      </c>
    </row>
    <row r="80" spans="1:7" x14ac:dyDescent="0.25">
      <c r="A80" s="129"/>
      <c r="B80" s="131"/>
      <c r="C80" s="133"/>
      <c r="D80">
        <v>2020</v>
      </c>
      <c r="E80" s="57">
        <v>6525</v>
      </c>
      <c r="F80" s="59">
        <f>E79</f>
        <v>6500</v>
      </c>
      <c r="G80" s="84">
        <f t="shared" si="1"/>
        <v>3.8461538461538464E-3</v>
      </c>
    </row>
    <row r="81" spans="1:7" x14ac:dyDescent="0.25">
      <c r="A81" s="129"/>
      <c r="B81" s="131"/>
      <c r="C81" s="133"/>
      <c r="D81">
        <v>2021</v>
      </c>
      <c r="E81" s="57">
        <v>5950</v>
      </c>
      <c r="F81" s="59">
        <f>E80</f>
        <v>6525</v>
      </c>
      <c r="G81" s="84">
        <f t="shared" si="1"/>
        <v>-8.8122605363984668E-2</v>
      </c>
    </row>
    <row r="82" spans="1:7" ht="15.75" thickBot="1" x14ac:dyDescent="0.3">
      <c r="A82" s="134"/>
      <c r="B82" s="135"/>
      <c r="C82" s="136"/>
      <c r="D82" s="159">
        <v>2022</v>
      </c>
      <c r="E82" s="60">
        <v>5650</v>
      </c>
      <c r="F82" s="163">
        <f>E81</f>
        <v>5950</v>
      </c>
      <c r="G82" s="84">
        <f t="shared" si="1"/>
        <v>-5.0420168067226892E-2</v>
      </c>
    </row>
    <row r="83" spans="1:7" x14ac:dyDescent="0.25">
      <c r="A83" s="128">
        <v>21</v>
      </c>
      <c r="B83" s="130" t="s">
        <v>61</v>
      </c>
      <c r="C83" s="132" t="s">
        <v>62</v>
      </c>
      <c r="D83">
        <v>2019</v>
      </c>
      <c r="E83" s="57">
        <v>359</v>
      </c>
      <c r="F83" s="57">
        <v>440</v>
      </c>
      <c r="G83" s="84">
        <f t="shared" si="1"/>
        <v>-0.18409090909090908</v>
      </c>
    </row>
    <row r="84" spans="1:7" x14ac:dyDescent="0.25">
      <c r="A84" s="129"/>
      <c r="B84" s="131"/>
      <c r="C84" s="133"/>
      <c r="D84">
        <v>2020</v>
      </c>
      <c r="E84" s="57">
        <v>440</v>
      </c>
      <c r="F84" s="59">
        <f>E83</f>
        <v>359</v>
      </c>
      <c r="G84" s="84">
        <f t="shared" si="1"/>
        <v>0.22562674094707522</v>
      </c>
    </row>
    <row r="85" spans="1:7" x14ac:dyDescent="0.25">
      <c r="A85" s="129"/>
      <c r="B85" s="131"/>
      <c r="C85" s="133"/>
      <c r="D85">
        <v>2021</v>
      </c>
      <c r="E85" s="57">
        <v>600</v>
      </c>
      <c r="F85" s="59">
        <f>E84</f>
        <v>440</v>
      </c>
      <c r="G85" s="84">
        <f t="shared" si="1"/>
        <v>0.36363636363636365</v>
      </c>
    </row>
    <row r="86" spans="1:7" ht="15.75" thickBot="1" x14ac:dyDescent="0.3">
      <c r="A86" s="134"/>
      <c r="B86" s="135"/>
      <c r="C86" s="136"/>
      <c r="D86" s="159">
        <v>2022</v>
      </c>
      <c r="E86" s="60">
        <v>392</v>
      </c>
      <c r="F86" s="163">
        <f>E85</f>
        <v>600</v>
      </c>
      <c r="G86" s="84">
        <f t="shared" si="1"/>
        <v>-0.34666666666666668</v>
      </c>
    </row>
    <row r="87" spans="1:7" x14ac:dyDescent="0.25">
      <c r="A87" s="128">
        <v>22</v>
      </c>
      <c r="B87" s="130" t="s">
        <v>63</v>
      </c>
      <c r="C87" s="132" t="s">
        <v>64</v>
      </c>
      <c r="D87">
        <v>2019</v>
      </c>
      <c r="E87" s="57">
        <v>3150</v>
      </c>
      <c r="F87" s="57">
        <v>1980</v>
      </c>
      <c r="G87" s="84">
        <f t="shared" si="1"/>
        <v>0.59090909090909094</v>
      </c>
    </row>
    <row r="88" spans="1:7" x14ac:dyDescent="0.25">
      <c r="A88" s="129"/>
      <c r="B88" s="131"/>
      <c r="C88" s="133"/>
      <c r="D88">
        <v>2020</v>
      </c>
      <c r="E88" s="57">
        <v>2730</v>
      </c>
      <c r="F88" s="59">
        <f>E87</f>
        <v>3150</v>
      </c>
      <c r="G88" s="84">
        <f t="shared" si="1"/>
        <v>-0.13333333333333333</v>
      </c>
    </row>
    <row r="89" spans="1:7" x14ac:dyDescent="0.25">
      <c r="A89" s="129"/>
      <c r="B89" s="131"/>
      <c r="C89" s="133"/>
      <c r="D89">
        <v>2021</v>
      </c>
      <c r="E89" s="57">
        <v>3170</v>
      </c>
      <c r="F89" s="59">
        <f>E88</f>
        <v>2730</v>
      </c>
      <c r="G89" s="84">
        <f t="shared" si="1"/>
        <v>0.16117216117216118</v>
      </c>
    </row>
    <row r="90" spans="1:7" ht="15.75" thickBot="1" x14ac:dyDescent="0.3">
      <c r="A90" s="134"/>
      <c r="B90" s="135"/>
      <c r="C90" s="136"/>
      <c r="D90" s="159">
        <v>2022</v>
      </c>
      <c r="E90" s="60">
        <v>2140</v>
      </c>
      <c r="F90" s="163">
        <f>E89</f>
        <v>3170</v>
      </c>
      <c r="G90" s="84">
        <f t="shared" si="1"/>
        <v>-0.32492113564668768</v>
      </c>
    </row>
    <row r="91" spans="1:7" x14ac:dyDescent="0.25">
      <c r="A91" s="128">
        <v>23</v>
      </c>
      <c r="B91" s="130" t="s">
        <v>65</v>
      </c>
      <c r="C91" s="132">
        <v>40369</v>
      </c>
      <c r="D91">
        <v>2019</v>
      </c>
      <c r="E91" s="57">
        <v>11150</v>
      </c>
      <c r="F91" s="57">
        <v>10450</v>
      </c>
      <c r="G91" s="84">
        <f t="shared" ref="G91:G114" si="2">(E91-F91)/F91</f>
        <v>6.6985645933014357E-2</v>
      </c>
    </row>
    <row r="92" spans="1:7" x14ac:dyDescent="0.25">
      <c r="A92" s="129"/>
      <c r="B92" s="131"/>
      <c r="C92" s="133"/>
      <c r="D92">
        <v>2020</v>
      </c>
      <c r="E92" s="57">
        <v>9575</v>
      </c>
      <c r="F92" s="59">
        <f>E91</f>
        <v>11150</v>
      </c>
      <c r="G92" s="84">
        <f t="shared" si="2"/>
        <v>-0.14125560538116591</v>
      </c>
    </row>
    <row r="93" spans="1:7" x14ac:dyDescent="0.25">
      <c r="A93" s="129"/>
      <c r="B93" s="131"/>
      <c r="C93" s="133"/>
      <c r="D93">
        <v>2021</v>
      </c>
      <c r="E93" s="57">
        <v>8700</v>
      </c>
      <c r="F93" s="59">
        <f>E92</f>
        <v>9575</v>
      </c>
      <c r="G93" s="84">
        <f t="shared" si="2"/>
        <v>-9.1383812010443863E-2</v>
      </c>
    </row>
    <row r="94" spans="1:7" ht="15.75" thickBot="1" x14ac:dyDescent="0.3">
      <c r="A94" s="134"/>
      <c r="B94" s="135"/>
      <c r="C94" s="136"/>
      <c r="D94" s="159">
        <v>2022</v>
      </c>
      <c r="E94" s="60">
        <v>10000</v>
      </c>
      <c r="F94" s="163">
        <f>E93</f>
        <v>8700</v>
      </c>
      <c r="G94" s="84">
        <f t="shared" si="2"/>
        <v>0.14942528735632185</v>
      </c>
    </row>
    <row r="95" spans="1:7" x14ac:dyDescent="0.25">
      <c r="A95" s="128">
        <v>24</v>
      </c>
      <c r="B95" s="130" t="s">
        <v>66</v>
      </c>
      <c r="C95" s="132" t="s">
        <v>67</v>
      </c>
      <c r="D95">
        <v>2019</v>
      </c>
      <c r="E95" s="57">
        <v>2670</v>
      </c>
      <c r="F95" s="57">
        <v>1575</v>
      </c>
      <c r="G95" s="84">
        <f t="shared" si="2"/>
        <v>0.69523809523809521</v>
      </c>
    </row>
    <row r="96" spans="1:7" x14ac:dyDescent="0.25">
      <c r="A96" s="129"/>
      <c r="B96" s="131"/>
      <c r="C96" s="133"/>
      <c r="D96">
        <v>2020</v>
      </c>
      <c r="E96" s="57">
        <v>2730</v>
      </c>
      <c r="F96" s="59">
        <f>E95</f>
        <v>2670</v>
      </c>
      <c r="G96" s="84">
        <f t="shared" si="2"/>
        <v>2.247191011235955E-2</v>
      </c>
    </row>
    <row r="97" spans="1:7" x14ac:dyDescent="0.25">
      <c r="A97" s="129"/>
      <c r="B97" s="131"/>
      <c r="C97" s="133"/>
      <c r="D97">
        <v>2021</v>
      </c>
      <c r="E97" s="57">
        <v>2260</v>
      </c>
      <c r="F97" s="59">
        <f>E96</f>
        <v>2730</v>
      </c>
      <c r="G97" s="84">
        <f t="shared" si="2"/>
        <v>-0.17216117216117216</v>
      </c>
    </row>
    <row r="98" spans="1:7" ht="15.75" thickBot="1" x14ac:dyDescent="0.3">
      <c r="A98" s="134"/>
      <c r="B98" s="135"/>
      <c r="C98" s="136"/>
      <c r="D98" s="159">
        <v>2022</v>
      </c>
      <c r="E98" s="60">
        <v>3190</v>
      </c>
      <c r="F98" s="163">
        <f>E97</f>
        <v>2260</v>
      </c>
      <c r="G98" s="84">
        <f t="shared" si="2"/>
        <v>0.41150442477876104</v>
      </c>
    </row>
    <row r="99" spans="1:7" x14ac:dyDescent="0.25">
      <c r="A99" s="128">
        <v>25</v>
      </c>
      <c r="B99" s="130" t="s">
        <v>68</v>
      </c>
      <c r="C99" s="132">
        <v>37299</v>
      </c>
      <c r="D99">
        <v>2019</v>
      </c>
      <c r="E99" s="57">
        <v>2660</v>
      </c>
      <c r="F99" s="57">
        <v>4300</v>
      </c>
      <c r="G99" s="84">
        <f t="shared" si="2"/>
        <v>-0.38139534883720932</v>
      </c>
    </row>
    <row r="100" spans="1:7" x14ac:dyDescent="0.25">
      <c r="A100" s="129"/>
      <c r="B100" s="131"/>
      <c r="C100" s="133"/>
      <c r="D100">
        <v>2020</v>
      </c>
      <c r="E100" s="57">
        <v>2810</v>
      </c>
      <c r="F100" s="59">
        <f>E99</f>
        <v>2660</v>
      </c>
      <c r="G100" s="84">
        <f t="shared" si="2"/>
        <v>5.6390977443609019E-2</v>
      </c>
    </row>
    <row r="101" spans="1:7" x14ac:dyDescent="0.25">
      <c r="A101" s="129"/>
      <c r="B101" s="131"/>
      <c r="C101" s="133"/>
      <c r="D101">
        <v>2021</v>
      </c>
      <c r="E101" s="57">
        <v>2710</v>
      </c>
      <c r="F101" s="59">
        <f>E100</f>
        <v>2810</v>
      </c>
      <c r="G101" s="84">
        <f t="shared" si="2"/>
        <v>-3.5587188612099648E-2</v>
      </c>
    </row>
    <row r="102" spans="1:7" ht="15.75" thickBot="1" x14ac:dyDescent="0.3">
      <c r="A102" s="134"/>
      <c r="B102" s="135"/>
      <c r="C102" s="136"/>
      <c r="D102" s="159">
        <v>2022</v>
      </c>
      <c r="E102" s="60">
        <v>3690</v>
      </c>
      <c r="F102" s="163">
        <f>E101</f>
        <v>2710</v>
      </c>
      <c r="G102" s="84">
        <f t="shared" si="2"/>
        <v>0.36162361623616235</v>
      </c>
    </row>
    <row r="103" spans="1:7" x14ac:dyDescent="0.25">
      <c r="A103" s="128">
        <v>26</v>
      </c>
      <c r="B103" s="130" t="s">
        <v>69</v>
      </c>
      <c r="C103" s="132">
        <v>40423</v>
      </c>
      <c r="D103">
        <v>2019</v>
      </c>
      <c r="E103" s="57">
        <v>1585</v>
      </c>
      <c r="F103" s="57">
        <v>1805</v>
      </c>
      <c r="G103" s="84">
        <f t="shared" si="2"/>
        <v>-0.12188365650969529</v>
      </c>
    </row>
    <row r="104" spans="1:7" x14ac:dyDescent="0.25">
      <c r="A104" s="129"/>
      <c r="B104" s="131"/>
      <c r="C104" s="133"/>
      <c r="D104">
        <v>2020</v>
      </c>
      <c r="E104" s="57">
        <v>1865</v>
      </c>
      <c r="F104" s="59">
        <f>E103</f>
        <v>1585</v>
      </c>
      <c r="G104" s="84">
        <f t="shared" si="2"/>
        <v>0.17665615141955837</v>
      </c>
    </row>
    <row r="105" spans="1:7" x14ac:dyDescent="0.25">
      <c r="A105" s="129"/>
      <c r="B105" s="131"/>
      <c r="C105" s="133"/>
      <c r="D105">
        <v>2021</v>
      </c>
      <c r="E105" s="57">
        <v>990</v>
      </c>
      <c r="F105" s="59">
        <f>E104</f>
        <v>1865</v>
      </c>
      <c r="G105" s="84">
        <f t="shared" si="2"/>
        <v>-0.46916890080428952</v>
      </c>
    </row>
    <row r="106" spans="1:7" ht="15.75" thickBot="1" x14ac:dyDescent="0.3">
      <c r="A106" s="134"/>
      <c r="B106" s="135"/>
      <c r="C106" s="136"/>
      <c r="D106" s="159">
        <v>2022</v>
      </c>
      <c r="E106" s="60">
        <v>715</v>
      </c>
      <c r="F106" s="163">
        <f>E105</f>
        <v>990</v>
      </c>
      <c r="G106" s="84">
        <f t="shared" si="2"/>
        <v>-0.27777777777777779</v>
      </c>
    </row>
    <row r="107" spans="1:7" x14ac:dyDescent="0.25">
      <c r="A107" s="128">
        <v>27</v>
      </c>
      <c r="B107" s="130" t="s">
        <v>29</v>
      </c>
      <c r="C107" s="132">
        <v>33457</v>
      </c>
      <c r="D107">
        <v>2019</v>
      </c>
      <c r="E107" s="57">
        <v>11966.706055000001</v>
      </c>
      <c r="F107" s="161">
        <v>11468.09375</v>
      </c>
      <c r="G107" s="84">
        <f t="shared" si="2"/>
        <v>4.3478220170636517E-2</v>
      </c>
    </row>
    <row r="108" spans="1:7" x14ac:dyDescent="0.25">
      <c r="A108" s="129"/>
      <c r="B108" s="131"/>
      <c r="C108" s="133"/>
      <c r="D108">
        <v>2020</v>
      </c>
      <c r="E108" s="57">
        <v>12390.527344</v>
      </c>
      <c r="F108" s="59">
        <f>E107</f>
        <v>11966.706055000001</v>
      </c>
      <c r="G108" s="84">
        <f t="shared" si="2"/>
        <v>3.5416704233569435E-2</v>
      </c>
    </row>
    <row r="109" spans="1:7" x14ac:dyDescent="0.25">
      <c r="A109" s="129"/>
      <c r="B109" s="131"/>
      <c r="C109" s="133"/>
      <c r="D109">
        <v>2021</v>
      </c>
      <c r="E109" s="57">
        <v>7229.8847660000001</v>
      </c>
      <c r="F109" s="59">
        <f>E108</f>
        <v>12390.527344</v>
      </c>
      <c r="G109" s="84">
        <f t="shared" si="2"/>
        <v>-0.41649902661318078</v>
      </c>
    </row>
    <row r="110" spans="1:7" ht="15.75" thickBot="1" x14ac:dyDescent="0.3">
      <c r="A110" s="134"/>
      <c r="B110" s="135"/>
      <c r="C110" s="136"/>
      <c r="D110" s="159">
        <v>2022</v>
      </c>
      <c r="E110" s="60">
        <v>6575</v>
      </c>
      <c r="F110" s="59">
        <f>E109</f>
        <v>7229.8847660000001</v>
      </c>
      <c r="G110" s="84">
        <f t="shared" si="2"/>
        <v>-9.0580249505459426E-2</v>
      </c>
    </row>
    <row r="111" spans="1:7" x14ac:dyDescent="0.25">
      <c r="A111" s="128">
        <v>28</v>
      </c>
      <c r="B111" s="130" t="s">
        <v>30</v>
      </c>
      <c r="C111" s="132" t="s">
        <v>31</v>
      </c>
      <c r="D111">
        <v>2019</v>
      </c>
      <c r="E111" s="57">
        <v>3970</v>
      </c>
      <c r="F111" s="58">
        <v>3750</v>
      </c>
      <c r="G111" s="84">
        <f t="shared" si="2"/>
        <v>5.8666666666666666E-2</v>
      </c>
    </row>
    <row r="112" spans="1:7" x14ac:dyDescent="0.25">
      <c r="A112" s="129"/>
      <c r="B112" s="131"/>
      <c r="C112" s="133"/>
      <c r="D112">
        <v>2020</v>
      </c>
      <c r="E112" s="57">
        <v>3310</v>
      </c>
      <c r="F112" s="59">
        <f>E111</f>
        <v>3970</v>
      </c>
      <c r="G112" s="84">
        <f t="shared" si="2"/>
        <v>-0.16624685138539042</v>
      </c>
    </row>
    <row r="113" spans="1:7" x14ac:dyDescent="0.25">
      <c r="A113" s="129"/>
      <c r="B113" s="131"/>
      <c r="C113" s="133"/>
      <c r="D113">
        <v>2021</v>
      </c>
      <c r="E113" s="57">
        <v>4040</v>
      </c>
      <c r="F113" s="59">
        <f>E112</f>
        <v>3310</v>
      </c>
      <c r="G113" s="84">
        <f t="shared" si="2"/>
        <v>0.22054380664652568</v>
      </c>
    </row>
    <row r="114" spans="1:7" ht="15.75" thickBot="1" x14ac:dyDescent="0.3">
      <c r="A114" s="134"/>
      <c r="B114" s="135"/>
      <c r="C114" s="136"/>
      <c r="D114" s="159">
        <v>2022</v>
      </c>
      <c r="E114" s="60">
        <v>3750</v>
      </c>
      <c r="F114" s="163">
        <f>E113</f>
        <v>4040</v>
      </c>
      <c r="G114" s="84">
        <f t="shared" si="2"/>
        <v>-7.1782178217821777E-2</v>
      </c>
    </row>
  </sheetData>
  <mergeCells count="89">
    <mergeCell ref="A107:A110"/>
    <mergeCell ref="B107:B110"/>
    <mergeCell ref="C107:C110"/>
    <mergeCell ref="A111:A114"/>
    <mergeCell ref="B111:B114"/>
    <mergeCell ref="C111:C114"/>
    <mergeCell ref="A99:A102"/>
    <mergeCell ref="B99:B102"/>
    <mergeCell ref="C99:C102"/>
    <mergeCell ref="A103:A106"/>
    <mergeCell ref="B103:B106"/>
    <mergeCell ref="C103:C106"/>
    <mergeCell ref="A91:A94"/>
    <mergeCell ref="B91:B94"/>
    <mergeCell ref="C91:C94"/>
    <mergeCell ref="A95:A98"/>
    <mergeCell ref="B95:B98"/>
    <mergeCell ref="C95:C98"/>
    <mergeCell ref="A83:A86"/>
    <mergeCell ref="B83:B86"/>
    <mergeCell ref="C83:C86"/>
    <mergeCell ref="A87:A90"/>
    <mergeCell ref="B87:B90"/>
    <mergeCell ref="C87:C90"/>
    <mergeCell ref="A75:A78"/>
    <mergeCell ref="B75:B78"/>
    <mergeCell ref="C75:C78"/>
    <mergeCell ref="A79:A82"/>
    <mergeCell ref="B79:B82"/>
    <mergeCell ref="C79:C82"/>
    <mergeCell ref="A67:A70"/>
    <mergeCell ref="B67:B70"/>
    <mergeCell ref="C67:C70"/>
    <mergeCell ref="A71:A74"/>
    <mergeCell ref="B71:B74"/>
    <mergeCell ref="C71:C74"/>
    <mergeCell ref="A59:A62"/>
    <mergeCell ref="B59:B62"/>
    <mergeCell ref="C59:C62"/>
    <mergeCell ref="A63:A66"/>
    <mergeCell ref="B63:B66"/>
    <mergeCell ref="C63:C66"/>
    <mergeCell ref="A51:A54"/>
    <mergeCell ref="B51:B54"/>
    <mergeCell ref="C51:C54"/>
    <mergeCell ref="A55:A58"/>
    <mergeCell ref="B55:B58"/>
    <mergeCell ref="C55:C58"/>
    <mergeCell ref="A3:A6"/>
    <mergeCell ref="B3:B6"/>
    <mergeCell ref="C3:C6"/>
    <mergeCell ref="A47:A50"/>
    <mergeCell ref="B47:B50"/>
    <mergeCell ref="C47:C50"/>
    <mergeCell ref="A1:A2"/>
    <mergeCell ref="B1:B2"/>
    <mergeCell ref="C1:C2"/>
    <mergeCell ref="D1:D2"/>
    <mergeCell ref="E1:G1"/>
    <mergeCell ref="A7:A10"/>
    <mergeCell ref="B7:B10"/>
    <mergeCell ref="C7:C10"/>
    <mergeCell ref="A11:A14"/>
    <mergeCell ref="B11:B14"/>
    <mergeCell ref="C11:C14"/>
    <mergeCell ref="A15:A18"/>
    <mergeCell ref="B15:B18"/>
    <mergeCell ref="C15:C18"/>
    <mergeCell ref="A19:A22"/>
    <mergeCell ref="B19:B22"/>
    <mergeCell ref="C19:C22"/>
    <mergeCell ref="A23:A26"/>
    <mergeCell ref="B23:B26"/>
    <mergeCell ref="C23:C26"/>
    <mergeCell ref="A35:A38"/>
    <mergeCell ref="B35:B38"/>
    <mergeCell ref="C35:C38"/>
    <mergeCell ref="A39:A42"/>
    <mergeCell ref="B39:B42"/>
    <mergeCell ref="C39:C42"/>
    <mergeCell ref="A43:A46"/>
    <mergeCell ref="B43:B46"/>
    <mergeCell ref="C43:C46"/>
    <mergeCell ref="A27:A30"/>
    <mergeCell ref="B27:B30"/>
    <mergeCell ref="C27:C30"/>
    <mergeCell ref="A31:A34"/>
    <mergeCell ref="B31:B34"/>
    <mergeCell ref="C31:C3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8</vt:i4>
      </vt:variant>
    </vt:vector>
  </HeadingPairs>
  <TitlesOfParts>
    <vt:vector size="8" baseType="lpstr">
      <vt:lpstr>Beta BC</vt:lpstr>
      <vt:lpstr>EPS BC</vt:lpstr>
      <vt:lpstr>LA BC</vt:lpstr>
      <vt:lpstr>Return BC</vt:lpstr>
      <vt:lpstr>Beta LQ</vt:lpstr>
      <vt:lpstr>EPS LQ</vt:lpstr>
      <vt:lpstr>LA LQ</vt:lpstr>
      <vt:lpstr>Return LQ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Landra Kharisma</dc:creator>
  <cp:lastModifiedBy>Software Solution</cp:lastModifiedBy>
  <dcterms:created xsi:type="dcterms:W3CDTF">2015-06-05T18:17:20Z</dcterms:created>
  <dcterms:modified xsi:type="dcterms:W3CDTF">2024-05-23T04:20:57Z</dcterms:modified>
</cp:coreProperties>
</file>