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720" yWindow="765" windowWidth="19635" windowHeight="6345" activeTab="3"/>
  </bookViews>
  <sheets>
    <sheet name="LD 14 HST" sheetId="1" r:id="rId1"/>
    <sheet name=" LD 21 HST" sheetId="2" r:id="rId2"/>
    <sheet name="LD 28 HST" sheetId="3" r:id="rId3"/>
    <sheet name="LD 35 HST" sheetId="4" r:id="rId4"/>
  </sheets>
  <calcPr calcId="144525"/>
</workbook>
</file>

<file path=xl/calcChain.xml><?xml version="1.0" encoding="utf-8"?>
<calcChain xmlns="http://schemas.openxmlformats.org/spreadsheetml/2006/main">
  <c r="S28" i="3" l="1"/>
  <c r="R22" i="1" l="1"/>
  <c r="Q22" i="1"/>
  <c r="L23" i="1" l="1"/>
  <c r="X29" i="3"/>
  <c r="X28" i="3"/>
  <c r="V29" i="3"/>
  <c r="V28" i="3"/>
  <c r="T29" i="3"/>
  <c r="T28" i="3"/>
  <c r="S29" i="3"/>
  <c r="J42" i="3"/>
  <c r="J41" i="3"/>
  <c r="J40" i="3"/>
  <c r="J39" i="3"/>
  <c r="J37" i="3"/>
  <c r="J36" i="3"/>
  <c r="J35" i="3"/>
  <c r="J34" i="3"/>
  <c r="R33" i="3"/>
  <c r="L40" i="3" s="1"/>
  <c r="L35" i="3"/>
  <c r="U39" i="3"/>
  <c r="U38" i="3"/>
  <c r="X32" i="3"/>
  <c r="X31" i="3"/>
  <c r="V32" i="3"/>
  <c r="V31" i="3"/>
  <c r="T32" i="3"/>
  <c r="T31" i="3"/>
  <c r="R32" i="3"/>
  <c r="R31" i="3"/>
  <c r="R39" i="3"/>
  <c r="R38" i="3"/>
  <c r="N34" i="3"/>
  <c r="N33" i="3"/>
  <c r="N32" i="3"/>
  <c r="N31" i="3"/>
  <c r="O39" i="3"/>
  <c r="O38" i="3"/>
  <c r="L39" i="3"/>
  <c r="L38" i="3"/>
  <c r="L34" i="3"/>
  <c r="L33" i="3"/>
  <c r="L32" i="3"/>
  <c r="L31" i="3"/>
  <c r="X38" i="3"/>
  <c r="L24" i="4"/>
  <c r="L23" i="4"/>
  <c r="L22" i="4"/>
  <c r="L28" i="2"/>
  <c r="L25" i="2"/>
  <c r="L24" i="2"/>
  <c r="L26" i="2" s="1"/>
  <c r="L23" i="2"/>
  <c r="L22" i="2"/>
  <c r="L28" i="4"/>
  <c r="L27" i="4" s="1"/>
  <c r="L25" i="4"/>
  <c r="R25" i="4" s="1"/>
  <c r="Q24" i="4"/>
  <c r="R23" i="4"/>
  <c r="Q22" i="4"/>
  <c r="R26" i="3"/>
  <c r="R22" i="3"/>
  <c r="Q22" i="3"/>
  <c r="O26" i="3"/>
  <c r="O25" i="3"/>
  <c r="O24" i="3"/>
  <c r="O23" i="3"/>
  <c r="O22" i="3"/>
  <c r="N22" i="3"/>
  <c r="N27" i="3"/>
  <c r="N26" i="3"/>
  <c r="N25" i="3"/>
  <c r="N24" i="3"/>
  <c r="N23" i="3"/>
  <c r="M28" i="3"/>
  <c r="M26" i="3"/>
  <c r="M25" i="3"/>
  <c r="M24" i="3"/>
  <c r="M23" i="3"/>
  <c r="M22" i="3"/>
  <c r="L18" i="3"/>
  <c r="L28" i="3"/>
  <c r="L27" i="3" s="1"/>
  <c r="L25" i="3"/>
  <c r="R25" i="3" s="1"/>
  <c r="L24" i="3"/>
  <c r="Q24" i="3" s="1"/>
  <c r="L23" i="3"/>
  <c r="R23" i="3" s="1"/>
  <c r="L22" i="3"/>
  <c r="L27" i="2" l="1"/>
  <c r="R24" i="2"/>
  <c r="Q25" i="4"/>
  <c r="Q23" i="4"/>
  <c r="R22" i="4"/>
  <c r="R24" i="4"/>
  <c r="L26" i="4"/>
  <c r="M27" i="3"/>
  <c r="P25" i="3" s="1"/>
  <c r="Q23" i="3"/>
  <c r="Q25" i="3"/>
  <c r="L26" i="3"/>
  <c r="R24" i="3"/>
  <c r="Q24" i="2" l="1"/>
  <c r="Q22" i="2"/>
  <c r="R25" i="2"/>
  <c r="Q26" i="2"/>
  <c r="R23" i="2"/>
  <c r="Q23" i="2"/>
  <c r="Q25" i="2"/>
  <c r="R26" i="2"/>
  <c r="R22" i="2"/>
  <c r="Q26" i="4"/>
  <c r="R26" i="4"/>
  <c r="P23" i="3"/>
  <c r="P24" i="3"/>
  <c r="P22" i="3"/>
  <c r="Q26" i="3"/>
  <c r="P26" i="3" l="1"/>
  <c r="E27" i="4" l="1"/>
  <c r="F25" i="4"/>
  <c r="F33" i="4" s="1"/>
  <c r="F24" i="4"/>
  <c r="E34" i="4" s="1"/>
  <c r="F22" i="4"/>
  <c r="D34" i="4" s="1"/>
  <c r="G21" i="4"/>
  <c r="G20" i="4"/>
  <c r="F19" i="4"/>
  <c r="C33" i="4" s="1"/>
  <c r="E28" i="3"/>
  <c r="D28" i="3"/>
  <c r="C28" i="3"/>
  <c r="E27" i="3"/>
  <c r="D27" i="3"/>
  <c r="C27" i="3"/>
  <c r="G26" i="3"/>
  <c r="F26" i="3"/>
  <c r="F34" i="3" s="1"/>
  <c r="G25" i="3"/>
  <c r="F25" i="3"/>
  <c r="F33" i="3" s="1"/>
  <c r="F35" i="3" s="1"/>
  <c r="F36" i="3" s="1"/>
  <c r="G24" i="3"/>
  <c r="F24" i="3"/>
  <c r="E34" i="3" s="1"/>
  <c r="G23" i="3"/>
  <c r="F23" i="3"/>
  <c r="E33" i="3" s="1"/>
  <c r="E35" i="3" s="1"/>
  <c r="E36" i="3" s="1"/>
  <c r="G22" i="3"/>
  <c r="F22" i="3"/>
  <c r="D34" i="3" s="1"/>
  <c r="G21" i="3"/>
  <c r="F21" i="3"/>
  <c r="D33" i="3" s="1"/>
  <c r="D35" i="3" s="1"/>
  <c r="D36" i="3" s="1"/>
  <c r="G20" i="3"/>
  <c r="F20" i="3"/>
  <c r="C34" i="3" s="1"/>
  <c r="G34" i="3" s="1"/>
  <c r="H34" i="3" s="1"/>
  <c r="G19" i="3"/>
  <c r="F19" i="3"/>
  <c r="C33" i="3" s="1"/>
  <c r="G24" i="2"/>
  <c r="F24" i="2"/>
  <c r="E34" i="2" s="1"/>
  <c r="G23" i="2"/>
  <c r="F23" i="2"/>
  <c r="E33" i="2" s="1"/>
  <c r="E35" i="2" s="1"/>
  <c r="E36" i="2" s="1"/>
  <c r="G20" i="2"/>
  <c r="F20" i="2"/>
  <c r="C34" i="2" s="1"/>
  <c r="G26" i="2"/>
  <c r="E27" i="2"/>
  <c r="D27" i="2"/>
  <c r="G22" i="2"/>
  <c r="G21" i="2"/>
  <c r="L28" i="1"/>
  <c r="L25" i="1"/>
  <c r="L24" i="1"/>
  <c r="G23" i="1"/>
  <c r="G30" i="1" s="1"/>
  <c r="L22" i="1"/>
  <c r="G20" i="1"/>
  <c r="F29" i="1" s="1"/>
  <c r="G24" i="4" l="1"/>
  <c r="V32" i="4" s="1"/>
  <c r="E28" i="4"/>
  <c r="G26" i="4"/>
  <c r="N34" i="4" s="1"/>
  <c r="F20" i="4"/>
  <c r="C34" i="4" s="1"/>
  <c r="C35" i="4" s="1"/>
  <c r="G22" i="4"/>
  <c r="O39" i="4" s="1"/>
  <c r="G25" i="4"/>
  <c r="X31" i="4" s="1"/>
  <c r="D28" i="4"/>
  <c r="F23" i="4"/>
  <c r="E33" i="4" s="1"/>
  <c r="E35" i="4" s="1"/>
  <c r="E36" i="4" s="1"/>
  <c r="D27" i="4"/>
  <c r="F26" i="4"/>
  <c r="F34" i="4" s="1"/>
  <c r="F35" i="4" s="1"/>
  <c r="F36" i="4" s="1"/>
  <c r="G19" i="4"/>
  <c r="L38" i="4" s="1"/>
  <c r="G23" i="4"/>
  <c r="V31" i="4" s="1"/>
  <c r="T31" i="4"/>
  <c r="L32" i="4"/>
  <c r="O38" i="4"/>
  <c r="F21" i="4"/>
  <c r="D33" i="4" s="1"/>
  <c r="D35" i="4" s="1"/>
  <c r="D36" i="4" s="1"/>
  <c r="C28" i="4"/>
  <c r="C27" i="4"/>
  <c r="E28" i="2"/>
  <c r="D28" i="2"/>
  <c r="F25" i="2"/>
  <c r="F33" i="2" s="1"/>
  <c r="G25" i="2"/>
  <c r="L34" i="2" s="1"/>
  <c r="F26" i="2"/>
  <c r="F34" i="2" s="1"/>
  <c r="F35" i="2" s="1"/>
  <c r="F36" i="2" s="1"/>
  <c r="F21" i="2"/>
  <c r="D33" i="2" s="1"/>
  <c r="C28" i="2"/>
  <c r="F22" i="2"/>
  <c r="D34" i="2" s="1"/>
  <c r="F19" i="2"/>
  <c r="C33" i="2" s="1"/>
  <c r="C27" i="2"/>
  <c r="G19" i="2"/>
  <c r="L38" i="2" s="1"/>
  <c r="L39" i="4"/>
  <c r="R32" i="4"/>
  <c r="N31" i="4"/>
  <c r="R39" i="4"/>
  <c r="X32" i="2"/>
  <c r="N34" i="2"/>
  <c r="U39" i="2"/>
  <c r="X31" i="2"/>
  <c r="V32" i="2"/>
  <c r="R39" i="2"/>
  <c r="N33" i="2"/>
  <c r="V31" i="2"/>
  <c r="R38" i="2"/>
  <c r="L33" i="2"/>
  <c r="T32" i="2"/>
  <c r="N32" i="2"/>
  <c r="O39" i="2"/>
  <c r="L32" i="2"/>
  <c r="T31" i="2"/>
  <c r="O38" i="2"/>
  <c r="L39" i="2"/>
  <c r="R32" i="2"/>
  <c r="N31" i="2"/>
  <c r="L26" i="1"/>
  <c r="L27" i="1"/>
  <c r="D35" i="2"/>
  <c r="D36" i="2" s="1"/>
  <c r="G21" i="1"/>
  <c r="F30" i="1" s="1"/>
  <c r="F31" i="1" s="1"/>
  <c r="F32" i="1" s="1"/>
  <c r="N37" i="1" s="1"/>
  <c r="G19" i="1"/>
  <c r="E30" i="1" s="1"/>
  <c r="H17" i="1"/>
  <c r="F25" i="1"/>
  <c r="E25" i="1"/>
  <c r="H23" i="1"/>
  <c r="H22" i="1"/>
  <c r="H20" i="1"/>
  <c r="G18" i="1"/>
  <c r="E29" i="1" s="1"/>
  <c r="E24" i="1"/>
  <c r="G22" i="1"/>
  <c r="G29" i="1" s="1"/>
  <c r="G31" i="1" s="1"/>
  <c r="G32" i="1" s="1"/>
  <c r="N38" i="1" s="1"/>
  <c r="D25" i="1"/>
  <c r="C35" i="3"/>
  <c r="G33" i="3"/>
  <c r="H33" i="3" s="1"/>
  <c r="F27" i="3"/>
  <c r="R26" i="1"/>
  <c r="H16" i="1"/>
  <c r="G17" i="1"/>
  <c r="D30" i="1" s="1"/>
  <c r="H18" i="1"/>
  <c r="H19" i="1"/>
  <c r="H21" i="1"/>
  <c r="G16" i="1"/>
  <c r="D24" i="1"/>
  <c r="F24" i="1"/>
  <c r="N33" i="4" l="1"/>
  <c r="R31" i="2"/>
  <c r="G34" i="2"/>
  <c r="H34" i="2" s="1"/>
  <c r="U39" i="4"/>
  <c r="X32" i="4"/>
  <c r="L31" i="4"/>
  <c r="R31" i="4"/>
  <c r="N32" i="4"/>
  <c r="T32" i="4"/>
  <c r="L34" i="4"/>
  <c r="U38" i="4"/>
  <c r="F27" i="4"/>
  <c r="L18" i="4" s="1"/>
  <c r="M25" i="4" s="1"/>
  <c r="N25" i="4" s="1"/>
  <c r="G33" i="4"/>
  <c r="H33" i="4" s="1"/>
  <c r="G34" i="4"/>
  <c r="H34" i="4" s="1"/>
  <c r="R38" i="4"/>
  <c r="L33" i="4"/>
  <c r="U38" i="2"/>
  <c r="G33" i="2"/>
  <c r="H33" i="2" s="1"/>
  <c r="F27" i="2"/>
  <c r="L18" i="2" s="1"/>
  <c r="C35" i="2"/>
  <c r="G35" i="2" s="1"/>
  <c r="L31" i="2"/>
  <c r="M23" i="4"/>
  <c r="Q23" i="1"/>
  <c r="Q24" i="1"/>
  <c r="R23" i="1"/>
  <c r="Q26" i="1"/>
  <c r="R24" i="1"/>
  <c r="Q25" i="1"/>
  <c r="R25" i="1"/>
  <c r="H30" i="1"/>
  <c r="I30" i="1" s="1"/>
  <c r="N33" i="1" s="1"/>
  <c r="E31" i="1"/>
  <c r="E32" i="1" s="1"/>
  <c r="N36" i="1" s="1"/>
  <c r="G35" i="4"/>
  <c r="C36" i="4"/>
  <c r="G35" i="3"/>
  <c r="C36" i="3"/>
  <c r="D29" i="1"/>
  <c r="G24" i="1"/>
  <c r="L18" i="1" s="1"/>
  <c r="M25" i="2" l="1"/>
  <c r="N25" i="2" s="1"/>
  <c r="M28" i="4"/>
  <c r="M22" i="4"/>
  <c r="N22" i="4" s="1"/>
  <c r="M24" i="4"/>
  <c r="N24" i="4" s="1"/>
  <c r="M22" i="2"/>
  <c r="N22" i="2" s="1"/>
  <c r="M28" i="2"/>
  <c r="M24" i="2"/>
  <c r="N24" i="2" s="1"/>
  <c r="M23" i="2"/>
  <c r="C36" i="2"/>
  <c r="N23" i="4"/>
  <c r="N23" i="2"/>
  <c r="D31" i="1"/>
  <c r="M25" i="1" s="1"/>
  <c r="H29" i="1"/>
  <c r="I29" i="1" s="1"/>
  <c r="N32" i="1" s="1"/>
  <c r="M28" i="1"/>
  <c r="M23" i="1"/>
  <c r="M22" i="1"/>
  <c r="N22" i="1" s="1"/>
  <c r="M27" i="4" l="1"/>
  <c r="N27" i="4" s="1"/>
  <c r="O23" i="4" s="1"/>
  <c r="P23" i="4" s="1"/>
  <c r="M26" i="4"/>
  <c r="N26" i="4" s="1"/>
  <c r="M27" i="2"/>
  <c r="N27" i="2" s="1"/>
  <c r="O24" i="2" s="1"/>
  <c r="P24" i="2" s="1"/>
  <c r="M26" i="2"/>
  <c r="N26" i="2" s="1"/>
  <c r="R33" i="4"/>
  <c r="M24" i="1"/>
  <c r="M26" i="1" s="1"/>
  <c r="N25" i="1"/>
  <c r="M27" i="1"/>
  <c r="N27" i="1" s="1"/>
  <c r="O22" i="1" s="1"/>
  <c r="N23" i="1"/>
  <c r="H31" i="1"/>
  <c r="D32" i="1"/>
  <c r="N35" i="1" s="1"/>
  <c r="O22" i="4" l="1"/>
  <c r="P22" i="4" s="1"/>
  <c r="O26" i="4"/>
  <c r="P26" i="4" s="1"/>
  <c r="O24" i="4"/>
  <c r="P24" i="4" s="1"/>
  <c r="L35" i="4"/>
  <c r="X38" i="4" s="1"/>
  <c r="O25" i="4"/>
  <c r="P25" i="4" s="1"/>
  <c r="O22" i="2"/>
  <c r="P22" i="2" s="1"/>
  <c r="L35" i="2"/>
  <c r="I39" i="2" s="1"/>
  <c r="O23" i="2"/>
  <c r="P23" i="2" s="1"/>
  <c r="R33" i="2"/>
  <c r="O25" i="2"/>
  <c r="P25" i="2" s="1"/>
  <c r="I41" i="2"/>
  <c r="O26" i="2"/>
  <c r="P26" i="2" s="1"/>
  <c r="I45" i="4"/>
  <c r="I40" i="4"/>
  <c r="I44" i="4"/>
  <c r="I39" i="4"/>
  <c r="L40" i="4"/>
  <c r="X29" i="4"/>
  <c r="V29" i="4"/>
  <c r="T29" i="4"/>
  <c r="S29" i="4"/>
  <c r="X28" i="4"/>
  <c r="V28" i="4"/>
  <c r="T28" i="4"/>
  <c r="S28" i="4"/>
  <c r="T29" i="2"/>
  <c r="V28" i="2"/>
  <c r="H39" i="2"/>
  <c r="X38" i="2"/>
  <c r="N24" i="1"/>
  <c r="P22" i="1"/>
  <c r="O25" i="1"/>
  <c r="P25" i="1" s="1"/>
  <c r="N26" i="1"/>
  <c r="O26" i="1" s="1"/>
  <c r="P26" i="1" s="1"/>
  <c r="O24" i="1"/>
  <c r="P24" i="1" s="1"/>
  <c r="O23" i="1"/>
  <c r="P23" i="1" s="1"/>
  <c r="I37" i="4" l="1"/>
  <c r="I42" i="4"/>
  <c r="I38" i="4"/>
  <c r="I43" i="4"/>
  <c r="V29" i="2"/>
  <c r="X29" i="2"/>
  <c r="X28" i="2"/>
  <c r="S28" i="2"/>
  <c r="I38" i="2"/>
  <c r="L40" i="2"/>
  <c r="H38" i="2"/>
  <c r="H40" i="2"/>
  <c r="I40" i="2"/>
  <c r="H41" i="2"/>
  <c r="S29" i="2"/>
  <c r="T28" i="2"/>
</calcChain>
</file>

<file path=xl/sharedStrings.xml><?xml version="1.0" encoding="utf-8"?>
<sst xmlns="http://schemas.openxmlformats.org/spreadsheetml/2006/main" count="383" uniqueCount="63">
  <si>
    <t xml:space="preserve">Perlakuan </t>
  </si>
  <si>
    <t>rerata</t>
  </si>
  <si>
    <t>I</t>
  </si>
  <si>
    <t>II</t>
  </si>
  <si>
    <t>III</t>
  </si>
  <si>
    <t>r</t>
  </si>
  <si>
    <t>p</t>
  </si>
  <si>
    <t>t</t>
  </si>
  <si>
    <t>FK</t>
  </si>
  <si>
    <t>SK</t>
  </si>
  <si>
    <t>DB</t>
  </si>
  <si>
    <t>JK</t>
  </si>
  <si>
    <t>KT</t>
  </si>
  <si>
    <t>F HIT</t>
  </si>
  <si>
    <t>perlakuan</t>
  </si>
  <si>
    <t>jumlah</t>
  </si>
  <si>
    <t>T</t>
  </si>
  <si>
    <t>tabel dua arah</t>
  </si>
  <si>
    <t>P1</t>
  </si>
  <si>
    <t>P2</t>
  </si>
  <si>
    <t>P3</t>
  </si>
  <si>
    <t>P4</t>
  </si>
  <si>
    <t>Jumlah</t>
  </si>
  <si>
    <t>T1</t>
  </si>
  <si>
    <t>T2</t>
  </si>
  <si>
    <t>Data Rataan Luas Daun Umur 14 HST</t>
  </si>
  <si>
    <t>Perlakuan</t>
  </si>
  <si>
    <t>Rerata</t>
  </si>
  <si>
    <t>Notasi</t>
  </si>
  <si>
    <t>Total</t>
  </si>
  <si>
    <t>P</t>
  </si>
  <si>
    <t>TABEL DUA ARAH</t>
  </si>
  <si>
    <t xml:space="preserve">Jumlah </t>
  </si>
  <si>
    <t>Data Rataan Luas Daun Tanaman Pakcoy Umur 21 HST</t>
  </si>
  <si>
    <t>Data Rataan Luas Daun Tanaman Pakcoy Umur 28 HST</t>
  </si>
  <si>
    <t>Data Rataan Luas Daun Tanaman Pakcoy Umur 35 HST</t>
  </si>
  <si>
    <t>T1P1</t>
  </si>
  <si>
    <t>T2P1</t>
  </si>
  <si>
    <t>T1P2</t>
  </si>
  <si>
    <t>T2P2</t>
  </si>
  <si>
    <t>T1P3</t>
  </si>
  <si>
    <t>T2P3</t>
  </si>
  <si>
    <t>T1P4</t>
  </si>
  <si>
    <t>T2P4</t>
  </si>
  <si>
    <t>TP</t>
  </si>
  <si>
    <t>A</t>
  </si>
  <si>
    <t>a</t>
  </si>
  <si>
    <t>b</t>
  </si>
  <si>
    <t>B</t>
  </si>
  <si>
    <t>AB</t>
  </si>
  <si>
    <t>BNJ 5%</t>
  </si>
  <si>
    <t>BNJ</t>
  </si>
  <si>
    <t>sd (4,14)</t>
  </si>
  <si>
    <t>sd (2,14)</t>
  </si>
  <si>
    <t>UMUR 35 HST</t>
  </si>
  <si>
    <t>7 HST</t>
  </si>
  <si>
    <t>tn</t>
  </si>
  <si>
    <t>UMUR 21 HST</t>
  </si>
  <si>
    <t>UMUR 28 HST</t>
  </si>
  <si>
    <t>Galat</t>
  </si>
  <si>
    <t>Kelompok</t>
  </si>
  <si>
    <t>Rataan</t>
  </si>
  <si>
    <t>Ulangan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</si>
</sst>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0.0000"/>
    <numFmt numFmtId="165" formatCode="0.000"/>
    <numFmt numFmtId="166" formatCode="0.00000"/>
    <numFmt numFmtId="167" formatCode="0.0"/>
    <numFmt numFmtId="168" formatCode="#,##0.0000"/>
    <numFmt numFmtId="169" formatCode="#,##0.000"/>
  </numFmts>
  <fonts count="4" x14ac:knownFonts="1">
    <font>
      <sz val="11"/>
      <color theme="1"/>
      <name val="Calibri"/>
      <family val="2"/>
      <charset val="1"/>
      <scheme val="minor"/>
    </font>
    <font>
      <sz val="12"/>
      <color theme="1"/>
      <name val="Times New Roman"/>
      <family val="1"/>
    </font>
    <font>
      <sz val="11"/>
      <color theme="1"/>
      <name val="Times New Roman"/>
      <family val="1"/>
    </font>
    <font>
      <sz val="10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10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0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0" fillId="0" borderId="0" xfId="0" applyBorder="1"/>
    <xf numFmtId="0" fontId="0" fillId="0" borderId="0" xfId="0" applyFill="1" applyBorder="1"/>
    <xf numFmtId="2" fontId="0" fillId="0" borderId="0" xfId="0" applyNumberFormat="1"/>
    <xf numFmtId="0" fontId="0" fillId="0" borderId="3" xfId="0" applyBorder="1"/>
    <xf numFmtId="164" fontId="0" fillId="0" borderId="0" xfId="0" applyNumberFormat="1"/>
    <xf numFmtId="0" fontId="0" fillId="0" borderId="0" xfId="0" applyAlignment="1">
      <alignment horizontal="center" vertical="center"/>
    </xf>
    <xf numFmtId="0" fontId="0" fillId="0" borderId="4" xfId="0" applyBorder="1"/>
    <xf numFmtId="9" fontId="0" fillId="0" borderId="0" xfId="0" applyNumberFormat="1" applyFill="1" applyBorder="1"/>
    <xf numFmtId="2" fontId="0" fillId="0" borderId="0" xfId="0" applyNumberFormat="1" applyFill="1" applyBorder="1"/>
    <xf numFmtId="165" fontId="0" fillId="0" borderId="0" xfId="0" applyNumberFormat="1" applyFill="1" applyBorder="1"/>
    <xf numFmtId="9" fontId="0" fillId="0" borderId="0" xfId="0" applyNumberFormat="1" applyBorder="1"/>
    <xf numFmtId="2" fontId="0" fillId="0" borderId="0" xfId="0" applyNumberFormat="1" applyBorder="1"/>
    <xf numFmtId="166" fontId="0" fillId="0" borderId="0" xfId="0" applyNumberFormat="1" applyBorder="1"/>
    <xf numFmtId="165" fontId="0" fillId="0" borderId="0" xfId="0" applyNumberFormat="1" applyBorder="1"/>
    <xf numFmtId="0" fontId="0" fillId="0" borderId="3" xfId="0" applyFill="1" applyBorder="1" applyAlignment="1">
      <alignment horizontal="center"/>
    </xf>
    <xf numFmtId="0" fontId="0" fillId="0" borderId="5" xfId="0" applyBorder="1"/>
    <xf numFmtId="4" fontId="0" fillId="0" borderId="3" xfId="0" applyNumberFormat="1" applyBorder="1"/>
    <xf numFmtId="4" fontId="0" fillId="0" borderId="5" xfId="0" applyNumberFormat="1" applyBorder="1"/>
    <xf numFmtId="0" fontId="0" fillId="0" borderId="0" xfId="0" applyNumberFormat="1" applyAlignment="1"/>
    <xf numFmtId="0" fontId="0" fillId="0" borderId="0" xfId="0" applyAlignment="1"/>
    <xf numFmtId="168" fontId="0" fillId="0" borderId="0" xfId="0" applyNumberFormat="1"/>
    <xf numFmtId="169" fontId="0" fillId="0" borderId="0" xfId="0" applyNumberFormat="1"/>
    <xf numFmtId="169" fontId="0" fillId="0" borderId="0" xfId="0" applyNumberFormat="1" applyFill="1" applyBorder="1"/>
    <xf numFmtId="0" fontId="3" fillId="0" borderId="6" xfId="0" applyFont="1" applyBorder="1" applyAlignment="1">
      <alignment horizontal="center"/>
    </xf>
    <xf numFmtId="0" fontId="3" fillId="0" borderId="0" xfId="0" applyFont="1" applyAlignment="1">
      <alignment horizontal="center"/>
    </xf>
    <xf numFmtId="4" fontId="0" fillId="0" borderId="0" xfId="0" applyNumberForma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4" fontId="0" fillId="0" borderId="0" xfId="0" applyNumberFormat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4" fontId="3" fillId="0" borderId="0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center"/>
    </xf>
    <xf numFmtId="4" fontId="3" fillId="0" borderId="0" xfId="0" applyNumberFormat="1" applyFont="1" applyBorder="1" applyAlignment="1">
      <alignment horizontal="center"/>
    </xf>
    <xf numFmtId="0" fontId="3" fillId="0" borderId="2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9" fontId="0" fillId="0" borderId="3" xfId="0" applyNumberFormat="1" applyBorder="1" applyAlignment="1">
      <alignment horizontal="center" vertical="center"/>
    </xf>
    <xf numFmtId="2" fontId="0" fillId="0" borderId="3" xfId="0" applyNumberFormat="1" applyBorder="1" applyAlignment="1">
      <alignment horizontal="center" vertical="center"/>
    </xf>
    <xf numFmtId="164" fontId="0" fillId="0" borderId="3" xfId="0" applyNumberFormat="1" applyBorder="1" applyAlignment="1">
      <alignment horizontal="center" vertical="center"/>
    </xf>
    <xf numFmtId="165" fontId="0" fillId="0" borderId="3" xfId="0" applyNumberFormat="1" applyBorder="1" applyAlignment="1">
      <alignment horizontal="center" vertical="center"/>
    </xf>
    <xf numFmtId="167" fontId="0" fillId="0" borderId="3" xfId="0" applyNumberForma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9" fontId="3" fillId="0" borderId="3" xfId="0" applyNumberFormat="1" applyFont="1" applyBorder="1" applyAlignment="1">
      <alignment horizontal="center" vertical="center"/>
    </xf>
    <xf numFmtId="2" fontId="3" fillId="0" borderId="3" xfId="0" applyNumberFormat="1" applyFont="1" applyBorder="1" applyAlignment="1">
      <alignment horizontal="center" vertical="center"/>
    </xf>
    <xf numFmtId="164" fontId="3" fillId="0" borderId="3" xfId="0" applyNumberFormat="1" applyFont="1" applyBorder="1" applyAlignment="1">
      <alignment horizontal="center" vertical="center"/>
    </xf>
    <xf numFmtId="165" fontId="3" fillId="0" borderId="3" xfId="0" applyNumberFormat="1" applyFont="1" applyBorder="1" applyAlignment="1">
      <alignment horizontal="center" vertical="center"/>
    </xf>
    <xf numFmtId="167" fontId="3" fillId="0" borderId="3" xfId="0" applyNumberFormat="1" applyFont="1" applyBorder="1" applyAlignment="1">
      <alignment horizontal="center" vertical="center"/>
    </xf>
    <xf numFmtId="2" fontId="3" fillId="0" borderId="0" xfId="0" applyNumberFormat="1" applyFont="1" applyBorder="1" applyAlignment="1">
      <alignment horizontal="center" vertical="center"/>
    </xf>
    <xf numFmtId="2" fontId="3" fillId="0" borderId="2" xfId="0" applyNumberFormat="1" applyFont="1" applyBorder="1" applyAlignment="1">
      <alignment horizontal="center" vertical="center"/>
    </xf>
    <xf numFmtId="2" fontId="3" fillId="0" borderId="6" xfId="0" applyNumberFormat="1" applyFont="1" applyBorder="1" applyAlignment="1">
      <alignment horizontal="center" vertical="center"/>
    </xf>
    <xf numFmtId="4" fontId="3" fillId="0" borderId="2" xfId="0" applyNumberFormat="1" applyFont="1" applyBorder="1" applyAlignment="1">
      <alignment horizontal="center" vertical="center"/>
    </xf>
    <xf numFmtId="4" fontId="3" fillId="0" borderId="6" xfId="0" applyNumberFormat="1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2" xfId="0" applyFont="1" applyBorder="1" applyAlignment="1">
      <alignment horizontal="center"/>
    </xf>
    <xf numFmtId="0" fontId="3" fillId="0" borderId="1" xfId="0" applyFont="1" applyBorder="1"/>
    <xf numFmtId="0" fontId="3" fillId="0" borderId="6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2" fontId="3" fillId="0" borderId="0" xfId="0" applyNumberFormat="1" applyFont="1" applyBorder="1" applyAlignment="1">
      <alignment horizontal="center" vertical="center"/>
    </xf>
    <xf numFmtId="2" fontId="3" fillId="0" borderId="2" xfId="0" applyNumberFormat="1" applyFont="1" applyBorder="1" applyAlignment="1">
      <alignment horizontal="center" vertical="center"/>
    </xf>
    <xf numFmtId="165" fontId="3" fillId="0" borderId="6" xfId="0" applyNumberFormat="1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165" fontId="0" fillId="0" borderId="5" xfId="0" applyNumberFormat="1" applyBorder="1" applyAlignment="1">
      <alignment horizontal="center"/>
    </xf>
    <xf numFmtId="165" fontId="0" fillId="0" borderId="6" xfId="0" applyNumberFormat="1" applyBorder="1" applyAlignment="1">
      <alignment horizontal="center"/>
    </xf>
    <xf numFmtId="165" fontId="0" fillId="0" borderId="7" xfId="0" applyNumberFormat="1" applyBorder="1" applyAlignment="1">
      <alignment horizontal="center"/>
    </xf>
    <xf numFmtId="2" fontId="0" fillId="0" borderId="8" xfId="0" applyNumberFormat="1" applyBorder="1" applyAlignment="1">
      <alignment horizontal="center"/>
    </xf>
    <xf numFmtId="2" fontId="0" fillId="0" borderId="1" xfId="0" applyNumberFormat="1" applyBorder="1" applyAlignment="1">
      <alignment horizontal="center"/>
    </xf>
    <xf numFmtId="2" fontId="0" fillId="0" borderId="9" xfId="0" applyNumberFormat="1" applyBorder="1" applyAlignment="1">
      <alignment horizontal="center"/>
    </xf>
    <xf numFmtId="0" fontId="0" fillId="0" borderId="6" xfId="0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center"/>
    </xf>
    <xf numFmtId="164" fontId="0" fillId="0" borderId="8" xfId="0" applyNumberForma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164" fontId="0" fillId="0" borderId="9" xfId="0" applyNumberForma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1" fillId="0" borderId="0" xfId="0" applyFont="1" applyBorder="1"/>
    <xf numFmtId="0" fontId="3" fillId="0" borderId="3" xfId="0" applyFont="1" applyBorder="1"/>
    <xf numFmtId="4" fontId="3" fillId="0" borderId="3" xfId="0" applyNumberFormat="1" applyFont="1" applyBorder="1"/>
    <xf numFmtId="4" fontId="3" fillId="2" borderId="3" xfId="0" applyNumberFormat="1" applyFont="1" applyFill="1" applyBorder="1"/>
    <xf numFmtId="4" fontId="3" fillId="2" borderId="2" xfId="0" applyNumberFormat="1" applyFont="1" applyFill="1" applyBorder="1" applyAlignment="1">
      <alignment horizontal="center" vertical="center"/>
    </xf>
    <xf numFmtId="4" fontId="3" fillId="2" borderId="6" xfId="0" applyNumberFormat="1" applyFont="1" applyFill="1" applyBorder="1" applyAlignment="1">
      <alignment horizontal="center" vertical="center"/>
    </xf>
    <xf numFmtId="164" fontId="3" fillId="2" borderId="3" xfId="0" applyNumberFormat="1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2" fontId="0" fillId="0" borderId="3" xfId="0" applyNumberFormat="1" applyBorder="1"/>
    <xf numFmtId="0" fontId="3" fillId="2" borderId="6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0" fillId="2" borderId="0" xfId="0" applyFill="1"/>
    <xf numFmtId="0" fontId="0" fillId="2" borderId="3" xfId="0" applyFill="1" applyBorder="1"/>
    <xf numFmtId="164" fontId="0" fillId="2" borderId="3" xfId="0" applyNumberFormat="1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0" fillId="0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4:AD39"/>
  <sheetViews>
    <sheetView topLeftCell="A12" zoomScale="78" zoomScaleNormal="78" workbookViewId="0">
      <selection activeCell="R28" activeCellId="14" sqref="H32 I32 I31 G25:H25 H25 H24 N28:O28 O28 O27 P27:P28 P28 Q28 Q27 R27 R28"/>
    </sheetView>
  </sheetViews>
  <sheetFormatPr defaultRowHeight="15" x14ac:dyDescent="0.25"/>
  <cols>
    <col min="3" max="3" width="10.42578125" customWidth="1"/>
    <col min="11" max="11" width="10.85546875" customWidth="1"/>
    <col min="12" max="12" width="11.140625" bestFit="1" customWidth="1"/>
    <col min="13" max="13" width="10.140625" bestFit="1" customWidth="1"/>
    <col min="14" max="14" width="9.28515625" bestFit="1" customWidth="1"/>
    <col min="15" max="15" width="12.140625" bestFit="1" customWidth="1"/>
  </cols>
  <sheetData>
    <row r="4" spans="3:30" ht="15.75" x14ac:dyDescent="0.25">
      <c r="C4" s="84"/>
      <c r="D4" s="85"/>
      <c r="E4" s="85"/>
      <c r="F4" s="85"/>
      <c r="G4" s="85"/>
      <c r="H4" s="6"/>
      <c r="I4" s="6"/>
      <c r="J4" s="6"/>
      <c r="M4" s="1"/>
      <c r="N4" s="2"/>
      <c r="O4" s="3"/>
      <c r="P4" s="3"/>
      <c r="W4" s="1"/>
      <c r="Y4" s="1"/>
    </row>
    <row r="5" spans="3:30" ht="15.75" x14ac:dyDescent="0.25">
      <c r="C5" s="84"/>
      <c r="D5" s="86"/>
      <c r="E5" s="87"/>
      <c r="F5" s="87"/>
      <c r="G5" s="88"/>
      <c r="H5" s="6"/>
      <c r="I5" s="6"/>
      <c r="J5" s="88"/>
      <c r="M5" s="4"/>
      <c r="N5" s="3"/>
      <c r="O5" s="5"/>
      <c r="P5" s="5"/>
      <c r="Q5" s="1"/>
      <c r="T5" s="1"/>
      <c r="W5" s="2"/>
      <c r="X5" s="3"/>
      <c r="Y5" s="5"/>
      <c r="Z5" s="5"/>
      <c r="AA5" s="1"/>
      <c r="AD5" s="1"/>
    </row>
    <row r="6" spans="3:30" x14ac:dyDescent="0.25">
      <c r="C6" s="6"/>
      <c r="D6" s="6"/>
      <c r="E6" s="6"/>
      <c r="F6" s="6"/>
      <c r="G6" s="6"/>
      <c r="H6" s="7"/>
      <c r="I6" s="7"/>
      <c r="J6" s="17"/>
      <c r="T6" s="8"/>
      <c r="AD6" s="8"/>
    </row>
    <row r="7" spans="3:30" x14ac:dyDescent="0.25">
      <c r="C7" s="6"/>
      <c r="D7" s="6"/>
      <c r="E7" s="6"/>
      <c r="F7" s="6"/>
      <c r="G7" s="6"/>
      <c r="H7" s="7"/>
      <c r="I7" s="7"/>
      <c r="J7" s="17"/>
      <c r="T7" s="8"/>
      <c r="AD7" s="8"/>
    </row>
    <row r="8" spans="3:30" x14ac:dyDescent="0.25">
      <c r="C8" s="6"/>
      <c r="D8" s="6"/>
      <c r="E8" s="6"/>
      <c r="F8" s="6"/>
      <c r="G8" s="6"/>
      <c r="H8" s="7"/>
      <c r="I8" s="7"/>
      <c r="J8" s="17"/>
      <c r="T8" s="8"/>
      <c r="AD8" s="8"/>
    </row>
    <row r="9" spans="3:30" x14ac:dyDescent="0.25">
      <c r="C9" s="6"/>
      <c r="D9" s="6"/>
      <c r="E9" s="6"/>
      <c r="F9" s="6"/>
      <c r="G9" s="6"/>
      <c r="H9" s="7"/>
      <c r="I9" s="7"/>
      <c r="J9" s="17"/>
      <c r="T9" s="8"/>
      <c r="AD9" s="8"/>
    </row>
    <row r="10" spans="3:30" x14ac:dyDescent="0.25">
      <c r="C10" s="6"/>
      <c r="D10" s="6"/>
      <c r="E10" s="6"/>
      <c r="F10" s="6"/>
      <c r="G10" s="6"/>
      <c r="H10" s="7"/>
      <c r="I10" s="7"/>
      <c r="J10" s="17"/>
      <c r="T10" s="8"/>
      <c r="AD10" s="8"/>
    </row>
    <row r="11" spans="3:30" ht="15.75" x14ac:dyDescent="0.25">
      <c r="C11" s="1" t="s">
        <v>25</v>
      </c>
      <c r="G11" s="6"/>
      <c r="H11" s="7"/>
      <c r="I11" s="7"/>
      <c r="J11" s="17"/>
      <c r="T11" s="8"/>
      <c r="AD11" s="8"/>
    </row>
    <row r="12" spans="3:30" x14ac:dyDescent="0.25">
      <c r="C12" s="6"/>
      <c r="D12" s="6"/>
      <c r="E12" s="6"/>
      <c r="F12" s="6"/>
      <c r="G12" s="6"/>
      <c r="H12" s="7"/>
      <c r="I12" s="7"/>
      <c r="J12" s="17"/>
      <c r="T12" s="8"/>
      <c r="AD12" s="8"/>
    </row>
    <row r="13" spans="3:30" x14ac:dyDescent="0.25">
      <c r="C13" s="6"/>
      <c r="D13" s="6"/>
      <c r="E13" s="6"/>
      <c r="F13" s="6"/>
      <c r="G13" s="6"/>
      <c r="H13" s="7"/>
      <c r="I13" s="7"/>
      <c r="J13" s="17"/>
      <c r="T13" s="8"/>
      <c r="AD13" s="8"/>
    </row>
    <row r="14" spans="3:30" x14ac:dyDescent="0.25">
      <c r="C14" s="64" t="s">
        <v>0</v>
      </c>
      <c r="D14" s="63" t="s">
        <v>62</v>
      </c>
      <c r="E14" s="63"/>
      <c r="F14" s="63"/>
      <c r="G14" s="64" t="s">
        <v>29</v>
      </c>
      <c r="H14" s="64" t="s">
        <v>61</v>
      </c>
    </row>
    <row r="15" spans="3:30" x14ac:dyDescent="0.25">
      <c r="C15" s="65"/>
      <c r="D15" s="40" t="s">
        <v>2</v>
      </c>
      <c r="E15" s="40" t="s">
        <v>3</v>
      </c>
      <c r="F15" s="40" t="s">
        <v>4</v>
      </c>
      <c r="G15" s="65"/>
      <c r="H15" s="65"/>
      <c r="K15" t="s">
        <v>5</v>
      </c>
      <c r="L15">
        <v>3</v>
      </c>
    </row>
    <row r="16" spans="3:30" x14ac:dyDescent="0.25">
      <c r="C16" s="41" t="s">
        <v>36</v>
      </c>
      <c r="D16" s="35">
        <v>5.8075000000000001</v>
      </c>
      <c r="E16" s="35">
        <v>6.7913333333333341</v>
      </c>
      <c r="F16" s="35">
        <v>8.6338333333333335</v>
      </c>
      <c r="G16" s="35">
        <f t="shared" ref="G16:G23" si="0">SUM(D16:F16)</f>
        <v>21.232666666666667</v>
      </c>
      <c r="H16" s="35">
        <f t="shared" ref="H16:H23" si="1">AVERAGE(D16:F16)</f>
        <v>7.0775555555555556</v>
      </c>
      <c r="K16" t="s">
        <v>7</v>
      </c>
      <c r="L16">
        <v>2</v>
      </c>
    </row>
    <row r="17" spans="3:18" x14ac:dyDescent="0.25">
      <c r="C17" s="41" t="s">
        <v>37</v>
      </c>
      <c r="D17" s="35">
        <v>11.585833333333333</v>
      </c>
      <c r="E17" s="35">
        <v>12.676333333333332</v>
      </c>
      <c r="F17" s="35">
        <v>12.382833333333336</v>
      </c>
      <c r="G17" s="35">
        <f t="shared" si="0"/>
        <v>36.645000000000003</v>
      </c>
      <c r="H17" s="35">
        <f t="shared" si="1"/>
        <v>12.215000000000002</v>
      </c>
      <c r="K17" t="s">
        <v>6</v>
      </c>
      <c r="L17">
        <v>4</v>
      </c>
    </row>
    <row r="18" spans="3:18" x14ac:dyDescent="0.25">
      <c r="C18" s="41" t="s">
        <v>38</v>
      </c>
      <c r="D18" s="35">
        <v>18.635999999999999</v>
      </c>
      <c r="E18" s="35">
        <v>10.6205</v>
      </c>
      <c r="F18" s="35">
        <v>11.778</v>
      </c>
      <c r="G18" s="35">
        <f t="shared" si="0"/>
        <v>41.034500000000001</v>
      </c>
      <c r="H18" s="35">
        <f t="shared" si="1"/>
        <v>13.678166666666668</v>
      </c>
      <c r="K18" t="s">
        <v>8</v>
      </c>
      <c r="L18" s="8">
        <f>(G24^2)/(L15*L16*L17)</f>
        <v>2788.8075633750013</v>
      </c>
    </row>
    <row r="19" spans="3:18" x14ac:dyDescent="0.25">
      <c r="C19" s="41" t="s">
        <v>39</v>
      </c>
      <c r="D19" s="35">
        <v>8.8595000000000006</v>
      </c>
      <c r="E19" s="35">
        <v>9.3375000000000004</v>
      </c>
      <c r="F19" s="35">
        <v>11.222166666666666</v>
      </c>
      <c r="G19" s="35">
        <f t="shared" si="0"/>
        <v>29.419166666666669</v>
      </c>
      <c r="H19" s="35">
        <f t="shared" si="1"/>
        <v>9.8063888888888897</v>
      </c>
    </row>
    <row r="20" spans="3:18" x14ac:dyDescent="0.25">
      <c r="C20" s="41" t="s">
        <v>40</v>
      </c>
      <c r="D20" s="35">
        <v>11.955833333333336</v>
      </c>
      <c r="E20" s="35">
        <v>8.4604999999999997</v>
      </c>
      <c r="F20" s="35">
        <v>11.7415</v>
      </c>
      <c r="G20" s="35">
        <f t="shared" si="0"/>
        <v>32.157833333333336</v>
      </c>
      <c r="H20" s="35">
        <f t="shared" si="1"/>
        <v>10.719277777777778</v>
      </c>
    </row>
    <row r="21" spans="3:18" x14ac:dyDescent="0.25">
      <c r="C21" s="41" t="s">
        <v>41</v>
      </c>
      <c r="D21" s="35">
        <v>19.658166666666666</v>
      </c>
      <c r="E21" s="35">
        <v>8.4570000000000007</v>
      </c>
      <c r="F21" s="35">
        <v>8.8849999999999998</v>
      </c>
      <c r="G21" s="35">
        <f t="shared" si="0"/>
        <v>37.000166666666665</v>
      </c>
      <c r="H21" s="35">
        <f t="shared" si="1"/>
        <v>12.333388888888889</v>
      </c>
      <c r="K21" s="49" t="s">
        <v>9</v>
      </c>
      <c r="L21" s="49" t="s">
        <v>10</v>
      </c>
      <c r="M21" s="49" t="s">
        <v>11</v>
      </c>
      <c r="N21" s="49" t="s">
        <v>12</v>
      </c>
      <c r="O21" s="49" t="s">
        <v>13</v>
      </c>
      <c r="P21" s="49" t="s">
        <v>28</v>
      </c>
      <c r="Q21" s="50">
        <v>0.05</v>
      </c>
      <c r="R21" s="50">
        <v>0.01</v>
      </c>
    </row>
    <row r="22" spans="3:18" x14ac:dyDescent="0.25">
      <c r="C22" s="41" t="s">
        <v>42</v>
      </c>
      <c r="D22" s="35">
        <v>16.69083333333333</v>
      </c>
      <c r="E22" s="35">
        <v>8.9131666666666671</v>
      </c>
      <c r="F22" s="35">
        <v>9.9491666666666667</v>
      </c>
      <c r="G22" s="35">
        <f t="shared" si="0"/>
        <v>35.553166666666669</v>
      </c>
      <c r="H22" s="35">
        <f t="shared" si="1"/>
        <v>11.851055555555556</v>
      </c>
      <c r="K22" s="49" t="s">
        <v>60</v>
      </c>
      <c r="L22" s="49">
        <f>L15-1</f>
        <v>2</v>
      </c>
      <c r="M22" s="51">
        <f>SUMSQ(D24:F24)/8-L18</f>
        <v>48.194223361109835</v>
      </c>
      <c r="N22" s="52">
        <f>M22/L22</f>
        <v>24.097111680554917</v>
      </c>
      <c r="O22" s="52">
        <f>N22/$N$27</f>
        <v>2.6942554157317744</v>
      </c>
      <c r="P22" s="49" t="str">
        <f>IF(O22&lt;Q22,"tn",IF(O22&lt;R22,"*","**"))</f>
        <v>tn</v>
      </c>
      <c r="Q22" s="53">
        <f>FINV(5%,$L22,$L$27)</f>
        <v>3.7388918324407361</v>
      </c>
      <c r="R22" s="53">
        <f>FINV(1%,$L22,$L$27)</f>
        <v>6.5148841021827506</v>
      </c>
    </row>
    <row r="23" spans="3:18" x14ac:dyDescent="0.25">
      <c r="C23" s="41" t="s">
        <v>43</v>
      </c>
      <c r="D23" s="35">
        <v>7.5949999999999989</v>
      </c>
      <c r="E23" s="35">
        <v>7.8769999999999998</v>
      </c>
      <c r="F23" s="35">
        <v>10.1965</v>
      </c>
      <c r="G23" s="35">
        <f t="shared" si="0"/>
        <v>25.668499999999998</v>
      </c>
      <c r="H23" s="35">
        <f t="shared" si="1"/>
        <v>8.556166666666666</v>
      </c>
      <c r="K23" s="49" t="s">
        <v>26</v>
      </c>
      <c r="L23" s="49">
        <f>(L16*L17)-1</f>
        <v>7</v>
      </c>
      <c r="M23" s="54">
        <f>SUMSQ(G16:G23)/L15-L18</f>
        <v>100.87171886573924</v>
      </c>
      <c r="N23" s="54">
        <f t="shared" ref="N23:N26" si="2">M23/L23</f>
        <v>14.410245552248464</v>
      </c>
      <c r="O23" s="52">
        <f t="shared" ref="O23:O26" si="3">N23/$N$27</f>
        <v>1.6111840554110783</v>
      </c>
      <c r="P23" s="49" t="str">
        <f t="shared" ref="P23:P26" si="4">IF(O23&lt;Q23,"tn",IF(O23&lt;R23,"*","**"))</f>
        <v>tn</v>
      </c>
      <c r="Q23" s="53">
        <f t="shared" ref="Q23:Q26" si="5">FINV(5%,$L23,$L$27)</f>
        <v>2.7641992567781792</v>
      </c>
      <c r="R23" s="53">
        <f t="shared" ref="R23:R26" si="6">FINV(1%,$L23,$L$27)</f>
        <v>4.2778818532656411</v>
      </c>
    </row>
    <row r="24" spans="3:18" x14ac:dyDescent="0.25">
      <c r="C24" s="42" t="s">
        <v>29</v>
      </c>
      <c r="D24" s="59">
        <f>SUM(D16:D23)</f>
        <v>100.78866666666667</v>
      </c>
      <c r="E24" s="59">
        <f>SUM(E16:E23)</f>
        <v>73.133333333333326</v>
      </c>
      <c r="F24" s="59">
        <f>SUM(F16:F23)</f>
        <v>84.789000000000016</v>
      </c>
      <c r="G24" s="59">
        <f>SUM(G16:G23)</f>
        <v>258.71100000000007</v>
      </c>
      <c r="H24" s="93"/>
      <c r="K24" s="49" t="s">
        <v>16</v>
      </c>
      <c r="L24" s="49">
        <f>L16-1</f>
        <v>1</v>
      </c>
      <c r="M24" s="54">
        <f>SUMSQ(H29:H30)/(L15*L17)-L18</f>
        <v>6.4618962961958459E-2</v>
      </c>
      <c r="N24" s="54">
        <f t="shared" si="2"/>
        <v>6.4618962961958459E-2</v>
      </c>
      <c r="O24" s="52">
        <f t="shared" si="3"/>
        <v>7.2249319016816829E-3</v>
      </c>
      <c r="P24" s="49" t="str">
        <f t="shared" si="4"/>
        <v>tn</v>
      </c>
      <c r="Q24" s="53">
        <f t="shared" si="5"/>
        <v>4.6001099366694227</v>
      </c>
      <c r="R24" s="53">
        <f t="shared" si="6"/>
        <v>8.8615926651764276</v>
      </c>
    </row>
    <row r="25" spans="3:18" x14ac:dyDescent="0.25">
      <c r="C25" s="40" t="s">
        <v>61</v>
      </c>
      <c r="D25" s="58">
        <f>AVERAGE(D16:D23)</f>
        <v>12.598583333333334</v>
      </c>
      <c r="E25" s="58">
        <f>AVERAGE(E16:E23)</f>
        <v>9.1416666666666657</v>
      </c>
      <c r="F25" s="58">
        <f>AVERAGE(F16:F23)</f>
        <v>10.598625000000002</v>
      </c>
      <c r="G25" s="92"/>
      <c r="H25" s="92"/>
      <c r="K25" s="49" t="s">
        <v>30</v>
      </c>
      <c r="L25" s="49">
        <f>L17-1</f>
        <v>3</v>
      </c>
      <c r="M25" s="54">
        <f>SUMSQ(D31:G31)/(L15*L16)-L18</f>
        <v>18.603249791665348</v>
      </c>
      <c r="N25" s="54">
        <f t="shared" si="2"/>
        <v>6.2010832638884494</v>
      </c>
      <c r="O25" s="52">
        <f t="shared" si="3"/>
        <v>0.6933321465500375</v>
      </c>
      <c r="P25" s="49" t="str">
        <f t="shared" si="4"/>
        <v>tn</v>
      </c>
      <c r="Q25" s="53">
        <f t="shared" si="5"/>
        <v>3.3438886781189128</v>
      </c>
      <c r="R25" s="53">
        <f t="shared" si="6"/>
        <v>5.5638858396937421</v>
      </c>
    </row>
    <row r="26" spans="3:18" x14ac:dyDescent="0.25">
      <c r="K26" s="49" t="s">
        <v>44</v>
      </c>
      <c r="L26" s="49">
        <f>L24*L25</f>
        <v>3</v>
      </c>
      <c r="M26" s="54">
        <f>M23-M24-M25</f>
        <v>82.203850111111933</v>
      </c>
      <c r="N26" s="54">
        <f t="shared" si="2"/>
        <v>27.401283370370646</v>
      </c>
      <c r="O26" s="52">
        <f t="shared" si="3"/>
        <v>3.0636890054419181</v>
      </c>
      <c r="P26" s="49" t="str">
        <f t="shared" si="4"/>
        <v>tn</v>
      </c>
      <c r="Q26" s="53">
        <f t="shared" si="5"/>
        <v>3.3438886781189128</v>
      </c>
      <c r="R26" s="53">
        <f t="shared" si="6"/>
        <v>5.5638858396937421</v>
      </c>
    </row>
    <row r="27" spans="3:18" x14ac:dyDescent="0.25">
      <c r="C27" t="s">
        <v>17</v>
      </c>
      <c r="K27" s="49" t="s">
        <v>59</v>
      </c>
      <c r="L27" s="49">
        <f>L28-L23-L22</f>
        <v>14</v>
      </c>
      <c r="M27" s="51">
        <f>M28-M22-M23</f>
        <v>125.21439562037222</v>
      </c>
      <c r="N27" s="52">
        <f>M27/L27</f>
        <v>8.9438854014551588</v>
      </c>
      <c r="O27" s="94"/>
      <c r="P27" s="95"/>
      <c r="Q27" s="95"/>
      <c r="R27" s="95"/>
    </row>
    <row r="28" spans="3:18" x14ac:dyDescent="0.25">
      <c r="C28" s="89" t="s">
        <v>14</v>
      </c>
      <c r="D28" s="89" t="s">
        <v>18</v>
      </c>
      <c r="E28" s="89" t="s">
        <v>19</v>
      </c>
      <c r="F28" s="89" t="s">
        <v>20</v>
      </c>
      <c r="G28" s="89" t="s">
        <v>21</v>
      </c>
      <c r="H28" s="89" t="s">
        <v>22</v>
      </c>
      <c r="I28" s="89" t="s">
        <v>1</v>
      </c>
      <c r="K28" s="49" t="s">
        <v>29</v>
      </c>
      <c r="L28" s="49">
        <f>(3*4*2)-1</f>
        <v>23</v>
      </c>
      <c r="M28" s="51">
        <f>SUMSQ(D16:F23)-L18</f>
        <v>274.28033784722129</v>
      </c>
      <c r="N28" s="94"/>
      <c r="O28" s="94"/>
      <c r="P28" s="95"/>
      <c r="Q28" s="95"/>
      <c r="R28" s="95"/>
    </row>
    <row r="29" spans="3:18" x14ac:dyDescent="0.25">
      <c r="C29" s="89" t="s">
        <v>23</v>
      </c>
      <c r="D29" s="90">
        <f>G16</f>
        <v>21.232666666666667</v>
      </c>
      <c r="E29" s="90">
        <f>G18</f>
        <v>41.034500000000001</v>
      </c>
      <c r="F29" s="90">
        <f>G20</f>
        <v>32.157833333333336</v>
      </c>
      <c r="G29" s="90">
        <f>G22</f>
        <v>35.553166666666669</v>
      </c>
      <c r="H29" s="90">
        <f>SUM(D29:G29)</f>
        <v>129.97816666666668</v>
      </c>
      <c r="I29" s="90">
        <f>H29/12</f>
        <v>10.831513888888891</v>
      </c>
      <c r="N29" s="10"/>
      <c r="O29" s="10"/>
    </row>
    <row r="30" spans="3:18" x14ac:dyDescent="0.25">
      <c r="C30" s="89" t="s">
        <v>24</v>
      </c>
      <c r="D30" s="90">
        <f>G17</f>
        <v>36.645000000000003</v>
      </c>
      <c r="E30" s="90">
        <f>G19</f>
        <v>29.419166666666669</v>
      </c>
      <c r="F30" s="90">
        <f>G21</f>
        <v>37.000166666666665</v>
      </c>
      <c r="G30" s="90">
        <f>G23</f>
        <v>25.668499999999998</v>
      </c>
      <c r="H30" s="90">
        <f>SUM(D30:G30)</f>
        <v>128.73283333333333</v>
      </c>
      <c r="I30" s="90">
        <f>H30/12</f>
        <v>10.727736111111112</v>
      </c>
    </row>
    <row r="31" spans="3:18" x14ac:dyDescent="0.25">
      <c r="C31" s="89" t="s">
        <v>15</v>
      </c>
      <c r="D31" s="90">
        <f>SUM(D29:D30)</f>
        <v>57.87766666666667</v>
      </c>
      <c r="E31" s="90">
        <f t="shared" ref="E31:G31" si="7">SUM(E29:E30)</f>
        <v>70.453666666666663</v>
      </c>
      <c r="F31" s="90">
        <f t="shared" si="7"/>
        <v>69.158000000000001</v>
      </c>
      <c r="G31" s="90">
        <f t="shared" si="7"/>
        <v>61.221666666666664</v>
      </c>
      <c r="H31" s="90">
        <f>SUM(D31:G31)</f>
        <v>258.71100000000001</v>
      </c>
      <c r="I31" s="91"/>
      <c r="M31" s="29" t="s">
        <v>26</v>
      </c>
      <c r="N31" s="29" t="s">
        <v>55</v>
      </c>
    </row>
    <row r="32" spans="3:18" x14ac:dyDescent="0.25">
      <c r="C32" s="89" t="s">
        <v>1</v>
      </c>
      <c r="D32" s="90">
        <f>D31/6</f>
        <v>9.6462777777777777</v>
      </c>
      <c r="E32" s="90">
        <f t="shared" ref="E32:G32" si="8">E31/6</f>
        <v>11.742277777777778</v>
      </c>
      <c r="F32" s="90">
        <f t="shared" si="8"/>
        <v>11.526333333333334</v>
      </c>
      <c r="G32" s="90">
        <f t="shared" si="8"/>
        <v>10.20361111111111</v>
      </c>
      <c r="H32" s="91"/>
      <c r="I32" s="91"/>
      <c r="M32" s="30" t="s">
        <v>23</v>
      </c>
      <c r="N32" s="31">
        <f>I29</f>
        <v>10.831513888888891</v>
      </c>
    </row>
    <row r="33" spans="13:14" x14ac:dyDescent="0.25">
      <c r="M33" s="30" t="s">
        <v>24</v>
      </c>
      <c r="N33" s="31">
        <f>I30</f>
        <v>10.727736111111112</v>
      </c>
    </row>
    <row r="34" spans="13:14" x14ac:dyDescent="0.25">
      <c r="M34" s="29" t="s">
        <v>50</v>
      </c>
      <c r="N34" s="32" t="s">
        <v>56</v>
      </c>
    </row>
    <row r="35" spans="13:14" x14ac:dyDescent="0.25">
      <c r="M35" s="30" t="s">
        <v>18</v>
      </c>
      <c r="N35" s="33">
        <f>D32</f>
        <v>9.6462777777777777</v>
      </c>
    </row>
    <row r="36" spans="13:14" x14ac:dyDescent="0.25">
      <c r="M36" s="30" t="s">
        <v>19</v>
      </c>
      <c r="N36" s="33">
        <f>E32</f>
        <v>11.742277777777778</v>
      </c>
    </row>
    <row r="37" spans="13:14" x14ac:dyDescent="0.25">
      <c r="M37" s="30" t="s">
        <v>20</v>
      </c>
      <c r="N37" s="33">
        <f>F32</f>
        <v>11.526333333333334</v>
      </c>
    </row>
    <row r="38" spans="13:14" x14ac:dyDescent="0.25">
      <c r="M38" s="30" t="s">
        <v>21</v>
      </c>
      <c r="N38" s="33">
        <f>G32</f>
        <v>10.20361111111111</v>
      </c>
    </row>
    <row r="39" spans="13:14" x14ac:dyDescent="0.25">
      <c r="M39" s="29" t="s">
        <v>50</v>
      </c>
      <c r="N39" s="32" t="s">
        <v>56</v>
      </c>
    </row>
  </sheetData>
  <mergeCells count="6">
    <mergeCell ref="C4:C5"/>
    <mergeCell ref="D4:G4"/>
    <mergeCell ref="D14:F14"/>
    <mergeCell ref="G14:G15"/>
    <mergeCell ref="H14:H15"/>
    <mergeCell ref="C14:C15"/>
  </mergeCells>
  <pageMargins left="0.7" right="0.7" top="0.75" bottom="0.75" header="0.3" footer="0.3"/>
  <pageSetup paperSize="256" orientation="portrait" horizontalDpi="4294967292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AE41"/>
  <sheetViews>
    <sheetView topLeftCell="A7" zoomScale="64" zoomScaleNormal="64" workbookViewId="0">
      <selection activeCell="V22" sqref="V22"/>
    </sheetView>
  </sheetViews>
  <sheetFormatPr defaultRowHeight="15" x14ac:dyDescent="0.25"/>
  <cols>
    <col min="2" max="2" width="9.85546875" customWidth="1"/>
    <col min="3" max="3" width="9.5703125" bestFit="1" customWidth="1"/>
    <col min="6" max="6" width="9.5703125" bestFit="1" customWidth="1"/>
    <col min="11" max="11" width="9.7109375" customWidth="1"/>
    <col min="12" max="12" width="10.140625" customWidth="1"/>
    <col min="14" max="14" width="9.5703125" bestFit="1" customWidth="1"/>
    <col min="16" max="16" width="10.28515625" bestFit="1" customWidth="1"/>
  </cols>
  <sheetData>
    <row r="5" spans="2:31" x14ac:dyDescent="0.25">
      <c r="B5" s="6"/>
      <c r="C5" s="6"/>
      <c r="D5" s="6"/>
      <c r="E5" s="6"/>
      <c r="F5" s="96"/>
      <c r="G5" s="86"/>
      <c r="H5" s="6"/>
      <c r="I5" s="6"/>
      <c r="J5" s="6"/>
      <c r="K5" s="6"/>
      <c r="L5" s="6"/>
      <c r="M5" s="6"/>
      <c r="N5" s="6"/>
      <c r="O5" s="6"/>
      <c r="P5" s="6"/>
      <c r="Q5" s="86"/>
      <c r="R5" s="6"/>
      <c r="S5" s="6"/>
      <c r="T5" s="6"/>
      <c r="U5" s="6"/>
      <c r="V5" s="6"/>
      <c r="W5" s="6"/>
      <c r="X5" s="6"/>
      <c r="Y5" s="6"/>
      <c r="Z5" s="6"/>
      <c r="AA5" s="6"/>
      <c r="AB5" s="96"/>
      <c r="AC5" s="6"/>
      <c r="AD5" s="6"/>
      <c r="AE5" s="6"/>
    </row>
    <row r="6" spans="2:31" x14ac:dyDescent="0.25">
      <c r="B6" s="96"/>
      <c r="C6" s="86"/>
      <c r="D6" s="86"/>
      <c r="E6" s="86"/>
      <c r="F6" s="86"/>
      <c r="G6" s="86"/>
      <c r="H6" s="86"/>
      <c r="I6" s="86"/>
      <c r="J6" s="6"/>
      <c r="K6" s="6"/>
      <c r="L6" s="6"/>
      <c r="M6" s="96"/>
      <c r="N6" s="86"/>
      <c r="O6" s="86"/>
      <c r="P6" s="86"/>
      <c r="Q6" s="86"/>
      <c r="R6" s="86"/>
      <c r="S6" s="86"/>
      <c r="T6" s="86"/>
      <c r="U6" s="6"/>
      <c r="V6" s="6"/>
      <c r="W6" s="6"/>
      <c r="X6" s="96"/>
      <c r="Y6" s="86"/>
      <c r="Z6" s="86"/>
      <c r="AA6" s="86"/>
      <c r="AB6" s="86"/>
      <c r="AC6" s="86"/>
      <c r="AD6" s="86"/>
      <c r="AE6" s="86"/>
    </row>
    <row r="7" spans="2:31" x14ac:dyDescent="0.25">
      <c r="B7" s="6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7"/>
      <c r="AA7" s="17"/>
      <c r="AB7" s="17"/>
      <c r="AC7" s="17"/>
      <c r="AD7" s="17"/>
      <c r="AE7" s="17"/>
    </row>
    <row r="8" spans="2:31" x14ac:dyDescent="0.25">
      <c r="B8" s="6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  <c r="AA8" s="17"/>
      <c r="AB8" s="17"/>
      <c r="AC8" s="17"/>
      <c r="AD8" s="17"/>
      <c r="AE8" s="17"/>
    </row>
    <row r="9" spans="2:31" x14ac:dyDescent="0.25">
      <c r="B9" s="6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  <c r="Z9" s="17"/>
      <c r="AA9" s="17"/>
      <c r="AB9" s="17"/>
      <c r="AC9" s="17"/>
      <c r="AD9" s="17"/>
      <c r="AE9" s="17"/>
    </row>
    <row r="10" spans="2:31" x14ac:dyDescent="0.25">
      <c r="B10" s="6"/>
      <c r="C10" s="17"/>
      <c r="D10" s="17"/>
      <c r="E10" s="17"/>
      <c r="F10" s="17"/>
      <c r="G10" s="17"/>
      <c r="H10" s="17"/>
      <c r="I10" s="17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7"/>
      <c r="AA10" s="17"/>
      <c r="AB10" s="17"/>
      <c r="AC10" s="17"/>
      <c r="AD10" s="17"/>
      <c r="AE10" s="17"/>
    </row>
    <row r="11" spans="2:31" x14ac:dyDescent="0.25">
      <c r="B11" s="6"/>
      <c r="C11" s="17"/>
      <c r="D11" s="17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</row>
    <row r="12" spans="2:31" x14ac:dyDescent="0.25">
      <c r="B12" s="6"/>
      <c r="C12" s="17"/>
      <c r="D12" s="17"/>
      <c r="E12" s="17"/>
      <c r="F12" s="17"/>
      <c r="G12" s="17"/>
      <c r="H12" s="17"/>
      <c r="I12" s="17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  <c r="AC12" s="17"/>
      <c r="AD12" s="17"/>
      <c r="AE12" s="17"/>
    </row>
    <row r="13" spans="2:31" x14ac:dyDescent="0.25">
      <c r="B13" s="6"/>
      <c r="C13" s="17"/>
      <c r="D13" s="17"/>
      <c r="E13" s="17"/>
      <c r="F13" s="17"/>
      <c r="G13" s="17"/>
      <c r="H13" s="17"/>
      <c r="I13" s="17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17"/>
      <c r="W13" s="17"/>
      <c r="X13" s="17"/>
      <c r="Y13" s="17"/>
      <c r="Z13" s="17"/>
      <c r="AA13" s="17"/>
      <c r="AB13" s="17"/>
      <c r="AC13" s="17"/>
      <c r="AD13" s="17"/>
      <c r="AE13" s="17"/>
    </row>
    <row r="14" spans="2:31" x14ac:dyDescent="0.25">
      <c r="B14" t="s">
        <v>33</v>
      </c>
      <c r="G14" s="17"/>
      <c r="H14" s="17"/>
      <c r="I14" s="17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17"/>
      <c r="W14" s="17"/>
      <c r="X14" s="17"/>
      <c r="Y14" s="17"/>
      <c r="Z14" s="17"/>
      <c r="AA14" s="17"/>
      <c r="AB14" s="17"/>
      <c r="AC14" s="17"/>
      <c r="AD14" s="17"/>
      <c r="AE14" s="17"/>
    </row>
    <row r="15" spans="2:31" x14ac:dyDescent="0.25">
      <c r="C15" s="8"/>
      <c r="D15" s="8"/>
      <c r="E15" s="8"/>
      <c r="F15" s="8"/>
      <c r="G15" s="8"/>
      <c r="H15" s="8"/>
      <c r="I15" s="8"/>
      <c r="J15" s="8"/>
      <c r="K15" s="8" t="s">
        <v>5</v>
      </c>
      <c r="L15" s="8">
        <v>3</v>
      </c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</row>
    <row r="16" spans="2:31" x14ac:dyDescent="0.25">
      <c r="K16" t="s">
        <v>7</v>
      </c>
      <c r="L16">
        <v>2</v>
      </c>
    </row>
    <row r="17" spans="2:25" x14ac:dyDescent="0.25">
      <c r="B17" s="64" t="s">
        <v>26</v>
      </c>
      <c r="C17" s="63" t="s">
        <v>62</v>
      </c>
      <c r="D17" s="63"/>
      <c r="E17" s="63"/>
      <c r="F17" s="64" t="s">
        <v>29</v>
      </c>
      <c r="G17" s="64" t="s">
        <v>61</v>
      </c>
      <c r="K17" t="s">
        <v>6</v>
      </c>
      <c r="L17">
        <v>4</v>
      </c>
    </row>
    <row r="18" spans="2:25" x14ac:dyDescent="0.25">
      <c r="B18" s="65"/>
      <c r="C18" s="40" t="s">
        <v>2</v>
      </c>
      <c r="D18" s="40" t="s">
        <v>3</v>
      </c>
      <c r="E18" s="40" t="s">
        <v>4</v>
      </c>
      <c r="F18" s="65"/>
      <c r="G18" s="65"/>
      <c r="K18" t="s">
        <v>8</v>
      </c>
      <c r="L18" s="8">
        <f>(F27^2)/(L15*L16*L17)</f>
        <v>13791.468761034075</v>
      </c>
    </row>
    <row r="19" spans="2:25" x14ac:dyDescent="0.25">
      <c r="B19" s="41" t="s">
        <v>36</v>
      </c>
      <c r="C19" s="55">
        <v>15.984499999999997</v>
      </c>
      <c r="D19" s="55">
        <v>15.7265</v>
      </c>
      <c r="E19" s="55">
        <v>16.184999999999999</v>
      </c>
      <c r="F19" s="55">
        <f>SUM(C19:E19)</f>
        <v>47.896000000000001</v>
      </c>
      <c r="G19" s="55">
        <f>AVERAGE(C19:E19)</f>
        <v>15.965333333333334</v>
      </c>
    </row>
    <row r="20" spans="2:25" x14ac:dyDescent="0.25">
      <c r="B20" s="41" t="s">
        <v>37</v>
      </c>
      <c r="C20" s="55">
        <v>27.341666666666665</v>
      </c>
      <c r="D20" s="55">
        <v>27.936666666666667</v>
      </c>
      <c r="E20" s="55">
        <v>28.428333333333331</v>
      </c>
      <c r="F20" s="55">
        <f t="shared" ref="F20:F26" si="0">SUM(C20:E20)</f>
        <v>83.706666666666663</v>
      </c>
      <c r="G20" s="55">
        <f t="shared" ref="G20:G26" si="1">AVERAGE(C20:E20)</f>
        <v>27.902222222222221</v>
      </c>
    </row>
    <row r="21" spans="2:25" x14ac:dyDescent="0.25">
      <c r="B21" s="41" t="s">
        <v>38</v>
      </c>
      <c r="C21" s="55">
        <v>37.341666666666661</v>
      </c>
      <c r="D21" s="55">
        <v>25.911666666666665</v>
      </c>
      <c r="E21" s="55">
        <v>28.504999999999999</v>
      </c>
      <c r="F21" s="55">
        <f t="shared" si="0"/>
        <v>91.758333333333326</v>
      </c>
      <c r="G21" s="55">
        <f t="shared" si="1"/>
        <v>30.586111111111109</v>
      </c>
      <c r="K21" s="43" t="s">
        <v>9</v>
      </c>
      <c r="L21" s="43" t="s">
        <v>10</v>
      </c>
      <c r="M21" s="43" t="s">
        <v>11</v>
      </c>
      <c r="N21" s="43" t="s">
        <v>12</v>
      </c>
      <c r="O21" s="43" t="s">
        <v>13</v>
      </c>
      <c r="P21" s="43" t="s">
        <v>28</v>
      </c>
      <c r="Q21" s="44">
        <v>0.05</v>
      </c>
      <c r="R21" s="44">
        <v>0.01</v>
      </c>
      <c r="S21" s="13"/>
    </row>
    <row r="22" spans="2:25" x14ac:dyDescent="0.25">
      <c r="B22" s="41" t="s">
        <v>39</v>
      </c>
      <c r="C22" s="55">
        <v>21.423000000000002</v>
      </c>
      <c r="D22" s="55">
        <v>17.488666666666667</v>
      </c>
      <c r="E22" s="55">
        <v>25.570000000000004</v>
      </c>
      <c r="F22" s="55">
        <f t="shared" si="0"/>
        <v>64.481666666666669</v>
      </c>
      <c r="G22" s="55">
        <f t="shared" si="1"/>
        <v>21.49388888888889</v>
      </c>
      <c r="K22" s="43" t="s">
        <v>60</v>
      </c>
      <c r="L22" s="43">
        <f>L15-1</f>
        <v>2</v>
      </c>
      <c r="M22" s="45">
        <f>SUMSQ(C27:E27)/8-L18</f>
        <v>239.25928810897858</v>
      </c>
      <c r="N22" s="46">
        <f t="shared" ref="N22:N27" si="2">M22/L22</f>
        <v>119.62964405448929</v>
      </c>
      <c r="O22" s="46">
        <f>N22/$N$27</f>
        <v>4.1872853173052151</v>
      </c>
      <c r="P22" s="43" t="str">
        <f>IF(O22&lt;Q22,"tn",IF(O22&lt;R22,"*","**"))</f>
        <v>*</v>
      </c>
      <c r="Q22" s="47">
        <f>FINV(5%,$L22,$L$27)</f>
        <v>3.7388918324407361</v>
      </c>
      <c r="R22" s="47">
        <f>FINV(1%,$L22,$L$27)</f>
        <v>6.5148841021827506</v>
      </c>
      <c r="S22" s="7"/>
    </row>
    <row r="23" spans="2:25" x14ac:dyDescent="0.25">
      <c r="B23" s="41" t="s">
        <v>40</v>
      </c>
      <c r="C23" s="55">
        <v>24.583333333333332</v>
      </c>
      <c r="D23" s="55">
        <v>18.002333333333336</v>
      </c>
      <c r="E23" s="55">
        <v>26.393333333333334</v>
      </c>
      <c r="F23" s="55">
        <f t="shared" si="0"/>
        <v>68.978999999999999</v>
      </c>
      <c r="G23" s="55">
        <f t="shared" si="1"/>
        <v>22.992999999999999</v>
      </c>
      <c r="K23" s="43" t="s">
        <v>26</v>
      </c>
      <c r="L23" s="43">
        <f>(L16*L17)-1</f>
        <v>7</v>
      </c>
      <c r="M23" s="48">
        <f>SUMSQ(F19:F26)/L15-L18</f>
        <v>563.88382565703432</v>
      </c>
      <c r="N23" s="48">
        <f t="shared" si="2"/>
        <v>80.554832236719193</v>
      </c>
      <c r="O23" s="46">
        <f>N23/$N$27</f>
        <v>2.8195859724297256</v>
      </c>
      <c r="P23" s="43" t="str">
        <f t="shared" ref="P23:P26" si="3">IF(O23&lt;Q23,"tn",IF(O23&lt;R23,"*","**"))</f>
        <v>*</v>
      </c>
      <c r="Q23" s="47">
        <f t="shared" ref="Q23:Q26" si="4">FINV(5%,$L23,$L$27)</f>
        <v>2.7641992567781792</v>
      </c>
      <c r="R23" s="47">
        <f t="shared" ref="R23:R25" si="5">FINV(1%,$L23,$L$27)</f>
        <v>4.2778818532656411</v>
      </c>
      <c r="S23" s="7"/>
      <c r="T23" t="s">
        <v>52</v>
      </c>
      <c r="U23" s="24">
        <v>4.1109999999999998</v>
      </c>
    </row>
    <row r="24" spans="2:25" x14ac:dyDescent="0.25">
      <c r="B24" s="41" t="s">
        <v>41</v>
      </c>
      <c r="C24" s="55">
        <v>38.093333333333341</v>
      </c>
      <c r="D24" s="55">
        <v>22.186666666666667</v>
      </c>
      <c r="E24" s="55">
        <v>21.425166666666666</v>
      </c>
      <c r="F24" s="55">
        <f t="shared" si="0"/>
        <v>81.70516666666667</v>
      </c>
      <c r="G24" s="55">
        <f t="shared" si="1"/>
        <v>27.235055555555558</v>
      </c>
      <c r="K24" s="43" t="s">
        <v>16</v>
      </c>
      <c r="L24" s="43">
        <f>L16-1</f>
        <v>1</v>
      </c>
      <c r="M24" s="48">
        <f>SUMSQ(G33:G34)/(L15*L17)-L18</f>
        <v>2.0036563562971423</v>
      </c>
      <c r="N24" s="48">
        <f t="shared" si="2"/>
        <v>2.0036563562971423</v>
      </c>
      <c r="O24" s="46">
        <f>N24/$N$27</f>
        <v>7.0132122417975618E-2</v>
      </c>
      <c r="P24" s="43" t="str">
        <f t="shared" si="3"/>
        <v>tn</v>
      </c>
      <c r="Q24" s="47">
        <f t="shared" si="4"/>
        <v>4.6001099366694227</v>
      </c>
      <c r="R24" s="47">
        <f t="shared" si="5"/>
        <v>8.8615926651764276</v>
      </c>
      <c r="S24" s="7"/>
      <c r="U24" s="25"/>
    </row>
    <row r="25" spans="2:25" x14ac:dyDescent="0.25">
      <c r="B25" s="41" t="s">
        <v>42</v>
      </c>
      <c r="C25" s="55">
        <v>41.94166666666667</v>
      </c>
      <c r="D25" s="55">
        <v>20.854800000000001</v>
      </c>
      <c r="E25" s="55">
        <v>19.698399999999999</v>
      </c>
      <c r="F25" s="55">
        <f t="shared" si="0"/>
        <v>82.494866666666667</v>
      </c>
      <c r="G25" s="55">
        <f t="shared" si="1"/>
        <v>27.49828888888889</v>
      </c>
      <c r="K25" s="43" t="s">
        <v>30</v>
      </c>
      <c r="L25" s="43">
        <f>L17-1</f>
        <v>3</v>
      </c>
      <c r="M25" s="48">
        <f>SUMSQ(C35:F35)/(L15*L16)-L18</f>
        <v>66.664356044813758</v>
      </c>
      <c r="N25" s="48">
        <f t="shared" si="2"/>
        <v>22.22145201493792</v>
      </c>
      <c r="O25" s="46">
        <f>N25/$N$27</f>
        <v>0.77779684531177196</v>
      </c>
      <c r="P25" s="43" t="str">
        <f t="shared" si="3"/>
        <v>tn</v>
      </c>
      <c r="Q25" s="47">
        <f t="shared" si="4"/>
        <v>3.3438886781189128</v>
      </c>
      <c r="R25" s="47">
        <f t="shared" si="5"/>
        <v>5.5638858396937421</v>
      </c>
      <c r="S25" s="7"/>
      <c r="U25" s="25"/>
    </row>
    <row r="26" spans="2:25" x14ac:dyDescent="0.25">
      <c r="B26" s="41" t="s">
        <v>43</v>
      </c>
      <c r="C26" s="55">
        <v>18.6965</v>
      </c>
      <c r="D26" s="55">
        <v>16.424000000000003</v>
      </c>
      <c r="E26" s="55">
        <v>19.179666666666666</v>
      </c>
      <c r="F26" s="55">
        <f t="shared" si="0"/>
        <v>54.300166666666669</v>
      </c>
      <c r="G26" s="55">
        <f t="shared" si="1"/>
        <v>18.100055555555556</v>
      </c>
      <c r="K26" s="43" t="s">
        <v>44</v>
      </c>
      <c r="L26" s="43">
        <f>L24*L25</f>
        <v>3</v>
      </c>
      <c r="M26" s="48">
        <f>M23-M24-M25</f>
        <v>495.21581325592342</v>
      </c>
      <c r="N26" s="48">
        <f t="shared" si="2"/>
        <v>165.07193775197447</v>
      </c>
      <c r="O26" s="46">
        <f>N26/$N$27</f>
        <v>5.7778597162182619</v>
      </c>
      <c r="P26" s="43" t="str">
        <f t="shared" si="3"/>
        <v>**</v>
      </c>
      <c r="Q26" s="47">
        <f t="shared" si="4"/>
        <v>3.3438886781189128</v>
      </c>
      <c r="R26" s="47">
        <f>FINV(1%,$L26,$L$27)</f>
        <v>5.5638858396937421</v>
      </c>
      <c r="S26" s="7"/>
      <c r="U26" s="25"/>
    </row>
    <row r="27" spans="2:25" x14ac:dyDescent="0.25">
      <c r="B27" s="42" t="s">
        <v>29</v>
      </c>
      <c r="C27" s="57">
        <f>SUM(C19:C26)</f>
        <v>225.40566666666666</v>
      </c>
      <c r="D27" s="57">
        <f>SUM(D19:D26)</f>
        <v>164.53130000000002</v>
      </c>
      <c r="E27" s="57">
        <f>SUM(E19:E26)</f>
        <v>185.38489999999999</v>
      </c>
      <c r="F27" s="57">
        <f>SUM(F19:F26)</f>
        <v>575.32186666666666</v>
      </c>
      <c r="G27" s="98"/>
      <c r="K27" s="43" t="s">
        <v>59</v>
      </c>
      <c r="L27" s="43">
        <f>L28-L23-L22</f>
        <v>14</v>
      </c>
      <c r="M27" s="45">
        <f>M28-M22-M23</f>
        <v>399.97633068880532</v>
      </c>
      <c r="N27" s="46">
        <f t="shared" si="2"/>
        <v>28.569737906343239</v>
      </c>
      <c r="O27" s="102"/>
      <c r="P27" s="103"/>
      <c r="Q27" s="103"/>
      <c r="R27" s="103"/>
      <c r="S27" s="7"/>
      <c r="T27" t="s">
        <v>53</v>
      </c>
      <c r="U27" s="24">
        <v>3.0329999999999999</v>
      </c>
    </row>
    <row r="28" spans="2:25" x14ac:dyDescent="0.25">
      <c r="B28" s="40" t="s">
        <v>61</v>
      </c>
      <c r="C28" s="56">
        <f>AVERAGE(C19:C26)</f>
        <v>28.175708333333333</v>
      </c>
      <c r="D28" s="56">
        <f>AVERAGE(D19:D26)</f>
        <v>20.566412500000002</v>
      </c>
      <c r="E28" s="56">
        <f>AVERAGE(E19:E26)</f>
        <v>23.173112499999998</v>
      </c>
      <c r="F28" s="99"/>
      <c r="G28" s="99"/>
      <c r="K28" s="43" t="s">
        <v>29</v>
      </c>
      <c r="L28" s="43">
        <f>(3*4*2)-1</f>
        <v>23</v>
      </c>
      <c r="M28" s="45">
        <f>SUMSQ(C19:E26)-L18</f>
        <v>1203.1194444548182</v>
      </c>
      <c r="N28" s="102"/>
      <c r="O28" s="102"/>
      <c r="P28" s="103"/>
      <c r="Q28" s="103"/>
      <c r="R28" s="103"/>
      <c r="S28" s="28">
        <f>R31+R33</f>
        <v>25.325097605776755</v>
      </c>
      <c r="T28" s="27">
        <f>T32+R33</f>
        <v>30.853653161332311</v>
      </c>
      <c r="V28" s="27">
        <f>V31+R33</f>
        <v>32.352764272443423</v>
      </c>
      <c r="X28" s="27">
        <f>X31+R33</f>
        <v>36.858053161332315</v>
      </c>
    </row>
    <row r="29" spans="2:25" x14ac:dyDescent="0.25">
      <c r="F29" s="100"/>
      <c r="L29" s="7"/>
      <c r="M29" s="7"/>
      <c r="N29" s="14"/>
      <c r="O29" s="14"/>
      <c r="P29" s="7"/>
      <c r="Q29" s="7"/>
      <c r="R29" s="15"/>
      <c r="S29" s="15">
        <f>R32+R33</f>
        <v>37.261986494665642</v>
      </c>
      <c r="T29" s="27">
        <f>T31+R33</f>
        <v>39.945875383554529</v>
      </c>
      <c r="V29" s="27">
        <f>V32+R33</f>
        <v>36.594819827998982</v>
      </c>
      <c r="X29" s="27">
        <f>X32+R33</f>
        <v>27.459819827998977</v>
      </c>
    </row>
    <row r="30" spans="2:25" x14ac:dyDescent="0.25">
      <c r="K30" s="20" t="s">
        <v>30</v>
      </c>
      <c r="L30" s="20" t="s">
        <v>23</v>
      </c>
      <c r="M30" s="20" t="s">
        <v>28</v>
      </c>
      <c r="N30" s="20" t="s">
        <v>24</v>
      </c>
      <c r="O30" s="20" t="s">
        <v>28</v>
      </c>
      <c r="Q30" s="9"/>
      <c r="R30" s="9" t="s">
        <v>18</v>
      </c>
      <c r="S30" s="9"/>
      <c r="T30" s="21" t="s">
        <v>19</v>
      </c>
      <c r="U30" s="9"/>
      <c r="V30" s="9" t="s">
        <v>20</v>
      </c>
      <c r="W30" s="9"/>
      <c r="X30" s="9" t="s">
        <v>21</v>
      </c>
      <c r="Y30" s="9"/>
    </row>
    <row r="31" spans="2:25" x14ac:dyDescent="0.25">
      <c r="B31" t="s">
        <v>31</v>
      </c>
      <c r="K31" s="9" t="s">
        <v>18</v>
      </c>
      <c r="L31" s="22">
        <f>G19</f>
        <v>15.965333333333334</v>
      </c>
      <c r="M31" s="9" t="s">
        <v>45</v>
      </c>
      <c r="N31" s="22">
        <f>G20</f>
        <v>27.902222222222221</v>
      </c>
      <c r="O31" s="9" t="s">
        <v>45</v>
      </c>
      <c r="Q31" s="9" t="s">
        <v>23</v>
      </c>
      <c r="R31" s="22">
        <f>G19</f>
        <v>15.965333333333334</v>
      </c>
      <c r="S31" s="9" t="s">
        <v>46</v>
      </c>
      <c r="T31" s="23">
        <f>G21</f>
        <v>30.586111111111109</v>
      </c>
      <c r="U31" s="9" t="s">
        <v>46</v>
      </c>
      <c r="V31" s="22">
        <f>G23</f>
        <v>22.992999999999999</v>
      </c>
      <c r="W31" s="9" t="s">
        <v>46</v>
      </c>
      <c r="X31" s="22">
        <f>G25</f>
        <v>27.49828888888889</v>
      </c>
      <c r="Y31" s="9" t="s">
        <v>47</v>
      </c>
    </row>
    <row r="32" spans="2:25" x14ac:dyDescent="0.25">
      <c r="B32" s="9" t="s">
        <v>26</v>
      </c>
      <c r="C32" s="9" t="s">
        <v>18</v>
      </c>
      <c r="D32" s="9" t="s">
        <v>19</v>
      </c>
      <c r="E32" s="9" t="s">
        <v>20</v>
      </c>
      <c r="F32" s="9" t="s">
        <v>21</v>
      </c>
      <c r="G32" s="9" t="s">
        <v>32</v>
      </c>
      <c r="H32" s="9" t="s">
        <v>27</v>
      </c>
      <c r="K32" s="9" t="s">
        <v>19</v>
      </c>
      <c r="L32" s="22">
        <f>G21</f>
        <v>30.586111111111109</v>
      </c>
      <c r="M32" s="9" t="s">
        <v>48</v>
      </c>
      <c r="N32" s="22">
        <f>G22</f>
        <v>21.49388888888889</v>
      </c>
      <c r="O32" s="9" t="s">
        <v>45</v>
      </c>
      <c r="Q32" s="9" t="s">
        <v>24</v>
      </c>
      <c r="R32" s="22">
        <f>G20</f>
        <v>27.902222222222221</v>
      </c>
      <c r="S32" s="9" t="s">
        <v>47</v>
      </c>
      <c r="T32" s="23">
        <f>G22</f>
        <v>21.49388888888889</v>
      </c>
      <c r="U32" s="9" t="s">
        <v>46</v>
      </c>
      <c r="V32" s="22">
        <f>G24</f>
        <v>27.235055555555558</v>
      </c>
      <c r="W32" s="9" t="s">
        <v>46</v>
      </c>
      <c r="X32" s="22">
        <f>G26</f>
        <v>18.100055555555556</v>
      </c>
      <c r="Y32" s="9" t="s">
        <v>46</v>
      </c>
    </row>
    <row r="33" spans="2:25" x14ac:dyDescent="0.25">
      <c r="B33" s="9" t="s">
        <v>23</v>
      </c>
      <c r="C33" s="97">
        <f>F19</f>
        <v>47.896000000000001</v>
      </c>
      <c r="D33" s="97">
        <f>F21</f>
        <v>91.758333333333326</v>
      </c>
      <c r="E33" s="97">
        <f>F23</f>
        <v>68.978999999999999</v>
      </c>
      <c r="F33" s="97">
        <f>F25</f>
        <v>82.494866666666667</v>
      </c>
      <c r="G33" s="97">
        <f>SUM(C33:F33)</f>
        <v>291.12819999999999</v>
      </c>
      <c r="H33" s="97">
        <f>G33/12</f>
        <v>24.260683333333333</v>
      </c>
      <c r="K33" s="9" t="s">
        <v>20</v>
      </c>
      <c r="L33" s="22">
        <f>G23</f>
        <v>22.992999999999999</v>
      </c>
      <c r="M33" s="9" t="s">
        <v>49</v>
      </c>
      <c r="N33" s="22">
        <f>G24</f>
        <v>27.235055555555558</v>
      </c>
      <c r="O33" s="9" t="s">
        <v>45</v>
      </c>
      <c r="Q33" s="9" t="s">
        <v>50</v>
      </c>
      <c r="R33" s="71">
        <f>U27*(N27/L15)^0.5</f>
        <v>9.3597642724434227</v>
      </c>
      <c r="S33" s="72"/>
      <c r="T33" s="72"/>
      <c r="U33" s="72"/>
      <c r="V33" s="72"/>
      <c r="W33" s="72"/>
      <c r="X33" s="72"/>
      <c r="Y33" s="73"/>
    </row>
    <row r="34" spans="2:25" x14ac:dyDescent="0.25">
      <c r="B34" s="9" t="s">
        <v>24</v>
      </c>
      <c r="C34" s="97">
        <f>F20</f>
        <v>83.706666666666663</v>
      </c>
      <c r="D34" s="97">
        <f>F22</f>
        <v>64.481666666666669</v>
      </c>
      <c r="E34" s="97">
        <f>F24</f>
        <v>81.70516666666667</v>
      </c>
      <c r="F34" s="97">
        <f>F26</f>
        <v>54.300166666666669</v>
      </c>
      <c r="G34" s="97">
        <f>SUM(C34:F34)</f>
        <v>284.19366666666667</v>
      </c>
      <c r="H34" s="97">
        <f>G34/12</f>
        <v>23.682805555555557</v>
      </c>
      <c r="K34" s="9" t="s">
        <v>21</v>
      </c>
      <c r="L34" s="22">
        <f>G25</f>
        <v>27.49828888888889</v>
      </c>
      <c r="M34" s="9" t="s">
        <v>49</v>
      </c>
      <c r="N34" s="22">
        <f>G26</f>
        <v>18.100055555555556</v>
      </c>
      <c r="O34" s="9" t="s">
        <v>45</v>
      </c>
    </row>
    <row r="35" spans="2:25" x14ac:dyDescent="0.25">
      <c r="B35" s="9" t="s">
        <v>22</v>
      </c>
      <c r="C35" s="97">
        <f>SUM(C33:C34)</f>
        <v>131.60266666666666</v>
      </c>
      <c r="D35" s="97">
        <f>SUM(D33:D34)</f>
        <v>156.24</v>
      </c>
      <c r="E35" s="97">
        <f>SUM(E33:E34)</f>
        <v>150.68416666666667</v>
      </c>
      <c r="F35" s="97">
        <f>SUM(F33:F34)</f>
        <v>136.79503333333332</v>
      </c>
      <c r="G35" s="97">
        <f>SUM(C35:F35)</f>
        <v>575.32186666666666</v>
      </c>
      <c r="H35" s="101"/>
      <c r="K35" s="12" t="s">
        <v>51</v>
      </c>
      <c r="L35" s="74">
        <f>U23*(N27/L15)^0.5</f>
        <v>12.686446067924468</v>
      </c>
      <c r="M35" s="75"/>
      <c r="N35" s="75"/>
      <c r="O35" s="76"/>
    </row>
    <row r="36" spans="2:25" x14ac:dyDescent="0.25">
      <c r="B36" s="9" t="s">
        <v>27</v>
      </c>
      <c r="C36" s="97">
        <f>C35/6</f>
        <v>21.933777777777777</v>
      </c>
      <c r="D36" s="97">
        <f t="shared" ref="D36:F36" si="6">D35/6</f>
        <v>26.040000000000003</v>
      </c>
      <c r="E36" s="97">
        <f t="shared" si="6"/>
        <v>25.114027777777778</v>
      </c>
      <c r="F36" s="97">
        <f t="shared" si="6"/>
        <v>22.799172222222222</v>
      </c>
      <c r="G36" s="101"/>
      <c r="H36" s="101"/>
      <c r="K36" s="64" t="s">
        <v>26</v>
      </c>
      <c r="L36" s="66" t="s">
        <v>57</v>
      </c>
      <c r="M36" s="66"/>
      <c r="N36" s="66"/>
      <c r="O36" s="66"/>
      <c r="P36" s="66"/>
      <c r="Q36" s="66"/>
      <c r="R36" s="66"/>
      <c r="S36" s="66"/>
      <c r="T36" s="66"/>
      <c r="U36" s="66"/>
      <c r="V36" s="66"/>
      <c r="W36" s="66"/>
      <c r="X36" s="64" t="s">
        <v>50</v>
      </c>
    </row>
    <row r="37" spans="2:25" x14ac:dyDescent="0.25">
      <c r="K37" s="65"/>
      <c r="L37" s="70" t="s">
        <v>18</v>
      </c>
      <c r="M37" s="70"/>
      <c r="N37" s="70"/>
      <c r="O37" s="70" t="s">
        <v>19</v>
      </c>
      <c r="P37" s="70"/>
      <c r="Q37" s="70"/>
      <c r="R37" s="70" t="s">
        <v>20</v>
      </c>
      <c r="S37" s="70"/>
      <c r="T37" s="70"/>
      <c r="U37" s="70" t="s">
        <v>21</v>
      </c>
      <c r="V37" s="70"/>
      <c r="W37" s="70"/>
      <c r="X37" s="65"/>
    </row>
    <row r="38" spans="2:25" x14ac:dyDescent="0.25">
      <c r="H38" s="26">
        <f>L31+L35</f>
        <v>28.651779401257802</v>
      </c>
      <c r="I38" s="26">
        <f>N34+L35</f>
        <v>30.786501623480024</v>
      </c>
      <c r="K38" s="34" t="s">
        <v>23</v>
      </c>
      <c r="L38" s="35">
        <f>G19</f>
        <v>15.965333333333334</v>
      </c>
      <c r="M38" s="34" t="s">
        <v>46</v>
      </c>
      <c r="N38" s="34" t="s">
        <v>45</v>
      </c>
      <c r="O38" s="35">
        <f>G21</f>
        <v>30.586111111111109</v>
      </c>
      <c r="P38" s="34" t="s">
        <v>46</v>
      </c>
      <c r="Q38" s="34" t="s">
        <v>48</v>
      </c>
      <c r="R38" s="35">
        <f>G23</f>
        <v>22.992999999999999</v>
      </c>
      <c r="S38" s="34" t="s">
        <v>46</v>
      </c>
      <c r="T38" s="34" t="s">
        <v>49</v>
      </c>
      <c r="U38" s="35">
        <f>G25</f>
        <v>27.49828888888889</v>
      </c>
      <c r="V38" s="34" t="s">
        <v>47</v>
      </c>
      <c r="W38" s="34" t="s">
        <v>49</v>
      </c>
      <c r="X38" s="67">
        <f>L35</f>
        <v>12.686446067924468</v>
      </c>
    </row>
    <row r="39" spans="2:25" x14ac:dyDescent="0.25">
      <c r="H39" s="26">
        <f>L33+L35</f>
        <v>35.679446067924466</v>
      </c>
      <c r="I39" s="26">
        <f>N32+L35</f>
        <v>34.180334956813354</v>
      </c>
      <c r="K39" s="34" t="s">
        <v>24</v>
      </c>
      <c r="L39" s="35">
        <f>G20</f>
        <v>27.902222222222221</v>
      </c>
      <c r="M39" s="34" t="s">
        <v>47</v>
      </c>
      <c r="N39" s="34" t="s">
        <v>45</v>
      </c>
      <c r="O39" s="35">
        <f>G22</f>
        <v>21.49388888888889</v>
      </c>
      <c r="P39" s="34" t="s">
        <v>46</v>
      </c>
      <c r="Q39" s="34" t="s">
        <v>45</v>
      </c>
      <c r="R39" s="35">
        <f>G24</f>
        <v>27.235055555555558</v>
      </c>
      <c r="S39" s="34" t="s">
        <v>46</v>
      </c>
      <c r="T39" s="34" t="s">
        <v>45</v>
      </c>
      <c r="U39" s="35">
        <f>G26</f>
        <v>18.100055555555556</v>
      </c>
      <c r="V39" s="34" t="s">
        <v>46</v>
      </c>
      <c r="W39" s="34" t="s">
        <v>45</v>
      </c>
      <c r="X39" s="67"/>
    </row>
    <row r="40" spans="2:25" x14ac:dyDescent="0.25">
      <c r="H40" s="26">
        <f>L34+L35</f>
        <v>40.184734956813358</v>
      </c>
      <c r="I40" s="26">
        <f>N33+L35</f>
        <v>39.921501623480026</v>
      </c>
      <c r="K40" s="32" t="s">
        <v>51</v>
      </c>
      <c r="L40" s="69">
        <f>R33</f>
        <v>9.3597642724434227</v>
      </c>
      <c r="M40" s="70"/>
      <c r="N40" s="70"/>
      <c r="O40" s="70"/>
      <c r="P40" s="70"/>
      <c r="Q40" s="70"/>
      <c r="R40" s="70"/>
      <c r="S40" s="70"/>
      <c r="T40" s="70"/>
      <c r="U40" s="70"/>
      <c r="V40" s="70"/>
      <c r="W40" s="70"/>
      <c r="X40" s="68"/>
    </row>
    <row r="41" spans="2:25" x14ac:dyDescent="0.25">
      <c r="H41" s="26">
        <f>L32+L35</f>
        <v>43.272557179035573</v>
      </c>
      <c r="I41" s="26">
        <f>N31+L35</f>
        <v>40.588668290146686</v>
      </c>
    </row>
  </sheetData>
  <mergeCells count="15">
    <mergeCell ref="B17:B18"/>
    <mergeCell ref="C17:E17"/>
    <mergeCell ref="F17:F18"/>
    <mergeCell ref="G17:G18"/>
    <mergeCell ref="K36:K37"/>
    <mergeCell ref="L36:W36"/>
    <mergeCell ref="X36:X37"/>
    <mergeCell ref="X38:X40"/>
    <mergeCell ref="L40:W40"/>
    <mergeCell ref="R33:Y33"/>
    <mergeCell ref="L35:O35"/>
    <mergeCell ref="L37:N37"/>
    <mergeCell ref="O37:Q37"/>
    <mergeCell ref="R37:T37"/>
    <mergeCell ref="U37:W37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AE42"/>
  <sheetViews>
    <sheetView zoomScale="78" zoomScaleNormal="78" workbookViewId="0">
      <selection activeCell="I10" sqref="I10"/>
    </sheetView>
  </sheetViews>
  <sheetFormatPr defaultRowHeight="15" x14ac:dyDescent="0.25"/>
  <cols>
    <col min="2" max="2" width="9.85546875" customWidth="1"/>
    <col min="3" max="3" width="9.5703125" bestFit="1" customWidth="1"/>
    <col min="6" max="6" width="9.5703125" bestFit="1" customWidth="1"/>
    <col min="11" max="11" width="9.7109375" customWidth="1"/>
    <col min="12" max="12" width="10.140625" customWidth="1"/>
    <col min="14" max="14" width="9.5703125" bestFit="1" customWidth="1"/>
    <col min="16" max="16" width="10.28515625" bestFit="1" customWidth="1"/>
  </cols>
  <sheetData>
    <row r="5" spans="2:31" x14ac:dyDescent="0.25">
      <c r="B5" s="6"/>
      <c r="C5" s="6"/>
      <c r="D5" s="6"/>
      <c r="E5" s="6"/>
      <c r="F5" s="96"/>
      <c r="G5" s="86"/>
      <c r="H5" s="6"/>
      <c r="I5" s="6"/>
      <c r="J5" s="6"/>
      <c r="K5" s="6"/>
      <c r="L5" s="6"/>
      <c r="M5" s="6"/>
      <c r="N5" s="6"/>
      <c r="O5" s="6"/>
      <c r="P5" s="6"/>
      <c r="Q5" s="86"/>
      <c r="R5" s="6"/>
      <c r="S5" s="6"/>
      <c r="T5" s="6"/>
      <c r="U5" s="6"/>
      <c r="V5" s="6"/>
      <c r="W5" s="6"/>
      <c r="X5" s="6"/>
      <c r="Y5" s="6"/>
      <c r="Z5" s="6"/>
      <c r="AA5" s="6"/>
      <c r="AB5" s="96"/>
      <c r="AC5" s="6"/>
      <c r="AD5" s="6"/>
      <c r="AE5" s="6"/>
    </row>
    <row r="6" spans="2:31" x14ac:dyDescent="0.25">
      <c r="B6" s="96"/>
      <c r="C6" s="86"/>
      <c r="D6" s="86"/>
      <c r="E6" s="86"/>
      <c r="F6" s="86"/>
      <c r="G6" s="86"/>
      <c r="H6" s="86"/>
      <c r="I6" s="86"/>
      <c r="J6" s="6"/>
      <c r="K6" s="6"/>
      <c r="L6" s="6"/>
      <c r="M6" s="96"/>
      <c r="N6" s="86"/>
      <c r="O6" s="86"/>
      <c r="P6" s="86"/>
      <c r="Q6" s="86"/>
      <c r="R6" s="86"/>
      <c r="S6" s="86"/>
      <c r="T6" s="86"/>
      <c r="U6" s="6"/>
      <c r="V6" s="6"/>
      <c r="W6" s="6"/>
      <c r="X6" s="96"/>
      <c r="Y6" s="86"/>
      <c r="Z6" s="86"/>
      <c r="AA6" s="86"/>
      <c r="AB6" s="86"/>
      <c r="AC6" s="86"/>
      <c r="AD6" s="86"/>
      <c r="AE6" s="86"/>
    </row>
    <row r="7" spans="2:31" x14ac:dyDescent="0.25"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</row>
    <row r="8" spans="2:31" x14ac:dyDescent="0.25"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</row>
    <row r="9" spans="2:31" x14ac:dyDescent="0.25"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</row>
    <row r="10" spans="2:31" x14ac:dyDescent="0.25">
      <c r="B10" s="6"/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</row>
    <row r="11" spans="2:31" x14ac:dyDescent="0.25"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</row>
    <row r="12" spans="2:31" x14ac:dyDescent="0.25">
      <c r="B12" s="6"/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</row>
    <row r="13" spans="2:31" x14ac:dyDescent="0.25">
      <c r="B13" s="6"/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</row>
    <row r="14" spans="2:31" x14ac:dyDescent="0.25">
      <c r="B14" t="s">
        <v>34</v>
      </c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</row>
    <row r="15" spans="2:31" x14ac:dyDescent="0.25">
      <c r="K15" t="s">
        <v>5</v>
      </c>
      <c r="L15">
        <v>3</v>
      </c>
    </row>
    <row r="16" spans="2:31" x14ac:dyDescent="0.25">
      <c r="K16" t="s">
        <v>7</v>
      </c>
      <c r="L16">
        <v>2</v>
      </c>
    </row>
    <row r="17" spans="2:25" x14ac:dyDescent="0.25">
      <c r="B17" s="64" t="s">
        <v>26</v>
      </c>
      <c r="C17" s="63" t="s">
        <v>62</v>
      </c>
      <c r="D17" s="63"/>
      <c r="E17" s="63"/>
      <c r="F17" s="64" t="s">
        <v>29</v>
      </c>
      <c r="G17" s="64" t="s">
        <v>61</v>
      </c>
      <c r="K17" t="s">
        <v>6</v>
      </c>
      <c r="L17">
        <v>4</v>
      </c>
    </row>
    <row r="18" spans="2:25" x14ac:dyDescent="0.25">
      <c r="B18" s="65"/>
      <c r="C18" s="40" t="s">
        <v>2</v>
      </c>
      <c r="D18" s="40" t="s">
        <v>3</v>
      </c>
      <c r="E18" s="40" t="s">
        <v>4</v>
      </c>
      <c r="F18" s="65"/>
      <c r="G18" s="65"/>
      <c r="K18" t="s">
        <v>8</v>
      </c>
      <c r="L18">
        <f>F27^2/(L15*L16*L17)</f>
        <v>39614.642883473382</v>
      </c>
    </row>
    <row r="19" spans="2:25" x14ac:dyDescent="0.25">
      <c r="B19" s="41" t="s">
        <v>36</v>
      </c>
      <c r="C19" s="55">
        <v>34.091666666666669</v>
      </c>
      <c r="D19" s="55">
        <v>19.56816666666667</v>
      </c>
      <c r="E19" s="55">
        <v>39.416666666666664</v>
      </c>
      <c r="F19" s="55">
        <f>SUM(C19:E19)</f>
        <v>93.07650000000001</v>
      </c>
      <c r="G19" s="55">
        <f>AVERAGE(C19:E19)</f>
        <v>31.025500000000005</v>
      </c>
    </row>
    <row r="20" spans="2:25" x14ac:dyDescent="0.25">
      <c r="B20" s="41" t="s">
        <v>37</v>
      </c>
      <c r="C20" s="55">
        <v>50.555</v>
      </c>
      <c r="D20" s="55">
        <v>44.445</v>
      </c>
      <c r="E20" s="55">
        <v>43.516666666666673</v>
      </c>
      <c r="F20" s="55">
        <f t="shared" ref="F20:F26" si="0">SUM(C20:E20)</f>
        <v>138.51666666666668</v>
      </c>
      <c r="G20" s="55">
        <f t="shared" ref="G20:G26" si="1">AVERAGE(C20:E20)</f>
        <v>46.172222222222224</v>
      </c>
    </row>
    <row r="21" spans="2:25" x14ac:dyDescent="0.25">
      <c r="B21" s="41" t="s">
        <v>38</v>
      </c>
      <c r="C21" s="55">
        <v>63.129999999999995</v>
      </c>
      <c r="D21" s="55">
        <v>46.44</v>
      </c>
      <c r="E21" s="55">
        <v>42.258333333333333</v>
      </c>
      <c r="F21" s="55">
        <f t="shared" si="0"/>
        <v>151.82833333333332</v>
      </c>
      <c r="G21" s="55">
        <f t="shared" si="1"/>
        <v>50.609444444444442</v>
      </c>
      <c r="K21" s="49" t="s">
        <v>9</v>
      </c>
      <c r="L21" s="49" t="s">
        <v>10</v>
      </c>
      <c r="M21" s="49" t="s">
        <v>11</v>
      </c>
      <c r="N21" s="49" t="s">
        <v>12</v>
      </c>
      <c r="O21" s="49" t="s">
        <v>13</v>
      </c>
      <c r="P21" s="49" t="s">
        <v>28</v>
      </c>
      <c r="Q21" s="50">
        <v>0.05</v>
      </c>
      <c r="R21" s="50">
        <v>0.01</v>
      </c>
    </row>
    <row r="22" spans="2:25" x14ac:dyDescent="0.25">
      <c r="B22" s="41" t="s">
        <v>39</v>
      </c>
      <c r="C22" s="55">
        <v>42.56666666666667</v>
      </c>
      <c r="D22" s="55">
        <v>34.166666666666664</v>
      </c>
      <c r="E22" s="55">
        <v>41.404999999999994</v>
      </c>
      <c r="F22" s="55">
        <f t="shared" si="0"/>
        <v>118.13833333333332</v>
      </c>
      <c r="G22" s="55">
        <f t="shared" si="1"/>
        <v>39.379444444444438</v>
      </c>
      <c r="K22" s="49" t="s">
        <v>60</v>
      </c>
      <c r="L22" s="49">
        <f>L15-1</f>
        <v>2</v>
      </c>
      <c r="M22" s="51">
        <f>SUMSQ(C27:E27)/8-L18</f>
        <v>744.67159500231355</v>
      </c>
      <c r="N22" s="53">
        <f t="shared" ref="N22:N27" si="2">M22/L22</f>
        <v>372.33579750115678</v>
      </c>
      <c r="O22" s="52">
        <f>N22/$N$27</f>
        <v>8.5243588566286075</v>
      </c>
      <c r="P22" s="49" t="str">
        <f>IF(O22&lt;Q22,"tn",IF(O22&lt;R22,"*","**"))</f>
        <v>**</v>
      </c>
      <c r="Q22" s="53">
        <f>FINV(5%,$L22,$L$27)</f>
        <v>3.7388918324407361</v>
      </c>
      <c r="R22" s="53">
        <f>FINV(1%,$L22,$L$27)</f>
        <v>6.5148841021827506</v>
      </c>
    </row>
    <row r="23" spans="2:25" x14ac:dyDescent="0.25">
      <c r="B23" s="41" t="s">
        <v>40</v>
      </c>
      <c r="C23" s="55">
        <v>40.06</v>
      </c>
      <c r="D23" s="55">
        <v>32.073333333333331</v>
      </c>
      <c r="E23" s="55">
        <v>39.536666666666669</v>
      </c>
      <c r="F23" s="55">
        <f t="shared" si="0"/>
        <v>111.66999999999999</v>
      </c>
      <c r="G23" s="55">
        <f t="shared" si="1"/>
        <v>37.223333333333329</v>
      </c>
      <c r="K23" s="49" t="s">
        <v>26</v>
      </c>
      <c r="L23" s="49">
        <f>(L16*L17)-1</f>
        <v>7</v>
      </c>
      <c r="M23" s="54">
        <f>SUMSQ(F19:F26)/L15-L18</f>
        <v>1050.301536721061</v>
      </c>
      <c r="N23" s="54">
        <f t="shared" si="2"/>
        <v>150.04307667443729</v>
      </c>
      <c r="O23" s="52">
        <f>N23/$N$27</f>
        <v>3.4351277478807853</v>
      </c>
      <c r="P23" s="49" t="str">
        <f t="shared" ref="P23:P26" si="3">IF(O23&lt;Q23,"tn",IF(O23&lt;R23,"*","**"))</f>
        <v>*</v>
      </c>
      <c r="Q23" s="53">
        <f t="shared" ref="Q23:Q26" si="4">FINV(5%,$L23,$L$27)</f>
        <v>2.7641992567781792</v>
      </c>
      <c r="R23" s="53">
        <f t="shared" ref="R23:R25" si="5">FINV(1%,$L23,$L$27)</f>
        <v>4.2778818532656411</v>
      </c>
      <c r="T23" t="s">
        <v>52</v>
      </c>
      <c r="U23" s="24">
        <v>4.1109999999999998</v>
      </c>
    </row>
    <row r="24" spans="2:25" x14ac:dyDescent="0.25">
      <c r="B24" s="41" t="s">
        <v>41</v>
      </c>
      <c r="C24" s="55">
        <v>63.716666666666669</v>
      </c>
      <c r="D24" s="55">
        <v>32.236666666666665</v>
      </c>
      <c r="E24" s="55">
        <v>43.683333333333337</v>
      </c>
      <c r="F24" s="55">
        <f t="shared" si="0"/>
        <v>139.63666666666666</v>
      </c>
      <c r="G24" s="55">
        <f t="shared" si="1"/>
        <v>46.545555555555552</v>
      </c>
      <c r="K24" s="49" t="s">
        <v>16</v>
      </c>
      <c r="L24" s="49">
        <f>L16-1</f>
        <v>1</v>
      </c>
      <c r="M24" s="54">
        <f>SUMSQ(G33:G34)/(L15*L17)-L18</f>
        <v>3.1405929178217775</v>
      </c>
      <c r="N24" s="54">
        <f t="shared" si="2"/>
        <v>3.1405929178217775</v>
      </c>
      <c r="O24" s="52">
        <f>N24/$N$27</f>
        <v>7.190160396547951E-2</v>
      </c>
      <c r="P24" s="49" t="str">
        <f t="shared" si="3"/>
        <v>tn</v>
      </c>
      <c r="Q24" s="53">
        <f t="shared" si="4"/>
        <v>4.6001099366694227</v>
      </c>
      <c r="R24" s="53">
        <f t="shared" si="5"/>
        <v>8.8615926651764276</v>
      </c>
      <c r="U24" s="25"/>
    </row>
    <row r="25" spans="2:25" x14ac:dyDescent="0.25">
      <c r="B25" s="41" t="s">
        <v>42</v>
      </c>
      <c r="C25" s="55">
        <v>55.170000000000009</v>
      </c>
      <c r="D25" s="55">
        <v>34.443333333333335</v>
      </c>
      <c r="E25" s="55">
        <v>37.003333333333337</v>
      </c>
      <c r="F25" s="55">
        <f t="shared" si="0"/>
        <v>126.61666666666667</v>
      </c>
      <c r="G25" s="55">
        <f t="shared" si="1"/>
        <v>42.205555555555556</v>
      </c>
      <c r="K25" s="49" t="s">
        <v>30</v>
      </c>
      <c r="L25" s="49">
        <f>L17-1</f>
        <v>3</v>
      </c>
      <c r="M25" s="54">
        <f>SUMSQ(C35:F35)/(L15*L16)-L18</f>
        <v>226.11311736457719</v>
      </c>
      <c r="N25" s="54">
        <f t="shared" si="2"/>
        <v>75.371039121525726</v>
      </c>
      <c r="O25" s="52">
        <f>N25/$N$27</f>
        <v>1.7255654416813979</v>
      </c>
      <c r="P25" s="49" t="str">
        <f t="shared" si="3"/>
        <v>tn</v>
      </c>
      <c r="Q25" s="53">
        <f t="shared" si="4"/>
        <v>3.3438886781189128</v>
      </c>
      <c r="R25" s="53">
        <f t="shared" si="5"/>
        <v>5.5638858396937421</v>
      </c>
      <c r="S25" s="16"/>
      <c r="U25" s="25"/>
    </row>
    <row r="26" spans="2:25" x14ac:dyDescent="0.25">
      <c r="B26" s="41" t="s">
        <v>43</v>
      </c>
      <c r="C26" s="55">
        <v>34.796666666666667</v>
      </c>
      <c r="D26" s="55">
        <v>33.085000000000001</v>
      </c>
      <c r="E26" s="55">
        <v>27.700000000000003</v>
      </c>
      <c r="F26" s="55">
        <f t="shared" si="0"/>
        <v>95.581666666666663</v>
      </c>
      <c r="G26" s="55">
        <f t="shared" si="1"/>
        <v>31.860555555555553</v>
      </c>
      <c r="K26" s="49" t="s">
        <v>44</v>
      </c>
      <c r="L26" s="49">
        <f>L24*L25</f>
        <v>3</v>
      </c>
      <c r="M26" s="54">
        <f>M23-M24-M25</f>
        <v>821.04782643866201</v>
      </c>
      <c r="N26" s="54">
        <f t="shared" si="2"/>
        <v>273.68260881288734</v>
      </c>
      <c r="O26" s="52">
        <f>N26/$N$27</f>
        <v>6.2657654353852745</v>
      </c>
      <c r="P26" s="49" t="str">
        <f t="shared" si="3"/>
        <v>**</v>
      </c>
      <c r="Q26" s="53">
        <f t="shared" si="4"/>
        <v>3.3438886781189128</v>
      </c>
      <c r="R26" s="53">
        <f>FINV(1%,$L26,$L$27)</f>
        <v>5.5638858396937421</v>
      </c>
      <c r="S26" s="19"/>
      <c r="U26" s="25"/>
    </row>
    <row r="27" spans="2:25" x14ac:dyDescent="0.25">
      <c r="B27" s="42" t="s">
        <v>29</v>
      </c>
      <c r="C27" s="57">
        <f>SUM(C19:C26)</f>
        <v>384.0866666666667</v>
      </c>
      <c r="D27" s="57">
        <f>SUM(D19:D26)</f>
        <v>276.45816666666661</v>
      </c>
      <c r="E27" s="42">
        <f>SUM(E19:E26)</f>
        <v>314.52</v>
      </c>
      <c r="F27" s="57">
        <f>SUM(F19:F26)</f>
        <v>975.06483333333335</v>
      </c>
      <c r="G27" s="98"/>
      <c r="K27" s="49" t="s">
        <v>59</v>
      </c>
      <c r="L27" s="49">
        <f>L28-L23-L22</f>
        <v>14</v>
      </c>
      <c r="M27" s="51">
        <f>M28-M22-M23</f>
        <v>611.50653705325385</v>
      </c>
      <c r="N27" s="52">
        <f t="shared" si="2"/>
        <v>43.679038360946706</v>
      </c>
      <c r="O27" s="94"/>
      <c r="P27" s="95"/>
      <c r="Q27" s="95"/>
      <c r="R27" s="95"/>
      <c r="S27" s="19"/>
      <c r="T27" t="s">
        <v>53</v>
      </c>
      <c r="U27" s="24">
        <v>3.0329999999999999</v>
      </c>
    </row>
    <row r="28" spans="2:25" x14ac:dyDescent="0.25">
      <c r="B28" s="40" t="s">
        <v>61</v>
      </c>
      <c r="C28" s="56">
        <f>AVERAGE(C19:C26)</f>
        <v>48.010833333333338</v>
      </c>
      <c r="D28" s="56">
        <f>AVERAGE(D19:D26)</f>
        <v>34.557270833333327</v>
      </c>
      <c r="E28" s="56">
        <f>AVERAGE(E19:E26)</f>
        <v>39.314999999999998</v>
      </c>
      <c r="F28" s="99"/>
      <c r="G28" s="99"/>
      <c r="K28" s="49" t="s">
        <v>29</v>
      </c>
      <c r="L28" s="49">
        <f>(3*4*2)-1</f>
        <v>23</v>
      </c>
      <c r="M28" s="51">
        <f>SUMSQ(C19:E26)-L18</f>
        <v>2406.4796687766284</v>
      </c>
      <c r="N28" s="94"/>
      <c r="O28" s="94"/>
      <c r="P28" s="95"/>
      <c r="Q28" s="95"/>
      <c r="R28" s="95"/>
      <c r="S28" s="19">
        <f>R31+R33</f>
        <v>42.598562995835962</v>
      </c>
      <c r="T28" s="27">
        <f>T32+R33</f>
        <v>50.952507440280399</v>
      </c>
      <c r="V28" s="27">
        <f>V31+R33</f>
        <v>48.796396329169291</v>
      </c>
      <c r="X28" s="27">
        <f>X32+R33</f>
        <v>43.433618551391511</v>
      </c>
    </row>
    <row r="29" spans="2:25" x14ac:dyDescent="0.25">
      <c r="L29" s="6"/>
      <c r="M29" s="6"/>
      <c r="N29" s="17"/>
      <c r="O29" s="17"/>
      <c r="P29" s="18"/>
      <c r="Q29" s="6"/>
      <c r="R29" s="19"/>
      <c r="S29" s="19">
        <f>R32+R33</f>
        <v>57.745285218058186</v>
      </c>
      <c r="T29" s="27">
        <f>T31+R33</f>
        <v>62.182507440280403</v>
      </c>
      <c r="V29" s="27">
        <f>V32+R33</f>
        <v>58.118618551391513</v>
      </c>
      <c r="X29" s="27">
        <f>X31+R33</f>
        <v>53.778618551391517</v>
      </c>
    </row>
    <row r="30" spans="2:25" x14ac:dyDescent="0.25">
      <c r="K30" s="20" t="s">
        <v>30</v>
      </c>
      <c r="L30" s="20" t="s">
        <v>23</v>
      </c>
      <c r="M30" s="20" t="s">
        <v>28</v>
      </c>
      <c r="N30" s="20" t="s">
        <v>24</v>
      </c>
      <c r="O30" s="20" t="s">
        <v>28</v>
      </c>
      <c r="Q30" s="9"/>
      <c r="R30" s="9" t="s">
        <v>18</v>
      </c>
      <c r="S30" s="9"/>
      <c r="T30" s="21" t="s">
        <v>19</v>
      </c>
      <c r="U30" s="9"/>
      <c r="V30" s="9" t="s">
        <v>20</v>
      </c>
      <c r="W30" s="9"/>
      <c r="X30" s="9" t="s">
        <v>21</v>
      </c>
      <c r="Y30" s="9"/>
    </row>
    <row r="31" spans="2:25" x14ac:dyDescent="0.25">
      <c r="B31" t="s">
        <v>31</v>
      </c>
      <c r="K31" s="9" t="s">
        <v>18</v>
      </c>
      <c r="L31" s="22">
        <f>G19</f>
        <v>31.025500000000005</v>
      </c>
      <c r="M31" s="9" t="s">
        <v>45</v>
      </c>
      <c r="N31" s="22">
        <f>G20</f>
        <v>46.172222222222224</v>
      </c>
      <c r="O31" s="9" t="s">
        <v>45</v>
      </c>
      <c r="Q31" s="9" t="s">
        <v>23</v>
      </c>
      <c r="R31" s="22">
        <f>G19</f>
        <v>31.025500000000005</v>
      </c>
      <c r="S31" s="9" t="s">
        <v>46</v>
      </c>
      <c r="T31" s="23">
        <f>G21</f>
        <v>50.609444444444442</v>
      </c>
      <c r="U31" s="9" t="s">
        <v>46</v>
      </c>
      <c r="V31" s="22">
        <f>G23</f>
        <v>37.223333333333329</v>
      </c>
      <c r="W31" s="9" t="s">
        <v>46</v>
      </c>
      <c r="X31" s="22">
        <f>G25</f>
        <v>42.205555555555556</v>
      </c>
      <c r="Y31" s="9" t="s">
        <v>46</v>
      </c>
    </row>
    <row r="32" spans="2:25" x14ac:dyDescent="0.25">
      <c r="B32" s="9" t="s">
        <v>26</v>
      </c>
      <c r="C32" s="9" t="s">
        <v>18</v>
      </c>
      <c r="D32" s="9" t="s">
        <v>19</v>
      </c>
      <c r="E32" s="9" t="s">
        <v>20</v>
      </c>
      <c r="F32" s="9" t="s">
        <v>21</v>
      </c>
      <c r="G32" s="9" t="s">
        <v>32</v>
      </c>
      <c r="H32" s="9" t="s">
        <v>27</v>
      </c>
      <c r="K32" s="9" t="s">
        <v>19</v>
      </c>
      <c r="L32" s="22">
        <f>G21</f>
        <v>50.609444444444442</v>
      </c>
      <c r="M32" s="9" t="s">
        <v>48</v>
      </c>
      <c r="N32" s="22">
        <f>G22</f>
        <v>39.379444444444438</v>
      </c>
      <c r="O32" s="9" t="s">
        <v>45</v>
      </c>
      <c r="Q32" s="9" t="s">
        <v>24</v>
      </c>
      <c r="R32" s="22">
        <f>G20</f>
        <v>46.172222222222224</v>
      </c>
      <c r="S32" s="9" t="s">
        <v>47</v>
      </c>
      <c r="T32" s="23">
        <f>G22</f>
        <v>39.379444444444438</v>
      </c>
      <c r="U32" s="9" t="s">
        <v>46</v>
      </c>
      <c r="V32" s="22">
        <f>G24</f>
        <v>46.545555555555552</v>
      </c>
      <c r="W32" s="9" t="s">
        <v>46</v>
      </c>
      <c r="X32" s="22">
        <f>G26</f>
        <v>31.860555555555553</v>
      </c>
      <c r="Y32" s="9" t="s">
        <v>46</v>
      </c>
    </row>
    <row r="33" spans="2:25" x14ac:dyDescent="0.25">
      <c r="B33" s="9" t="s">
        <v>23</v>
      </c>
      <c r="C33" s="97">
        <f>F19</f>
        <v>93.07650000000001</v>
      </c>
      <c r="D33" s="97">
        <f>F21</f>
        <v>151.82833333333332</v>
      </c>
      <c r="E33" s="97">
        <f>F23</f>
        <v>111.66999999999999</v>
      </c>
      <c r="F33" s="97">
        <f>F25</f>
        <v>126.61666666666667</v>
      </c>
      <c r="G33" s="97">
        <f>SUM(C33:F33)</f>
        <v>483.19150000000002</v>
      </c>
      <c r="H33" s="97">
        <f>G33/12</f>
        <v>40.265958333333337</v>
      </c>
      <c r="K33" s="9" t="s">
        <v>20</v>
      </c>
      <c r="L33" s="22">
        <f>G23</f>
        <v>37.223333333333329</v>
      </c>
      <c r="M33" s="9" t="s">
        <v>49</v>
      </c>
      <c r="N33" s="22">
        <f>G24</f>
        <v>46.545555555555552</v>
      </c>
      <c r="O33" s="9" t="s">
        <v>45</v>
      </c>
      <c r="Q33" s="9" t="s">
        <v>50</v>
      </c>
      <c r="R33" s="71">
        <f>U27*(N27/L15)^0.5</f>
        <v>11.57306299583596</v>
      </c>
      <c r="S33" s="72"/>
      <c r="T33" s="72"/>
      <c r="U33" s="72"/>
      <c r="V33" s="72"/>
      <c r="W33" s="72"/>
      <c r="X33" s="72"/>
      <c r="Y33" s="73"/>
    </row>
    <row r="34" spans="2:25" x14ac:dyDescent="0.25">
      <c r="B34" s="9" t="s">
        <v>24</v>
      </c>
      <c r="C34" s="97">
        <f>F20</f>
        <v>138.51666666666668</v>
      </c>
      <c r="D34" s="97">
        <f>F22</f>
        <v>118.13833333333332</v>
      </c>
      <c r="E34" s="97">
        <f>F24</f>
        <v>139.63666666666666</v>
      </c>
      <c r="F34" s="97">
        <f>F26</f>
        <v>95.581666666666663</v>
      </c>
      <c r="G34" s="97">
        <f>SUM(C34:F34)</f>
        <v>491.87333333333328</v>
      </c>
      <c r="H34" s="97">
        <f>G34/12</f>
        <v>40.989444444444437</v>
      </c>
      <c r="J34" s="26">
        <f>L31+L35</f>
        <v>46.71190355287888</v>
      </c>
      <c r="K34" s="9" t="s">
        <v>21</v>
      </c>
      <c r="L34" s="22">
        <f>G25</f>
        <v>42.205555555555556</v>
      </c>
      <c r="M34" s="9" t="s">
        <v>49</v>
      </c>
      <c r="N34" s="22">
        <f>G26</f>
        <v>31.860555555555553</v>
      </c>
      <c r="O34" s="9" t="s">
        <v>45</v>
      </c>
    </row>
    <row r="35" spans="2:25" x14ac:dyDescent="0.25">
      <c r="B35" s="9" t="s">
        <v>22</v>
      </c>
      <c r="C35" s="97">
        <f>SUM(C33:C34)</f>
        <v>231.59316666666669</v>
      </c>
      <c r="D35" s="97">
        <f>SUM(D33:D34)</f>
        <v>269.96666666666664</v>
      </c>
      <c r="E35" s="97">
        <f>SUM(E33:E34)</f>
        <v>251.30666666666664</v>
      </c>
      <c r="F35" s="97">
        <f>SUM(F33:F34)</f>
        <v>222.19833333333332</v>
      </c>
      <c r="G35" s="97">
        <f>SUM(C35:F35)</f>
        <v>975.06483333333335</v>
      </c>
      <c r="H35" s="101"/>
      <c r="J35" s="26">
        <f>L33+L35</f>
        <v>52.909736886212201</v>
      </c>
      <c r="K35" s="12" t="s">
        <v>51</v>
      </c>
      <c r="L35" s="74">
        <f>U23*(N27/L15)^0.5</f>
        <v>15.686403552878875</v>
      </c>
      <c r="M35" s="75"/>
      <c r="N35" s="75"/>
      <c r="O35" s="76"/>
    </row>
    <row r="36" spans="2:25" x14ac:dyDescent="0.25">
      <c r="B36" s="9" t="s">
        <v>27</v>
      </c>
      <c r="C36" s="97">
        <f>C35/6</f>
        <v>38.598861111111113</v>
      </c>
      <c r="D36" s="97">
        <f t="shared" ref="D36:F36" si="6">D35/6</f>
        <v>44.99444444444444</v>
      </c>
      <c r="E36" s="97">
        <f t="shared" si="6"/>
        <v>41.884444444444441</v>
      </c>
      <c r="F36" s="97">
        <f t="shared" si="6"/>
        <v>37.033055555555556</v>
      </c>
      <c r="G36" s="101"/>
      <c r="H36" s="101"/>
      <c r="J36" s="26">
        <f>L34+L35</f>
        <v>57.891959108434435</v>
      </c>
      <c r="K36" s="64" t="s">
        <v>26</v>
      </c>
      <c r="L36" s="77" t="s">
        <v>58</v>
      </c>
      <c r="M36" s="77"/>
      <c r="N36" s="77"/>
      <c r="O36" s="77"/>
      <c r="P36" s="77"/>
      <c r="Q36" s="77"/>
      <c r="R36" s="77"/>
      <c r="S36" s="77"/>
      <c r="T36" s="77"/>
      <c r="U36" s="77"/>
      <c r="V36" s="77"/>
      <c r="W36" s="77"/>
      <c r="X36" s="64" t="s">
        <v>50</v>
      </c>
    </row>
    <row r="37" spans="2:25" x14ac:dyDescent="0.25">
      <c r="H37" s="100"/>
      <c r="J37" s="26">
        <f>L32+L35</f>
        <v>66.295847997323321</v>
      </c>
      <c r="K37" s="65"/>
      <c r="L37" s="65" t="s">
        <v>18</v>
      </c>
      <c r="M37" s="65"/>
      <c r="N37" s="65"/>
      <c r="O37" s="79" t="s">
        <v>19</v>
      </c>
      <c r="P37" s="79"/>
      <c r="Q37" s="79"/>
      <c r="R37" s="79" t="s">
        <v>20</v>
      </c>
      <c r="S37" s="79"/>
      <c r="T37" s="79"/>
      <c r="U37" s="79" t="s">
        <v>21</v>
      </c>
      <c r="V37" s="79"/>
      <c r="W37" s="79"/>
      <c r="X37" s="65"/>
    </row>
    <row r="38" spans="2:25" x14ac:dyDescent="0.25">
      <c r="K38" s="36" t="s">
        <v>23</v>
      </c>
      <c r="L38" s="37">
        <f>G19</f>
        <v>31.025500000000005</v>
      </c>
      <c r="M38" s="36" t="s">
        <v>46</v>
      </c>
      <c r="N38" s="36" t="s">
        <v>45</v>
      </c>
      <c r="O38" s="37">
        <f>G21</f>
        <v>50.609444444444442</v>
      </c>
      <c r="P38" s="36" t="s">
        <v>46</v>
      </c>
      <c r="Q38" s="36" t="s">
        <v>48</v>
      </c>
      <c r="R38" s="37">
        <f>G23</f>
        <v>37.223333333333329</v>
      </c>
      <c r="S38" s="36" t="s">
        <v>46</v>
      </c>
      <c r="T38" s="36" t="s">
        <v>49</v>
      </c>
      <c r="U38" s="37">
        <f>G25</f>
        <v>42.205555555555556</v>
      </c>
      <c r="V38" s="36" t="s">
        <v>46</v>
      </c>
      <c r="W38" s="36" t="s">
        <v>49</v>
      </c>
      <c r="X38" s="78">
        <f>L35</f>
        <v>15.686403552878875</v>
      </c>
    </row>
    <row r="39" spans="2:25" x14ac:dyDescent="0.25">
      <c r="J39" s="26">
        <f>N34+L35</f>
        <v>47.546959108434429</v>
      </c>
      <c r="K39" s="34" t="s">
        <v>24</v>
      </c>
      <c r="L39" s="35">
        <f>G20</f>
        <v>46.172222222222224</v>
      </c>
      <c r="M39" s="34" t="s">
        <v>47</v>
      </c>
      <c r="N39" s="34" t="s">
        <v>45</v>
      </c>
      <c r="O39" s="35">
        <f>G22</f>
        <v>39.379444444444438</v>
      </c>
      <c r="P39" s="34" t="s">
        <v>46</v>
      </c>
      <c r="Q39" s="34" t="s">
        <v>45</v>
      </c>
      <c r="R39" s="35">
        <f>G24</f>
        <v>46.545555555555552</v>
      </c>
      <c r="S39" s="34" t="s">
        <v>46</v>
      </c>
      <c r="T39" s="34" t="s">
        <v>45</v>
      </c>
      <c r="U39" s="35">
        <f>G26</f>
        <v>31.860555555555553</v>
      </c>
      <c r="V39" s="34" t="s">
        <v>46</v>
      </c>
      <c r="W39" s="34" t="s">
        <v>45</v>
      </c>
      <c r="X39" s="67"/>
    </row>
    <row r="40" spans="2:25" x14ac:dyDescent="0.25">
      <c r="J40" s="10">
        <f>N32+L35</f>
        <v>55.065847997323317</v>
      </c>
      <c r="K40" s="32" t="s">
        <v>51</v>
      </c>
      <c r="L40" s="69">
        <f>R33</f>
        <v>11.57306299583596</v>
      </c>
      <c r="M40" s="70"/>
      <c r="N40" s="70"/>
      <c r="O40" s="70"/>
      <c r="P40" s="70"/>
      <c r="Q40" s="70"/>
      <c r="R40" s="70"/>
      <c r="S40" s="70"/>
      <c r="T40" s="70"/>
      <c r="U40" s="70"/>
      <c r="V40" s="70"/>
      <c r="W40" s="70"/>
      <c r="X40" s="68"/>
    </row>
    <row r="41" spans="2:25" x14ac:dyDescent="0.25">
      <c r="J41" s="26">
        <f>N31+L35</f>
        <v>61.858625775101103</v>
      </c>
    </row>
    <row r="42" spans="2:25" x14ac:dyDescent="0.25">
      <c r="J42" s="26">
        <f>N33+L35</f>
        <v>62.231959108434424</v>
      </c>
    </row>
  </sheetData>
  <mergeCells count="15">
    <mergeCell ref="B17:B18"/>
    <mergeCell ref="G17:G18"/>
    <mergeCell ref="F17:F18"/>
    <mergeCell ref="C17:E17"/>
    <mergeCell ref="K36:K37"/>
    <mergeCell ref="L36:W36"/>
    <mergeCell ref="X36:X37"/>
    <mergeCell ref="X38:X40"/>
    <mergeCell ref="L40:W40"/>
    <mergeCell ref="R33:Y33"/>
    <mergeCell ref="L35:O35"/>
    <mergeCell ref="L37:N37"/>
    <mergeCell ref="O37:Q37"/>
    <mergeCell ref="R37:T37"/>
    <mergeCell ref="U37:W37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AE45"/>
  <sheetViews>
    <sheetView tabSelected="1" topLeftCell="A16" zoomScale="77" zoomScaleNormal="77" workbookViewId="0">
      <selection activeCell="J9" sqref="J9"/>
    </sheetView>
  </sheetViews>
  <sheetFormatPr defaultRowHeight="15" x14ac:dyDescent="0.25"/>
  <cols>
    <col min="2" max="2" width="9.85546875" customWidth="1"/>
    <col min="3" max="3" width="9.5703125" bestFit="1" customWidth="1"/>
    <col min="6" max="6" width="9.5703125" bestFit="1" customWidth="1"/>
    <col min="11" max="12" width="10.140625" customWidth="1"/>
    <col min="14" max="14" width="9.5703125" bestFit="1" customWidth="1"/>
    <col min="16" max="16" width="10.28515625" bestFit="1" customWidth="1"/>
  </cols>
  <sheetData>
    <row r="5" spans="2:31" x14ac:dyDescent="0.25">
      <c r="F5" s="11"/>
      <c r="G5" s="3"/>
      <c r="Q5" s="3"/>
      <c r="AB5" s="11"/>
    </row>
    <row r="6" spans="2:31" x14ac:dyDescent="0.25">
      <c r="B6" s="11"/>
      <c r="C6" s="3"/>
      <c r="D6" s="3"/>
      <c r="E6" s="3"/>
      <c r="F6" s="3"/>
      <c r="G6" s="3"/>
      <c r="H6" s="3"/>
      <c r="I6" s="3"/>
      <c r="M6" s="11"/>
      <c r="N6" s="3"/>
      <c r="O6" s="3"/>
      <c r="P6" s="3"/>
      <c r="Q6" s="3"/>
      <c r="R6" s="3"/>
      <c r="S6" s="3"/>
      <c r="T6" s="3"/>
      <c r="X6" s="11"/>
      <c r="Y6" s="3"/>
      <c r="Z6" s="3"/>
      <c r="AA6" s="3"/>
      <c r="AB6" s="3"/>
      <c r="AC6" s="3"/>
      <c r="AD6" s="3"/>
      <c r="AE6" s="3"/>
    </row>
    <row r="7" spans="2:31" x14ac:dyDescent="0.25">
      <c r="I7" s="8"/>
      <c r="T7" s="8"/>
      <c r="AE7" s="8"/>
    </row>
    <row r="8" spans="2:31" x14ac:dyDescent="0.25">
      <c r="I8" s="8"/>
      <c r="T8" s="8"/>
      <c r="AE8" s="8"/>
    </row>
    <row r="9" spans="2:31" x14ac:dyDescent="0.25">
      <c r="I9" s="8"/>
      <c r="T9" s="8"/>
      <c r="AE9" s="8"/>
    </row>
    <row r="10" spans="2:31" x14ac:dyDescent="0.25">
      <c r="I10" s="8"/>
      <c r="T10" s="8"/>
      <c r="AE10" s="8"/>
    </row>
    <row r="11" spans="2:31" x14ac:dyDescent="0.25">
      <c r="I11" s="8"/>
      <c r="T11" s="8"/>
      <c r="AE11" s="8"/>
    </row>
    <row r="12" spans="2:31" x14ac:dyDescent="0.25">
      <c r="I12" s="8"/>
      <c r="T12" s="8"/>
      <c r="AE12" s="8"/>
    </row>
    <row r="13" spans="2:31" x14ac:dyDescent="0.25">
      <c r="I13" s="8"/>
      <c r="T13" s="8"/>
      <c r="AE13" s="8"/>
    </row>
    <row r="14" spans="2:31" x14ac:dyDescent="0.25">
      <c r="B14" t="s">
        <v>35</v>
      </c>
      <c r="I14" s="8"/>
      <c r="T14" s="8"/>
      <c r="AE14" s="8"/>
    </row>
    <row r="15" spans="2:31" x14ac:dyDescent="0.25">
      <c r="K15" t="s">
        <v>5</v>
      </c>
      <c r="L15">
        <v>3</v>
      </c>
    </row>
    <row r="16" spans="2:31" x14ac:dyDescent="0.25">
      <c r="K16" t="s">
        <v>7</v>
      </c>
      <c r="L16">
        <v>2</v>
      </c>
    </row>
    <row r="17" spans="2:25" x14ac:dyDescent="0.25">
      <c r="B17" s="64" t="s">
        <v>26</v>
      </c>
      <c r="C17" s="83" t="s">
        <v>62</v>
      </c>
      <c r="D17" s="83"/>
      <c r="E17" s="83"/>
      <c r="F17" s="64" t="s">
        <v>29</v>
      </c>
      <c r="G17" s="64" t="s">
        <v>61</v>
      </c>
      <c r="K17" t="s">
        <v>6</v>
      </c>
      <c r="L17">
        <v>4</v>
      </c>
    </row>
    <row r="18" spans="2:25" x14ac:dyDescent="0.25">
      <c r="B18" s="65"/>
      <c r="C18" s="40" t="s">
        <v>2</v>
      </c>
      <c r="D18" s="40" t="s">
        <v>3</v>
      </c>
      <c r="E18" s="40" t="s">
        <v>4</v>
      </c>
      <c r="F18" s="65"/>
      <c r="G18" s="65"/>
      <c r="K18" t="s">
        <v>8</v>
      </c>
      <c r="L18">
        <f>F27^2/24</f>
        <v>52526.720451167814</v>
      </c>
    </row>
    <row r="19" spans="2:25" x14ac:dyDescent="0.25">
      <c r="B19" s="41" t="s">
        <v>36</v>
      </c>
      <c r="C19" s="55">
        <v>42.813333333333333</v>
      </c>
      <c r="D19" s="55">
        <v>22.166166666666665</v>
      </c>
      <c r="E19" s="55">
        <v>47.681666666666665</v>
      </c>
      <c r="F19" s="55">
        <f>SUM(C19:E19)</f>
        <v>112.66116666666667</v>
      </c>
      <c r="G19" s="55">
        <f>AVERAGE(C19:E19)</f>
        <v>37.553722222222227</v>
      </c>
    </row>
    <row r="20" spans="2:25" x14ac:dyDescent="0.25">
      <c r="B20" s="41" t="s">
        <v>37</v>
      </c>
      <c r="C20" s="55">
        <v>58.441999999999993</v>
      </c>
      <c r="D20" s="55">
        <v>45.646666666666668</v>
      </c>
      <c r="E20" s="55">
        <v>50.916666666666664</v>
      </c>
      <c r="F20" s="55">
        <f t="shared" ref="F20:F26" si="0">SUM(C20:E20)</f>
        <v>155.00533333333331</v>
      </c>
      <c r="G20" s="55">
        <f t="shared" ref="G20:G26" si="1">AVERAGE(C20:E20)</f>
        <v>51.66844444444444</v>
      </c>
    </row>
    <row r="21" spans="2:25" x14ac:dyDescent="0.25">
      <c r="B21" s="41" t="s">
        <v>38</v>
      </c>
      <c r="C21" s="55">
        <v>65.27000000000001</v>
      </c>
      <c r="D21" s="55">
        <v>53.866666666666667</v>
      </c>
      <c r="E21" s="55">
        <v>50.483333333333327</v>
      </c>
      <c r="F21" s="55">
        <f t="shared" si="0"/>
        <v>169.62</v>
      </c>
      <c r="G21" s="55">
        <f>AVERAGE(C21:E21)</f>
        <v>56.54</v>
      </c>
      <c r="K21" s="49" t="s">
        <v>9</v>
      </c>
      <c r="L21" s="49" t="s">
        <v>10</v>
      </c>
      <c r="M21" s="49" t="s">
        <v>11</v>
      </c>
      <c r="N21" s="49" t="s">
        <v>12</v>
      </c>
      <c r="O21" s="49" t="s">
        <v>13</v>
      </c>
      <c r="P21" s="49" t="s">
        <v>28</v>
      </c>
      <c r="Q21" s="50">
        <v>0.05</v>
      </c>
      <c r="R21" s="50">
        <v>0.01</v>
      </c>
    </row>
    <row r="22" spans="2:25" x14ac:dyDescent="0.25">
      <c r="B22" s="41" t="s">
        <v>39</v>
      </c>
      <c r="C22" s="55">
        <v>58.664999999999992</v>
      </c>
      <c r="D22" s="55">
        <v>34.305</v>
      </c>
      <c r="E22" s="55">
        <v>45.126666666666665</v>
      </c>
      <c r="F22" s="55">
        <f t="shared" si="0"/>
        <v>138.09666666666666</v>
      </c>
      <c r="G22" s="55">
        <f t="shared" si="1"/>
        <v>46.032222222222224</v>
      </c>
      <c r="K22" s="49" t="s">
        <v>60</v>
      </c>
      <c r="L22" s="49">
        <f>L15-1</f>
        <v>2</v>
      </c>
      <c r="M22" s="51">
        <f>SUMSQ(C27:E27)/8-L18</f>
        <v>1151.1410271273126</v>
      </c>
      <c r="N22" s="51">
        <f t="shared" ref="N22:N27" si="2">M22/L22</f>
        <v>575.57051356365628</v>
      </c>
      <c r="O22" s="53">
        <f>N22/$N$27</f>
        <v>14.400318654154086</v>
      </c>
      <c r="P22" s="49" t="str">
        <f>IF(O22&lt;Q22,"tn",IF(O22&lt;R22,"*","**"))</f>
        <v>**</v>
      </c>
      <c r="Q22" s="53">
        <f>FINV(5%,$L22,$L$27)</f>
        <v>3.7388918324407361</v>
      </c>
      <c r="R22" s="53">
        <f>FINV(1%,$L22,$L$27)</f>
        <v>6.5148841021827506</v>
      </c>
    </row>
    <row r="23" spans="2:25" x14ac:dyDescent="0.25">
      <c r="B23" s="41" t="s">
        <v>40</v>
      </c>
      <c r="C23" s="55">
        <v>47.266666666666659</v>
      </c>
      <c r="D23" s="55">
        <v>33.225000000000001</v>
      </c>
      <c r="E23" s="55">
        <v>46.21</v>
      </c>
      <c r="F23" s="55">
        <f t="shared" si="0"/>
        <v>126.70166666666665</v>
      </c>
      <c r="G23" s="55">
        <f t="shared" si="1"/>
        <v>42.233888888888885</v>
      </c>
      <c r="K23" s="49" t="s">
        <v>26</v>
      </c>
      <c r="L23" s="49">
        <f>(L16*L17)-1</f>
        <v>7</v>
      </c>
      <c r="M23" s="54">
        <f>SUMSQ(F19:F26)/L15-L18</f>
        <v>773.73796102662891</v>
      </c>
      <c r="N23" s="54">
        <f t="shared" si="2"/>
        <v>110.53399443237556</v>
      </c>
      <c r="O23" s="53">
        <f>N23/$N$27</f>
        <v>2.7654730470598752</v>
      </c>
      <c r="P23" s="49" t="str">
        <f t="shared" ref="P23:P26" si="3">IF(O23&lt;Q23,"tn",IF(O23&lt;R23,"*","**"))</f>
        <v>*</v>
      </c>
      <c r="Q23" s="53">
        <f t="shared" ref="Q23:Q26" si="4">FINV(5%,$L23,$L$27)</f>
        <v>2.7641992567781792</v>
      </c>
      <c r="R23" s="53">
        <f t="shared" ref="R23:R25" si="5">FINV(1%,$L23,$L$27)</f>
        <v>4.2778818532656411</v>
      </c>
      <c r="T23" t="s">
        <v>52</v>
      </c>
      <c r="U23" s="24">
        <v>4.1109999999999998</v>
      </c>
    </row>
    <row r="24" spans="2:25" x14ac:dyDescent="0.25">
      <c r="B24" s="41" t="s">
        <v>41</v>
      </c>
      <c r="C24" s="55">
        <v>66.808000000000007</v>
      </c>
      <c r="D24" s="55">
        <v>35.30833333333333</v>
      </c>
      <c r="E24" s="55">
        <v>47.074999999999996</v>
      </c>
      <c r="F24" s="55">
        <f t="shared" si="0"/>
        <v>149.19133333333332</v>
      </c>
      <c r="G24" s="55">
        <f t="shared" si="1"/>
        <v>49.730444444444437</v>
      </c>
      <c r="K24" s="49" t="s">
        <v>16</v>
      </c>
      <c r="L24" s="49">
        <f>L16-1</f>
        <v>1</v>
      </c>
      <c r="M24" s="54">
        <f>SUMSQ(G33:G34)/(L15*L17)-L18</f>
        <v>9.1313950567200663</v>
      </c>
      <c r="N24" s="54">
        <f t="shared" si="2"/>
        <v>9.1313950567200663</v>
      </c>
      <c r="O24" s="53">
        <f>N24/$N$27</f>
        <v>0.22846027632580146</v>
      </c>
      <c r="P24" s="49" t="str">
        <f t="shared" si="3"/>
        <v>tn</v>
      </c>
      <c r="Q24" s="53">
        <f t="shared" si="4"/>
        <v>4.6001099366694227</v>
      </c>
      <c r="R24" s="53">
        <f t="shared" si="5"/>
        <v>8.8615926651764276</v>
      </c>
      <c r="U24" s="25"/>
    </row>
    <row r="25" spans="2:25" x14ac:dyDescent="0.25">
      <c r="B25" s="41" t="s">
        <v>42</v>
      </c>
      <c r="C25" s="55">
        <v>58.405000000000001</v>
      </c>
      <c r="D25" s="55">
        <v>41.395000000000003</v>
      </c>
      <c r="E25" s="55">
        <v>45.206666666666671</v>
      </c>
      <c r="F25" s="55">
        <f t="shared" si="0"/>
        <v>145.00666666666669</v>
      </c>
      <c r="G25" s="55">
        <f t="shared" si="1"/>
        <v>48.335555555555565</v>
      </c>
      <c r="K25" s="49" t="s">
        <v>30</v>
      </c>
      <c r="L25" s="49">
        <f>L17-1</f>
        <v>3</v>
      </c>
      <c r="M25" s="54">
        <f>SUMSQ(C35:F35)/(L15*L16)-L18</f>
        <v>167.89949218866968</v>
      </c>
      <c r="N25" s="54">
        <f t="shared" si="2"/>
        <v>55.966497396223225</v>
      </c>
      <c r="O25" s="53">
        <f>N25/$N$27</f>
        <v>1.4002374643421782</v>
      </c>
      <c r="P25" s="49" t="str">
        <f t="shared" si="3"/>
        <v>tn</v>
      </c>
      <c r="Q25" s="53">
        <f t="shared" si="4"/>
        <v>3.3438886781189128</v>
      </c>
      <c r="R25" s="53">
        <f t="shared" si="5"/>
        <v>5.5638858396937421</v>
      </c>
      <c r="U25" s="25"/>
    </row>
    <row r="26" spans="2:25" x14ac:dyDescent="0.25">
      <c r="B26" s="41" t="s">
        <v>43</v>
      </c>
      <c r="C26" s="55">
        <v>46.830000000000005</v>
      </c>
      <c r="D26" s="55">
        <v>43.155000000000001</v>
      </c>
      <c r="E26" s="55">
        <v>36.514999999999993</v>
      </c>
      <c r="F26" s="55">
        <f t="shared" si="0"/>
        <v>126.5</v>
      </c>
      <c r="G26" s="55">
        <f t="shared" si="1"/>
        <v>42.166666666666664</v>
      </c>
      <c r="K26" s="49" t="s">
        <v>44</v>
      </c>
      <c r="L26" s="49">
        <f>L24*L25</f>
        <v>3</v>
      </c>
      <c r="M26" s="54">
        <f>M23-M24-M25</f>
        <v>596.70707378123916</v>
      </c>
      <c r="N26" s="54">
        <f t="shared" si="2"/>
        <v>198.90235792707972</v>
      </c>
      <c r="O26" s="53">
        <f>N26/$N$27</f>
        <v>4.9763795533555957</v>
      </c>
      <c r="P26" s="49" t="str">
        <f t="shared" si="3"/>
        <v>*</v>
      </c>
      <c r="Q26" s="53">
        <f t="shared" si="4"/>
        <v>3.3438886781189128</v>
      </c>
      <c r="R26" s="53">
        <f>FINV(1%,$L26,$L$27)</f>
        <v>5.5638858396937421</v>
      </c>
      <c r="U26" s="25"/>
    </row>
    <row r="27" spans="2:25" x14ac:dyDescent="0.25">
      <c r="B27" s="42" t="s">
        <v>29</v>
      </c>
      <c r="C27" s="57">
        <f>SUM(C19:C26)</f>
        <v>444.49999999999994</v>
      </c>
      <c r="D27" s="57">
        <f>SUM(D19:D26)</f>
        <v>309.06783333333328</v>
      </c>
      <c r="E27" s="57">
        <f>SUM(E19:E26)</f>
        <v>369.21499999999997</v>
      </c>
      <c r="F27" s="57">
        <f>SUM(F19:F26)</f>
        <v>1122.7828333333332</v>
      </c>
      <c r="G27" s="104"/>
      <c r="K27" s="49" t="s">
        <v>59</v>
      </c>
      <c r="L27" s="49">
        <f>L28-L23-L22</f>
        <v>14</v>
      </c>
      <c r="M27" s="51">
        <f>M28-M22-M23</f>
        <v>559.57006115046534</v>
      </c>
      <c r="N27" s="52">
        <f t="shared" si="2"/>
        <v>39.969290082176094</v>
      </c>
      <c r="O27" s="94"/>
      <c r="P27" s="95"/>
      <c r="Q27" s="95"/>
      <c r="R27" s="95"/>
      <c r="T27" t="s">
        <v>53</v>
      </c>
      <c r="U27" s="24">
        <v>3.0329999999999999</v>
      </c>
    </row>
    <row r="28" spans="2:25" x14ac:dyDescent="0.25">
      <c r="B28" s="40" t="s">
        <v>61</v>
      </c>
      <c r="C28" s="56">
        <f>AVERAGE(C19:C26)</f>
        <v>55.562499999999993</v>
      </c>
      <c r="D28" s="56">
        <f>AVERAGE(D19:D26)</f>
        <v>38.63347916666666</v>
      </c>
      <c r="E28" s="56">
        <f>AVERAGE(E19:E26)</f>
        <v>46.151874999999997</v>
      </c>
      <c r="F28" s="99"/>
      <c r="G28" s="99"/>
      <c r="K28" s="49" t="s">
        <v>29</v>
      </c>
      <c r="L28" s="49">
        <f>(3*4*2)-1</f>
        <v>23</v>
      </c>
      <c r="M28" s="51">
        <f>SUMSQ(C19:E26)-L18</f>
        <v>2484.4490493044068</v>
      </c>
      <c r="N28" s="94"/>
      <c r="O28" s="94"/>
      <c r="P28" s="95"/>
      <c r="Q28" s="95"/>
      <c r="R28" s="95"/>
      <c r="S28" s="27">
        <f>R31+R33</f>
        <v>48.624420133566922</v>
      </c>
      <c r="T28" s="27">
        <f>T32+R33</f>
        <v>57.102920133566919</v>
      </c>
      <c r="V28" s="27">
        <f>V31+R33</f>
        <v>53.304586800233579</v>
      </c>
      <c r="X28" s="27">
        <f>X32+R33</f>
        <v>53.237364578011359</v>
      </c>
    </row>
    <row r="29" spans="2:25" x14ac:dyDescent="0.25">
      <c r="S29" s="27">
        <f>R32+R33</f>
        <v>62.739142355789134</v>
      </c>
      <c r="T29" s="27">
        <f>T31+R33</f>
        <v>67.610697911344687</v>
      </c>
      <c r="V29" s="27">
        <f>V32+R33</f>
        <v>60.801142355789132</v>
      </c>
      <c r="X29" s="27">
        <f>X31+R33</f>
        <v>59.40625346690026</v>
      </c>
    </row>
    <row r="30" spans="2:25" x14ac:dyDescent="0.25">
      <c r="H30" s="105"/>
      <c r="K30" s="20" t="s">
        <v>30</v>
      </c>
      <c r="L30" s="20" t="s">
        <v>23</v>
      </c>
      <c r="M30" s="20" t="s">
        <v>28</v>
      </c>
      <c r="N30" s="20" t="s">
        <v>24</v>
      </c>
      <c r="O30" s="20" t="s">
        <v>28</v>
      </c>
      <c r="Q30" s="9"/>
      <c r="R30" s="9" t="s">
        <v>18</v>
      </c>
      <c r="S30" s="9"/>
      <c r="T30" s="21" t="s">
        <v>19</v>
      </c>
      <c r="U30" s="9"/>
      <c r="V30" s="9" t="s">
        <v>20</v>
      </c>
      <c r="W30" s="9"/>
      <c r="X30" s="9" t="s">
        <v>21</v>
      </c>
      <c r="Y30" s="9"/>
    </row>
    <row r="31" spans="2:25" x14ac:dyDescent="0.25">
      <c r="B31" t="s">
        <v>31</v>
      </c>
      <c r="K31" s="9" t="s">
        <v>18</v>
      </c>
      <c r="L31" s="22">
        <f>G19</f>
        <v>37.553722222222227</v>
      </c>
      <c r="M31" s="9" t="s">
        <v>45</v>
      </c>
      <c r="N31" s="22">
        <f>G20</f>
        <v>51.66844444444444</v>
      </c>
      <c r="O31" s="9" t="s">
        <v>45</v>
      </c>
      <c r="Q31" s="9" t="s">
        <v>23</v>
      </c>
      <c r="R31" s="22">
        <f>G19</f>
        <v>37.553722222222227</v>
      </c>
      <c r="S31" s="9" t="s">
        <v>46</v>
      </c>
      <c r="T31" s="23">
        <f>G21</f>
        <v>56.54</v>
      </c>
      <c r="U31" s="9" t="s">
        <v>46</v>
      </c>
      <c r="V31" s="22">
        <f>G23</f>
        <v>42.233888888888885</v>
      </c>
      <c r="W31" s="9" t="s">
        <v>46</v>
      </c>
      <c r="X31" s="22">
        <f>G25</f>
        <v>48.335555555555565</v>
      </c>
      <c r="Y31" s="9" t="s">
        <v>46</v>
      </c>
    </row>
    <row r="32" spans="2:25" x14ac:dyDescent="0.25">
      <c r="B32" s="9" t="s">
        <v>26</v>
      </c>
      <c r="C32" s="9" t="s">
        <v>18</v>
      </c>
      <c r="D32" s="9" t="s">
        <v>19</v>
      </c>
      <c r="E32" s="9" t="s">
        <v>20</v>
      </c>
      <c r="F32" s="9" t="s">
        <v>21</v>
      </c>
      <c r="G32" s="9" t="s">
        <v>32</v>
      </c>
      <c r="H32" s="9" t="s">
        <v>27</v>
      </c>
      <c r="K32" s="9" t="s">
        <v>19</v>
      </c>
      <c r="L32" s="22">
        <f>G21</f>
        <v>56.54</v>
      </c>
      <c r="M32" s="9" t="s">
        <v>48</v>
      </c>
      <c r="N32" s="22">
        <f>G22</f>
        <v>46.032222222222224</v>
      </c>
      <c r="O32" s="9" t="s">
        <v>45</v>
      </c>
      <c r="Q32" s="9" t="s">
        <v>24</v>
      </c>
      <c r="R32" s="22">
        <f>G20</f>
        <v>51.66844444444444</v>
      </c>
      <c r="S32" s="9" t="s">
        <v>47</v>
      </c>
      <c r="T32" s="23">
        <f>G22</f>
        <v>46.032222222222224</v>
      </c>
      <c r="U32" s="9" t="s">
        <v>46</v>
      </c>
      <c r="V32" s="22">
        <f>G24</f>
        <v>49.730444444444437</v>
      </c>
      <c r="W32" s="9" t="s">
        <v>46</v>
      </c>
      <c r="X32" s="22">
        <f>G26</f>
        <v>42.166666666666664</v>
      </c>
      <c r="Y32" s="9" t="s">
        <v>46</v>
      </c>
    </row>
    <row r="33" spans="2:25" x14ac:dyDescent="0.25">
      <c r="B33" s="9" t="s">
        <v>23</v>
      </c>
      <c r="C33" s="97">
        <f>F19</f>
        <v>112.66116666666667</v>
      </c>
      <c r="D33" s="97">
        <f>F21</f>
        <v>169.62</v>
      </c>
      <c r="E33" s="97">
        <f>F23</f>
        <v>126.70166666666665</v>
      </c>
      <c r="F33" s="97">
        <f>F25</f>
        <v>145.00666666666669</v>
      </c>
      <c r="G33" s="97">
        <f>SUM(C33:F33)</f>
        <v>553.98950000000002</v>
      </c>
      <c r="H33" s="97">
        <f>G33/12</f>
        <v>46.165791666666671</v>
      </c>
      <c r="K33" s="9" t="s">
        <v>20</v>
      </c>
      <c r="L33" s="22">
        <f>G23</f>
        <v>42.233888888888885</v>
      </c>
      <c r="M33" s="9" t="s">
        <v>49</v>
      </c>
      <c r="N33" s="22">
        <f>G24</f>
        <v>49.730444444444437</v>
      </c>
      <c r="O33" s="9" t="s">
        <v>45</v>
      </c>
      <c r="Q33" s="9" t="s">
        <v>50</v>
      </c>
      <c r="R33" s="71">
        <f>U27*(N27/L15)^0.5</f>
        <v>11.070697911344693</v>
      </c>
      <c r="S33" s="72"/>
      <c r="T33" s="72"/>
      <c r="U33" s="72"/>
      <c r="V33" s="72"/>
      <c r="W33" s="72"/>
      <c r="X33" s="72"/>
      <c r="Y33" s="73"/>
    </row>
    <row r="34" spans="2:25" x14ac:dyDescent="0.25">
      <c r="B34" s="9" t="s">
        <v>24</v>
      </c>
      <c r="C34" s="97">
        <f>F20</f>
        <v>155.00533333333331</v>
      </c>
      <c r="D34" s="97">
        <f>F22</f>
        <v>138.09666666666666</v>
      </c>
      <c r="E34" s="97">
        <f>F24</f>
        <v>149.19133333333332</v>
      </c>
      <c r="F34" s="97">
        <f>F26</f>
        <v>126.5</v>
      </c>
      <c r="G34" s="97">
        <f>SUM(C34:F34)</f>
        <v>568.79333333333329</v>
      </c>
      <c r="H34" s="97">
        <f>G34/12</f>
        <v>47.399444444444441</v>
      </c>
      <c r="K34" s="9" t="s">
        <v>21</v>
      </c>
      <c r="L34" s="22">
        <f>G25</f>
        <v>48.335555555555565</v>
      </c>
      <c r="M34" s="9" t="s">
        <v>49</v>
      </c>
      <c r="N34" s="22">
        <f>G26</f>
        <v>42.166666666666664</v>
      </c>
      <c r="O34" s="9" t="s">
        <v>45</v>
      </c>
    </row>
    <row r="35" spans="2:25" x14ac:dyDescent="0.25">
      <c r="B35" s="9" t="s">
        <v>22</v>
      </c>
      <c r="C35" s="97">
        <f>SUM(C33:C34)</f>
        <v>267.66649999999998</v>
      </c>
      <c r="D35" s="97">
        <f>SUM(D33:D34)</f>
        <v>307.7166666666667</v>
      </c>
      <c r="E35" s="97">
        <f>SUM(E33:E34)</f>
        <v>275.89299999999997</v>
      </c>
      <c r="F35" s="97">
        <f>SUM(F33:F34)</f>
        <v>271.50666666666666</v>
      </c>
      <c r="G35" s="97">
        <f>SUM(C35:F35)</f>
        <v>1122.7828333333334</v>
      </c>
      <c r="H35" s="101"/>
      <c r="K35" s="12" t="s">
        <v>51</v>
      </c>
      <c r="L35" s="80">
        <f>U23*(N27/L15)^0.5</f>
        <v>15.005486024905384</v>
      </c>
      <c r="M35" s="81"/>
      <c r="N35" s="81"/>
      <c r="O35" s="82"/>
    </row>
    <row r="36" spans="2:25" x14ac:dyDescent="0.25">
      <c r="B36" s="9" t="s">
        <v>27</v>
      </c>
      <c r="C36" s="97">
        <f>C35/6</f>
        <v>44.611083333333333</v>
      </c>
      <c r="D36" s="97">
        <f t="shared" ref="D36:F36" si="6">D35/6</f>
        <v>51.286111111111119</v>
      </c>
      <c r="E36" s="97">
        <f t="shared" si="6"/>
        <v>45.982166666666664</v>
      </c>
      <c r="F36" s="97">
        <f t="shared" si="6"/>
        <v>45.251111111111108</v>
      </c>
      <c r="G36" s="101"/>
      <c r="H36" s="101"/>
      <c r="K36" s="64" t="s">
        <v>26</v>
      </c>
      <c r="L36" s="63" t="s">
        <v>54</v>
      </c>
      <c r="M36" s="63"/>
      <c r="N36" s="63"/>
      <c r="O36" s="63"/>
      <c r="P36" s="63"/>
      <c r="Q36" s="63"/>
      <c r="R36" s="63"/>
      <c r="S36" s="63"/>
      <c r="T36" s="63"/>
      <c r="U36" s="63"/>
      <c r="V36" s="63"/>
      <c r="W36" s="63"/>
      <c r="X36" s="62"/>
    </row>
    <row r="37" spans="2:25" x14ac:dyDescent="0.25">
      <c r="I37" s="26">
        <f>L31+L35</f>
        <v>52.559208247127614</v>
      </c>
      <c r="K37" s="65"/>
      <c r="L37" s="70" t="s">
        <v>18</v>
      </c>
      <c r="M37" s="70"/>
      <c r="N37" s="70"/>
      <c r="O37" s="63" t="s">
        <v>19</v>
      </c>
      <c r="P37" s="63"/>
      <c r="Q37" s="63"/>
      <c r="R37" s="63" t="s">
        <v>20</v>
      </c>
      <c r="S37" s="63"/>
      <c r="T37" s="63"/>
      <c r="U37" s="63" t="s">
        <v>21</v>
      </c>
      <c r="V37" s="63"/>
      <c r="W37" s="63"/>
      <c r="X37" s="61" t="s">
        <v>50</v>
      </c>
    </row>
    <row r="38" spans="2:25" x14ac:dyDescent="0.25">
      <c r="I38" s="26">
        <f>L33+L35</f>
        <v>57.239374913794265</v>
      </c>
      <c r="K38" s="38" t="s">
        <v>23</v>
      </c>
      <c r="L38" s="39">
        <f>G19</f>
        <v>37.553722222222227</v>
      </c>
      <c r="M38" s="38" t="s">
        <v>46</v>
      </c>
      <c r="N38" s="38" t="s">
        <v>45</v>
      </c>
      <c r="O38" s="39">
        <f>G21</f>
        <v>56.54</v>
      </c>
      <c r="P38" s="38" t="s">
        <v>46</v>
      </c>
      <c r="Q38" s="38" t="s">
        <v>48</v>
      </c>
      <c r="R38" s="39">
        <f>G23</f>
        <v>42.233888888888885</v>
      </c>
      <c r="S38" s="38" t="s">
        <v>46</v>
      </c>
      <c r="T38" s="38" t="s">
        <v>49</v>
      </c>
      <c r="U38" s="39">
        <f>G25</f>
        <v>48.335555555555565</v>
      </c>
      <c r="V38" s="38" t="s">
        <v>46</v>
      </c>
      <c r="W38" s="38" t="s">
        <v>49</v>
      </c>
      <c r="X38" s="78">
        <f>L35</f>
        <v>15.005486024905384</v>
      </c>
    </row>
    <row r="39" spans="2:25" x14ac:dyDescent="0.25">
      <c r="I39" s="26">
        <f>L34+L35</f>
        <v>63.341041580460953</v>
      </c>
      <c r="K39" s="38" t="s">
        <v>24</v>
      </c>
      <c r="L39" s="39">
        <f>G20</f>
        <v>51.66844444444444</v>
      </c>
      <c r="M39" s="38" t="s">
        <v>47</v>
      </c>
      <c r="N39" s="38" t="s">
        <v>45</v>
      </c>
      <c r="O39" s="39">
        <f>G22</f>
        <v>46.032222222222224</v>
      </c>
      <c r="P39" s="38" t="s">
        <v>46</v>
      </c>
      <c r="Q39" s="38" t="s">
        <v>45</v>
      </c>
      <c r="R39" s="39">
        <f>G24</f>
        <v>49.730444444444437</v>
      </c>
      <c r="S39" s="38" t="s">
        <v>46</v>
      </c>
      <c r="T39" s="38" t="s">
        <v>45</v>
      </c>
      <c r="U39" s="39">
        <f>G26</f>
        <v>42.166666666666664</v>
      </c>
      <c r="V39" s="38" t="s">
        <v>46</v>
      </c>
      <c r="W39" s="38" t="s">
        <v>45</v>
      </c>
      <c r="X39" s="67"/>
    </row>
    <row r="40" spans="2:25" x14ac:dyDescent="0.25">
      <c r="I40" s="26">
        <f>L32+L35</f>
        <v>71.545486024905387</v>
      </c>
      <c r="K40" s="60" t="s">
        <v>51</v>
      </c>
      <c r="L40" s="69">
        <f>R33</f>
        <v>11.070697911344693</v>
      </c>
      <c r="M40" s="70"/>
      <c r="N40" s="70"/>
      <c r="O40" s="70"/>
      <c r="P40" s="70"/>
      <c r="Q40" s="70"/>
      <c r="R40" s="70"/>
      <c r="S40" s="70"/>
      <c r="T40" s="70"/>
      <c r="U40" s="70"/>
      <c r="V40" s="70"/>
      <c r="W40" s="70"/>
      <c r="X40" s="68"/>
    </row>
    <row r="42" spans="2:25" x14ac:dyDescent="0.25">
      <c r="I42" s="26">
        <f>N34+L35</f>
        <v>57.172152691572052</v>
      </c>
    </row>
    <row r="43" spans="2:25" x14ac:dyDescent="0.25">
      <c r="I43" s="26">
        <f>N32+L35</f>
        <v>61.037708247127611</v>
      </c>
    </row>
    <row r="44" spans="2:25" x14ac:dyDescent="0.25">
      <c r="I44" s="26">
        <f>N33+L35</f>
        <v>64.735930469349825</v>
      </c>
    </row>
    <row r="45" spans="2:25" x14ac:dyDescent="0.25">
      <c r="I45" s="26">
        <f>N31+L35</f>
        <v>66.673930469349827</v>
      </c>
    </row>
  </sheetData>
  <mergeCells count="14">
    <mergeCell ref="B17:B18"/>
    <mergeCell ref="F17:F18"/>
    <mergeCell ref="G17:G18"/>
    <mergeCell ref="C17:E17"/>
    <mergeCell ref="K36:K37"/>
    <mergeCell ref="X38:X40"/>
    <mergeCell ref="L40:W40"/>
    <mergeCell ref="R33:Y33"/>
    <mergeCell ref="L35:O35"/>
    <mergeCell ref="L37:N37"/>
    <mergeCell ref="O37:Q37"/>
    <mergeCell ref="R37:T37"/>
    <mergeCell ref="U37:W37"/>
    <mergeCell ref="L36:W36"/>
  </mergeCells>
  <pageMargins left="0.7" right="0.7" top="0.75" bottom="0.75" header="0.3" footer="0.3"/>
  <pageSetup paperSize="256" orientation="portrait" horizontalDpi="4294967292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LD 14 HST</vt:lpstr>
      <vt:lpstr> LD 21 HST</vt:lpstr>
      <vt:lpstr>LD 28 HST</vt:lpstr>
      <vt:lpstr>LD 35 HST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DEDIK</dc:creator>
  <cp:lastModifiedBy>DEDIK</cp:lastModifiedBy>
  <dcterms:created xsi:type="dcterms:W3CDTF">2023-01-16T10:38:07Z</dcterms:created>
  <dcterms:modified xsi:type="dcterms:W3CDTF">2023-03-14T02:23:11Z</dcterms:modified>
</cp:coreProperties>
</file>