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ERHITUNGAN ARTIKEL SKRIPSI\"/>
    </mc:Choice>
  </mc:AlternateContent>
  <xr:revisionPtr revIDLastSave="0" documentId="13_ncr:1_{483183E3-CB11-4496-8E68-5050ED6B091E}" xr6:coauthVersionLast="47" xr6:coauthVersionMax="47" xr10:uidLastSave="{00000000-0000-0000-0000-000000000000}"/>
  <bookViews>
    <workbookView xWindow="-120" yWindow="-120" windowWidth="20730" windowHeight="11160" xr2:uid="{7CC12F69-5CC8-4479-B587-42C47D6C381C}"/>
  </bookViews>
  <sheets>
    <sheet name="14 HST" sheetId="1" r:id="rId1"/>
    <sheet name="Sheet1" sheetId="8" r:id="rId2"/>
    <sheet name="28 HST" sheetId="2" r:id="rId3"/>
    <sheet name="42 HST" sheetId="3" r:id="rId4"/>
    <sheet name="56 HST" sheetId="4" r:id="rId5"/>
    <sheet name="Sheet3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4" l="1"/>
  <c r="F11" i="4"/>
  <c r="G11" i="4"/>
  <c r="H11" i="4"/>
  <c r="I11" i="4"/>
  <c r="D11" i="4"/>
  <c r="E11" i="3"/>
  <c r="F11" i="3"/>
  <c r="G11" i="3"/>
  <c r="H11" i="3"/>
  <c r="I11" i="3"/>
  <c r="D11" i="3"/>
  <c r="I11" i="1"/>
  <c r="I23" i="4"/>
  <c r="AG21" i="4" s="1"/>
  <c r="H23" i="4"/>
  <c r="I22" i="4"/>
  <c r="AG20" i="4" s="1"/>
  <c r="H22" i="4"/>
  <c r="AG17" i="4" s="1"/>
  <c r="AC21" i="4"/>
  <c r="I21" i="4"/>
  <c r="AC19" i="4" s="1"/>
  <c r="H21" i="4"/>
  <c r="AC20" i="4"/>
  <c r="AC18" i="4"/>
  <c r="J17" i="4"/>
  <c r="I17" i="4"/>
  <c r="H17" i="4"/>
  <c r="E17" i="4"/>
  <c r="D17" i="4"/>
  <c r="AG16" i="4"/>
  <c r="AC16" i="4"/>
  <c r="J16" i="4"/>
  <c r="I16" i="4"/>
  <c r="H16" i="4"/>
  <c r="E16" i="4"/>
  <c r="D16" i="4"/>
  <c r="D18" i="4" s="1"/>
  <c r="J15" i="4"/>
  <c r="I15" i="4"/>
  <c r="H15" i="4"/>
  <c r="E15" i="4"/>
  <c r="D15" i="4"/>
  <c r="J14" i="4"/>
  <c r="J18" i="4" s="1"/>
  <c r="I14" i="4"/>
  <c r="H14" i="4"/>
  <c r="E14" i="4"/>
  <c r="E18" i="4" s="1"/>
  <c r="D14" i="4"/>
  <c r="V12" i="4"/>
  <c r="U12" i="4"/>
  <c r="V10" i="4"/>
  <c r="U10" i="4"/>
  <c r="J10" i="4"/>
  <c r="J9" i="4"/>
  <c r="J8" i="4"/>
  <c r="V7" i="4"/>
  <c r="U7" i="4"/>
  <c r="J7" i="4"/>
  <c r="M4" i="4"/>
  <c r="I23" i="3"/>
  <c r="AC21" i="3" s="1"/>
  <c r="H23" i="3"/>
  <c r="I22" i="3"/>
  <c r="AG20" i="3" s="1"/>
  <c r="H22" i="3"/>
  <c r="AG17" i="3" s="1"/>
  <c r="AG21" i="3"/>
  <c r="I21" i="3"/>
  <c r="AC19" i="3" s="1"/>
  <c r="H21" i="3"/>
  <c r="AG16" i="3" s="1"/>
  <c r="AC20" i="3"/>
  <c r="AG19" i="3"/>
  <c r="J17" i="3"/>
  <c r="I17" i="3"/>
  <c r="H17" i="3"/>
  <c r="E17" i="3"/>
  <c r="D17" i="3"/>
  <c r="AC16" i="3"/>
  <c r="J16" i="3"/>
  <c r="I16" i="3"/>
  <c r="H16" i="3"/>
  <c r="E16" i="3"/>
  <c r="D16" i="3"/>
  <c r="J15" i="3"/>
  <c r="I15" i="3"/>
  <c r="H15" i="3"/>
  <c r="E15" i="3"/>
  <c r="D15" i="3"/>
  <c r="J14" i="3"/>
  <c r="I14" i="3"/>
  <c r="H14" i="3"/>
  <c r="E14" i="3"/>
  <c r="D14" i="3"/>
  <c r="D18" i="3" s="1"/>
  <c r="V12" i="3"/>
  <c r="U12" i="3"/>
  <c r="V10" i="3"/>
  <c r="U10" i="3"/>
  <c r="J10" i="3"/>
  <c r="J9" i="3"/>
  <c r="J8" i="3"/>
  <c r="V7" i="3"/>
  <c r="U7" i="3"/>
  <c r="J7" i="3"/>
  <c r="M4" i="3"/>
  <c r="I23" i="2"/>
  <c r="H23" i="2"/>
  <c r="I22" i="2"/>
  <c r="AG20" i="2" s="1"/>
  <c r="H22" i="2"/>
  <c r="AG17" i="2" s="1"/>
  <c r="AG21" i="2"/>
  <c r="AC21" i="2"/>
  <c r="I21" i="2"/>
  <c r="AC19" i="2" s="1"/>
  <c r="H21" i="2"/>
  <c r="AG16" i="2" s="1"/>
  <c r="AC18" i="2"/>
  <c r="J17" i="2"/>
  <c r="I17" i="2"/>
  <c r="H17" i="2"/>
  <c r="E17" i="2"/>
  <c r="D17" i="2"/>
  <c r="AC16" i="2"/>
  <c r="J16" i="2"/>
  <c r="I16" i="2"/>
  <c r="H16" i="2"/>
  <c r="E16" i="2"/>
  <c r="D16" i="2"/>
  <c r="J15" i="2"/>
  <c r="J18" i="2" s="1"/>
  <c r="AG11" i="2" s="1"/>
  <c r="I15" i="2"/>
  <c r="H15" i="2"/>
  <c r="E15" i="2"/>
  <c r="D15" i="2"/>
  <c r="J14" i="2"/>
  <c r="I14" i="2"/>
  <c r="H14" i="2"/>
  <c r="E14" i="2"/>
  <c r="E18" i="2" s="1"/>
  <c r="D14" i="2"/>
  <c r="D18" i="2" s="1"/>
  <c r="V12" i="2"/>
  <c r="U12" i="2"/>
  <c r="V10" i="2"/>
  <c r="U10" i="2"/>
  <c r="J10" i="2"/>
  <c r="J9" i="2"/>
  <c r="J8" i="2"/>
  <c r="J11" i="2" s="1"/>
  <c r="M5" i="2" s="1"/>
  <c r="V7" i="2"/>
  <c r="U7" i="2"/>
  <c r="J7" i="2"/>
  <c r="M4" i="2"/>
  <c r="H18" i="4" l="1"/>
  <c r="J23" i="4"/>
  <c r="I18" i="4"/>
  <c r="AG10" i="4" s="1"/>
  <c r="AG19" i="4"/>
  <c r="AC5" i="4"/>
  <c r="AG5" i="4"/>
  <c r="AG11" i="4"/>
  <c r="AC11" i="4"/>
  <c r="J11" i="4"/>
  <c r="M5" i="4" s="1"/>
  <c r="I18" i="3"/>
  <c r="AG10" i="3" s="1"/>
  <c r="J18" i="3"/>
  <c r="E18" i="3"/>
  <c r="J23" i="3"/>
  <c r="AG11" i="3"/>
  <c r="AC11" i="3"/>
  <c r="AC5" i="3"/>
  <c r="AG5" i="3"/>
  <c r="H18" i="3"/>
  <c r="AC9" i="3" s="1"/>
  <c r="J11" i="3"/>
  <c r="M5" i="3" s="1"/>
  <c r="Q15" i="3" s="1"/>
  <c r="AC18" i="3"/>
  <c r="M7" i="4"/>
  <c r="M6" i="4"/>
  <c r="Q15" i="4"/>
  <c r="M11" i="4"/>
  <c r="Q7" i="4" s="1"/>
  <c r="R7" i="4" s="1"/>
  <c r="M10" i="4"/>
  <c r="Q6" i="4" s="1"/>
  <c r="M9" i="4"/>
  <c r="M8" i="4"/>
  <c r="AC9" i="4"/>
  <c r="AG9" i="4"/>
  <c r="AC10" i="4"/>
  <c r="AG6" i="4"/>
  <c r="AC6" i="4"/>
  <c r="J21" i="4"/>
  <c r="M12" i="4" s="1"/>
  <c r="Q10" i="4" s="1"/>
  <c r="R10" i="4" s="1"/>
  <c r="AC17" i="4"/>
  <c r="AG18" i="4"/>
  <c r="J22" i="4"/>
  <c r="M7" i="3"/>
  <c r="M6" i="3"/>
  <c r="M11" i="3"/>
  <c r="Q7" i="3" s="1"/>
  <c r="R7" i="3" s="1"/>
  <c r="M10" i="3"/>
  <c r="Q6" i="3" s="1"/>
  <c r="M9" i="3"/>
  <c r="M8" i="3"/>
  <c r="AC10" i="3"/>
  <c r="AG6" i="3"/>
  <c r="AC6" i="3"/>
  <c r="AG9" i="3"/>
  <c r="J21" i="3"/>
  <c r="AC17" i="3"/>
  <c r="AG18" i="3"/>
  <c r="J22" i="3"/>
  <c r="I18" i="2"/>
  <c r="AG19" i="2"/>
  <c r="J23" i="2"/>
  <c r="AC20" i="2"/>
  <c r="AC5" i="2"/>
  <c r="AG5" i="2"/>
  <c r="AC11" i="2"/>
  <c r="H18" i="2"/>
  <c r="AC9" i="2" s="1"/>
  <c r="M7" i="2"/>
  <c r="M6" i="2"/>
  <c r="Q15" i="2"/>
  <c r="M10" i="2"/>
  <c r="Q6" i="2" s="1"/>
  <c r="M9" i="2"/>
  <c r="M8" i="2"/>
  <c r="M11" i="2"/>
  <c r="Q7" i="2" s="1"/>
  <c r="R7" i="2" s="1"/>
  <c r="AG6" i="2"/>
  <c r="AC6" i="2"/>
  <c r="AG10" i="2"/>
  <c r="AC10" i="2"/>
  <c r="J21" i="2"/>
  <c r="AC17" i="2"/>
  <c r="AG18" i="2"/>
  <c r="J22" i="2"/>
  <c r="M12" i="2" s="1"/>
  <c r="Q10" i="2" s="1"/>
  <c r="R10" i="2" s="1"/>
  <c r="I23" i="1"/>
  <c r="AC21" i="1" s="1"/>
  <c r="H23" i="1"/>
  <c r="AG18" i="1" s="1"/>
  <c r="I22" i="1"/>
  <c r="AG20" i="1" s="1"/>
  <c r="H22" i="1"/>
  <c r="AG17" i="1" s="1"/>
  <c r="AG21" i="1"/>
  <c r="I21" i="1"/>
  <c r="AC19" i="1" s="1"/>
  <c r="H21" i="1"/>
  <c r="J21" i="1" s="1"/>
  <c r="AC20" i="1"/>
  <c r="J17" i="1"/>
  <c r="I17" i="1"/>
  <c r="H17" i="1"/>
  <c r="E17" i="1"/>
  <c r="D17" i="1"/>
  <c r="AC16" i="1"/>
  <c r="J16" i="1"/>
  <c r="J18" i="1" s="1"/>
  <c r="I16" i="1"/>
  <c r="H16" i="1"/>
  <c r="E16" i="1"/>
  <c r="D16" i="1"/>
  <c r="D18" i="1" s="1"/>
  <c r="J15" i="1"/>
  <c r="I15" i="1"/>
  <c r="H15" i="1"/>
  <c r="E15" i="1"/>
  <c r="D15" i="1"/>
  <c r="J14" i="1"/>
  <c r="I14" i="1"/>
  <c r="H14" i="1"/>
  <c r="H18" i="1" s="1"/>
  <c r="E14" i="1"/>
  <c r="E18" i="1" s="1"/>
  <c r="D14" i="1"/>
  <c r="V12" i="1"/>
  <c r="U12" i="1"/>
  <c r="V10" i="1"/>
  <c r="U10" i="1"/>
  <c r="J10" i="1"/>
  <c r="J9" i="1"/>
  <c r="J8" i="1"/>
  <c r="V7" i="1"/>
  <c r="U7" i="1"/>
  <c r="J7" i="1"/>
  <c r="M4" i="1"/>
  <c r="M12" i="3" l="1"/>
  <c r="Q10" i="3" s="1"/>
  <c r="R10" i="3" s="1"/>
  <c r="M15" i="4"/>
  <c r="Q12" i="4" s="1"/>
  <c r="R12" i="4" s="1"/>
  <c r="M14" i="4"/>
  <c r="Q11" i="4" s="1"/>
  <c r="R11" i="4" s="1"/>
  <c r="Z11" i="4" s="1"/>
  <c r="R6" i="4"/>
  <c r="M13" i="4"/>
  <c r="Q8" i="4" s="1"/>
  <c r="R8" i="4" s="1"/>
  <c r="Z8" i="4" s="1"/>
  <c r="M14" i="3"/>
  <c r="Q11" i="3" s="1"/>
  <c r="R11" i="3" s="1"/>
  <c r="Z11" i="3" s="1"/>
  <c r="M15" i="3"/>
  <c r="Q12" i="3" s="1"/>
  <c r="R12" i="3" s="1"/>
  <c r="R6" i="3"/>
  <c r="M13" i="3"/>
  <c r="Q8" i="3" s="1"/>
  <c r="R8" i="3" s="1"/>
  <c r="Z8" i="3" s="1"/>
  <c r="AG9" i="2"/>
  <c r="M15" i="2"/>
  <c r="Q12" i="2" s="1"/>
  <c r="R12" i="2" s="1"/>
  <c r="M14" i="2"/>
  <c r="Q11" i="2" s="1"/>
  <c r="R11" i="2" s="1"/>
  <c r="Z11" i="2" s="1"/>
  <c r="R6" i="2"/>
  <c r="M13" i="2"/>
  <c r="Q8" i="2" s="1"/>
  <c r="R8" i="2" s="1"/>
  <c r="Z8" i="2" s="1"/>
  <c r="J23" i="1"/>
  <c r="AG19" i="1"/>
  <c r="AC5" i="1"/>
  <c r="AG5" i="1"/>
  <c r="AG11" i="1"/>
  <c r="AC11" i="1"/>
  <c r="J11" i="1"/>
  <c r="M5" i="1" s="1"/>
  <c r="Q15" i="1" s="1"/>
  <c r="AG16" i="1"/>
  <c r="AC18" i="1"/>
  <c r="I18" i="1"/>
  <c r="AG10" i="1" s="1"/>
  <c r="M7" i="1"/>
  <c r="M6" i="1"/>
  <c r="M10" i="1"/>
  <c r="Q6" i="1" s="1"/>
  <c r="M9" i="1"/>
  <c r="AG6" i="1"/>
  <c r="AC6" i="1"/>
  <c r="AC10" i="1"/>
  <c r="AC9" i="1"/>
  <c r="AG9" i="1"/>
  <c r="AC17" i="1"/>
  <c r="J22" i="1"/>
  <c r="M12" i="1" s="1"/>
  <c r="Q10" i="1" s="1"/>
  <c r="R10" i="1" s="1"/>
  <c r="M16" i="4" l="1"/>
  <c r="Q13" i="4" s="1"/>
  <c r="R13" i="4" s="1"/>
  <c r="Z13" i="4" s="1"/>
  <c r="AG7" i="4"/>
  <c r="AC7" i="4"/>
  <c r="Q14" i="4"/>
  <c r="S7" i="4"/>
  <c r="T7" i="4" s="1"/>
  <c r="AG12" i="4"/>
  <c r="AC12" i="4"/>
  <c r="S10" i="4"/>
  <c r="T10" i="4" s="1"/>
  <c r="S7" i="3"/>
  <c r="T7" i="3" s="1"/>
  <c r="M16" i="3"/>
  <c r="Q13" i="3" s="1"/>
  <c r="R13" i="3" s="1"/>
  <c r="Z13" i="3" s="1"/>
  <c r="AG12" i="3"/>
  <c r="AC12" i="3"/>
  <c r="AG7" i="3"/>
  <c r="AC7" i="3"/>
  <c r="Q14" i="3"/>
  <c r="S10" i="3"/>
  <c r="T10" i="3" s="1"/>
  <c r="S7" i="2"/>
  <c r="T7" i="2" s="1"/>
  <c r="M16" i="2"/>
  <c r="Q13" i="2" s="1"/>
  <c r="R13" i="2" s="1"/>
  <c r="Z13" i="2" s="1"/>
  <c r="S12" i="2"/>
  <c r="T12" i="2" s="1"/>
  <c r="AG7" i="2"/>
  <c r="AC7" i="2"/>
  <c r="Q14" i="2"/>
  <c r="AG12" i="2"/>
  <c r="AC12" i="2"/>
  <c r="S10" i="2"/>
  <c r="T10" i="2" s="1"/>
  <c r="M11" i="1"/>
  <c r="Q7" i="1" s="1"/>
  <c r="R7" i="1" s="1"/>
  <c r="M8" i="1"/>
  <c r="M15" i="1"/>
  <c r="Q12" i="1" s="1"/>
  <c r="R12" i="1" s="1"/>
  <c r="M14" i="1"/>
  <c r="Q11" i="1" s="1"/>
  <c r="R11" i="1" s="1"/>
  <c r="Z11" i="1" s="1"/>
  <c r="R6" i="1"/>
  <c r="M13" i="1"/>
  <c r="Q8" i="1" s="1"/>
  <c r="R8" i="1" s="1"/>
  <c r="Z8" i="1" s="1"/>
  <c r="S12" i="3" l="1"/>
  <c r="T12" i="3" s="1"/>
  <c r="S12" i="4"/>
  <c r="T12" i="4" s="1"/>
  <c r="AC22" i="4"/>
  <c r="AG22" i="4"/>
  <c r="AC22" i="3"/>
  <c r="AG22" i="3"/>
  <c r="AC22" i="2"/>
  <c r="AG22" i="2"/>
  <c r="S10" i="1"/>
  <c r="T10" i="1" s="1"/>
  <c r="AG7" i="1"/>
  <c r="AC7" i="1"/>
  <c r="M16" i="1"/>
  <c r="Q13" i="1" s="1"/>
  <c r="R13" i="1" s="1"/>
  <c r="S7" i="1"/>
  <c r="T7" i="1" s="1"/>
  <c r="AG12" i="1"/>
  <c r="AC12" i="1"/>
  <c r="Z13" i="1" l="1"/>
  <c r="S12" i="1"/>
  <c r="T12" i="1" s="1"/>
  <c r="Q14" i="1"/>
  <c r="AC22" i="1" l="1"/>
  <c r="AG22" i="1"/>
</calcChain>
</file>

<file path=xl/sharedStrings.xml><?xml version="1.0" encoding="utf-8"?>
<sst xmlns="http://schemas.openxmlformats.org/spreadsheetml/2006/main" count="670" uniqueCount="98">
  <si>
    <t>Split Plot RAK 2 Faktor</t>
  </si>
  <si>
    <t>ANOVA</t>
  </si>
  <si>
    <t>F Tabel</t>
  </si>
  <si>
    <t>BNT tabel</t>
  </si>
  <si>
    <t>Petak Anakan</t>
  </si>
  <si>
    <t>T0</t>
  </si>
  <si>
    <t>T1</t>
  </si>
  <si>
    <t>Total</t>
  </si>
  <si>
    <t>EY2</t>
  </si>
  <si>
    <t>Sumber Keragaman</t>
  </si>
  <si>
    <t>dB</t>
  </si>
  <si>
    <t>JK</t>
  </si>
  <si>
    <t>KT</t>
  </si>
  <si>
    <t>Fhitung</t>
  </si>
  <si>
    <r>
      <rPr>
        <sz val="12"/>
        <color theme="1"/>
        <rFont val="Calibri"/>
        <family val="2"/>
      </rPr>
      <t>√</t>
    </r>
    <r>
      <rPr>
        <sz val="12"/>
        <color theme="1"/>
        <rFont val="Times New Roman"/>
        <family val="1"/>
      </rPr>
      <t>(KTG/n)</t>
    </r>
  </si>
  <si>
    <t>Perlakuan</t>
  </si>
  <si>
    <t>FK</t>
  </si>
  <si>
    <t xml:space="preserve">Petak utama </t>
  </si>
  <si>
    <t>a</t>
  </si>
  <si>
    <t>E0</t>
  </si>
  <si>
    <t>EB</t>
  </si>
  <si>
    <t>EM</t>
  </si>
  <si>
    <t>Jijk (Total)</t>
  </si>
  <si>
    <t>(Ulangan) Ri</t>
  </si>
  <si>
    <t>b</t>
  </si>
  <si>
    <t>I</t>
  </si>
  <si>
    <t>Jij</t>
  </si>
  <si>
    <t>(Soil treatment) Aj</t>
  </si>
  <si>
    <t>BNT  1%</t>
  </si>
  <si>
    <t>BNT  5%</t>
  </si>
  <si>
    <t>II</t>
  </si>
  <si>
    <t>Jik</t>
  </si>
  <si>
    <t>(Galat A) RAij</t>
  </si>
  <si>
    <t>III</t>
  </si>
  <si>
    <t>Jjk</t>
  </si>
  <si>
    <t>Anak petak</t>
  </si>
  <si>
    <t>Tanpa Entomopatogen (E0)</t>
  </si>
  <si>
    <t>IV</t>
  </si>
  <si>
    <t>Ry</t>
  </si>
  <si>
    <t>(Penyemprotan)    Pk</t>
  </si>
  <si>
    <t>Beuveria bausiana (EB)</t>
  </si>
  <si>
    <t>c</t>
  </si>
  <si>
    <t>Ay</t>
  </si>
  <si>
    <t>(Galat P)           RPik</t>
  </si>
  <si>
    <t>Metharrhizium anipsoliae (EM)</t>
  </si>
  <si>
    <t>Petak Utama</t>
  </si>
  <si>
    <t>Anak Petak</t>
  </si>
  <si>
    <t>Py</t>
  </si>
  <si>
    <t>(Interaksi AxP) APjk</t>
  </si>
  <si>
    <t>BNT 1%</t>
  </si>
  <si>
    <t>BNT 5%</t>
  </si>
  <si>
    <t>ulangan</t>
  </si>
  <si>
    <t>Ulangan</t>
  </si>
  <si>
    <t>RAy</t>
  </si>
  <si>
    <t>RAPijk</t>
  </si>
  <si>
    <t>RPy</t>
  </si>
  <si>
    <t>Interaksi</t>
  </si>
  <si>
    <t>APy</t>
  </si>
  <si>
    <t>Faktor koreksi</t>
  </si>
  <si>
    <t>RAPy</t>
  </si>
  <si>
    <t>Keterangan</t>
  </si>
  <si>
    <t>T0E0</t>
  </si>
  <si>
    <t>R = ulangan</t>
  </si>
  <si>
    <t>T0E1</t>
  </si>
  <si>
    <t>A= soil treatment</t>
  </si>
  <si>
    <t>T0E2</t>
  </si>
  <si>
    <t>P=penyemprotan tajuk</t>
  </si>
  <si>
    <t>T1E0</t>
  </si>
  <si>
    <t>d</t>
  </si>
  <si>
    <t>tn</t>
  </si>
  <si>
    <t>Berbeda/Berpengaruh Tidak Nyata</t>
  </si>
  <si>
    <t>T1EB</t>
  </si>
  <si>
    <t>e</t>
  </si>
  <si>
    <t>*</t>
  </si>
  <si>
    <t>Berbeda/Berpengaruh Nyata</t>
  </si>
  <si>
    <t>T1EM</t>
  </si>
  <si>
    <t>**</t>
  </si>
  <si>
    <t>Berbeda/Berpengaruh Sangat Nyata</t>
  </si>
  <si>
    <t>Tanpa Trichoderma (T0)</t>
  </si>
  <si>
    <t>Dengan Trichoderma (T1)</t>
  </si>
  <si>
    <t>Tinggi Tanaman Padi 14 HST</t>
  </si>
  <si>
    <t>Tinggi Tanaman Padi 28 HST</t>
  </si>
  <si>
    <t>Tinggi Tanaman Padi 42 HST</t>
  </si>
  <si>
    <t>Tinggi Tanaman Padi 56 HST</t>
  </si>
  <si>
    <t>umur</t>
  </si>
  <si>
    <t>14 HST</t>
  </si>
  <si>
    <t>28 HST</t>
  </si>
  <si>
    <t>42 HST</t>
  </si>
  <si>
    <t>56 HST</t>
  </si>
  <si>
    <t>Tanpa Trico</t>
  </si>
  <si>
    <t>T0EB</t>
  </si>
  <si>
    <t>T0EM</t>
  </si>
  <si>
    <t>Dengan Trico</t>
  </si>
  <si>
    <t>Umur</t>
  </si>
  <si>
    <t>Beauveria bassiana (EB)</t>
  </si>
  <si>
    <t>Metharhizium anipsopliae (EM)</t>
  </si>
  <si>
    <t xml:space="preserve">Anakan Petak </t>
  </si>
  <si>
    <t>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</si>
</sst>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"/>
      <family val="2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9" fontId="2" fillId="0" borderId="4" xfId="1" applyFont="1" applyBorder="1" applyAlignment="1">
      <alignment horizontal="center"/>
    </xf>
    <xf numFmtId="9" fontId="2" fillId="0" borderId="0" xfId="0" applyNumberFormat="1" applyFont="1"/>
    <xf numFmtId="0" fontId="4" fillId="0" borderId="0" xfId="0" applyFont="1"/>
    <xf numFmtId="9" fontId="2" fillId="0" borderId="5" xfId="0" applyNumberFormat="1" applyFont="1" applyBorder="1"/>
    <xf numFmtId="0" fontId="2" fillId="0" borderId="5" xfId="0" applyFont="1" applyBorder="1"/>
    <xf numFmtId="0" fontId="2" fillId="3" borderId="0" xfId="0" applyFont="1" applyFill="1"/>
    <xf numFmtId="2" fontId="2" fillId="0" borderId="1" xfId="0" applyNumberFormat="1" applyFont="1" applyBorder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4" xfId="0" applyNumberFormat="1" applyFont="1" applyBorder="1"/>
    <xf numFmtId="0" fontId="2" fillId="3" borderId="0" xfId="0" applyFont="1" applyFill="1" applyAlignment="1">
      <alignment horizontal="center"/>
    </xf>
    <xf numFmtId="0" fontId="2" fillId="0" borderId="4" xfId="0" applyFont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2" fontId="2" fillId="0" borderId="0" xfId="0" applyNumberFormat="1" applyFont="1"/>
    <xf numFmtId="0" fontId="2" fillId="2" borderId="6" xfId="0" applyFont="1" applyFill="1" applyBorder="1" applyAlignment="1">
      <alignment horizontal="center" vertical="center"/>
    </xf>
    <xf numFmtId="2" fontId="2" fillId="0" borderId="5" xfId="0" applyNumberFormat="1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4" xfId="0" applyNumberFormat="1" applyFont="1" applyBorder="1"/>
    <xf numFmtId="0" fontId="2" fillId="3" borderId="4" xfId="0" applyFont="1" applyFill="1" applyBorder="1"/>
    <xf numFmtId="0" fontId="2" fillId="0" borderId="5" xfId="0" applyFont="1" applyBorder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0" fontId="8" fillId="0" borderId="2" xfId="0" applyFont="1" applyBorder="1"/>
    <xf numFmtId="0" fontId="7" fillId="0" borderId="0" xfId="0" applyFont="1"/>
    <xf numFmtId="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2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16" xfId="0" applyFont="1" applyBorder="1" applyAlignment="1">
      <alignment horizontal="left" vertical="top"/>
    </xf>
    <xf numFmtId="0" fontId="7" fillId="0" borderId="17" xfId="0" applyFont="1" applyBorder="1"/>
    <xf numFmtId="0" fontId="7" fillId="0" borderId="4" xfId="0" applyFont="1" applyBorder="1" applyAlignment="1">
      <alignment horizontal="center" vertical="center"/>
    </xf>
    <xf numFmtId="0" fontId="7" fillId="0" borderId="4" xfId="0" applyFont="1" applyBorder="1"/>
    <xf numFmtId="0" fontId="7" fillId="0" borderId="7" xfId="0" applyFont="1" applyBorder="1"/>
    <xf numFmtId="9" fontId="7" fillId="0" borderId="0" xfId="0" applyNumberFormat="1" applyFont="1" applyAlignment="1">
      <alignment horizontal="center" vertical="center"/>
    </xf>
    <xf numFmtId="0" fontId="8" fillId="0" borderId="16" xfId="0" applyFont="1" applyBorder="1" applyAlignment="1">
      <alignment horizontal="left" vertical="top"/>
    </xf>
    <xf numFmtId="2" fontId="7" fillId="0" borderId="20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/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/>
    <xf numFmtId="9" fontId="7" fillId="0" borderId="4" xfId="0" applyNumberFormat="1" applyFont="1" applyBorder="1" applyAlignment="1">
      <alignment horizontal="center" vertical="center"/>
    </xf>
    <xf numFmtId="0" fontId="8" fillId="0" borderId="16" xfId="0" applyFont="1" applyBorder="1"/>
    <xf numFmtId="0" fontId="7" fillId="0" borderId="16" xfId="0" applyFont="1" applyBorder="1"/>
    <xf numFmtId="0" fontId="9" fillId="0" borderId="5" xfId="0" applyFont="1" applyBorder="1"/>
    <xf numFmtId="2" fontId="9" fillId="0" borderId="5" xfId="0" applyNumberFormat="1" applyFont="1" applyBorder="1"/>
    <xf numFmtId="0" fontId="9" fillId="3" borderId="5" xfId="0" applyFont="1" applyFill="1" applyBorder="1"/>
    <xf numFmtId="2" fontId="9" fillId="3" borderId="5" xfId="0" applyNumberFormat="1" applyFont="1" applyFill="1" applyBorder="1"/>
    <xf numFmtId="0" fontId="0" fillId="0" borderId="0" xfId="0" applyAlignment="1">
      <alignment vertical="center"/>
    </xf>
    <xf numFmtId="2" fontId="2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9" fontId="7" fillId="0" borderId="19" xfId="0" applyNumberFormat="1" applyFont="1" applyBorder="1" applyAlignment="1">
      <alignment horizontal="center" vertical="center"/>
    </xf>
    <xf numFmtId="9" fontId="7" fillId="0" borderId="18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73516-36BD-4C2E-9D2C-94241A99020F}">
  <dimension ref="B1:AH52"/>
  <sheetViews>
    <sheetView tabSelected="1" topLeftCell="A10" workbookViewId="0">
      <selection activeCell="AF24" sqref="AF24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83" t="s">
        <v>0</v>
      </c>
      <c r="E1" s="83"/>
      <c r="F1" s="83"/>
      <c r="G1" s="83"/>
    </row>
    <row r="2" spans="3:34" x14ac:dyDescent="0.25">
      <c r="D2" s="84" t="s">
        <v>80</v>
      </c>
      <c r="E2" s="84"/>
      <c r="F2" s="84"/>
      <c r="G2" s="84"/>
      <c r="O2" s="1" t="s">
        <v>1</v>
      </c>
    </row>
    <row r="3" spans="3:34" ht="14.25" customHeight="1" x14ac:dyDescent="0.25">
      <c r="O3" s="4"/>
      <c r="P3" s="4"/>
      <c r="Q3" s="4"/>
      <c r="R3" s="4"/>
      <c r="S3" s="4"/>
      <c r="T3" s="4"/>
      <c r="U3" s="85" t="s">
        <v>2</v>
      </c>
      <c r="V3" s="85"/>
      <c r="X3" s="85" t="s">
        <v>3</v>
      </c>
      <c r="Y3" s="85"/>
      <c r="AB3" s="83"/>
      <c r="AC3" s="83"/>
    </row>
    <row r="4" spans="3:34" ht="13.5" customHeight="1" x14ac:dyDescent="0.25">
      <c r="C4" s="90" t="s">
        <v>4</v>
      </c>
      <c r="D4" s="86" t="s">
        <v>5</v>
      </c>
      <c r="E4" s="86"/>
      <c r="F4" s="86"/>
      <c r="G4" s="86" t="s">
        <v>6</v>
      </c>
      <c r="H4" s="86"/>
      <c r="I4" s="87"/>
      <c r="J4" s="91" t="s">
        <v>7</v>
      </c>
      <c r="K4" s="8">
        <v>4</v>
      </c>
      <c r="L4" s="8" t="s">
        <v>8</v>
      </c>
      <c r="M4" s="8">
        <f>SUMSQ(D7:I10)</f>
        <v>29266.246199999998</v>
      </c>
      <c r="O4" s="9" t="s">
        <v>9</v>
      </c>
      <c r="P4" s="10" t="s">
        <v>10</v>
      </c>
      <c r="Q4" s="9" t="s">
        <v>11</v>
      </c>
      <c r="R4" s="9" t="s">
        <v>12</v>
      </c>
      <c r="S4" s="9" t="s">
        <v>13</v>
      </c>
      <c r="T4" s="9"/>
      <c r="U4" s="11">
        <v>0.05</v>
      </c>
      <c r="V4" s="11">
        <v>0.01</v>
      </c>
      <c r="X4" s="12">
        <v>0.05</v>
      </c>
      <c r="Y4" s="12">
        <v>0.01</v>
      </c>
      <c r="Z4" s="13" t="s">
        <v>14</v>
      </c>
      <c r="AA4" s="13"/>
      <c r="AB4" s="14" t="s">
        <v>15</v>
      </c>
      <c r="AC4" s="14"/>
      <c r="AD4" s="15"/>
      <c r="AF4" s="14" t="s">
        <v>15</v>
      </c>
      <c r="AG4" s="14"/>
      <c r="AH4" s="15"/>
    </row>
    <row r="5" spans="3:34" x14ac:dyDescent="0.25">
      <c r="C5" s="90"/>
      <c r="D5" s="86"/>
      <c r="E5" s="86"/>
      <c r="F5" s="86"/>
      <c r="G5" s="86"/>
      <c r="H5" s="86"/>
      <c r="I5" s="87"/>
      <c r="J5" s="91"/>
      <c r="K5" s="8">
        <v>5</v>
      </c>
      <c r="L5" s="8" t="s">
        <v>16</v>
      </c>
      <c r="M5" s="8">
        <f>(J11^2)/24</f>
        <v>28959.264266666665</v>
      </c>
      <c r="O5" s="1" t="s">
        <v>17</v>
      </c>
      <c r="T5" s="16"/>
      <c r="AB5" s="4" t="s">
        <v>78</v>
      </c>
      <c r="AC5" s="17">
        <f>D18/12</f>
        <v>32.218333333333334</v>
      </c>
      <c r="AD5" s="4" t="s">
        <v>18</v>
      </c>
      <c r="AF5" s="4" t="s">
        <v>78</v>
      </c>
      <c r="AG5" s="17">
        <f>D18/12</f>
        <v>32.218333333333334</v>
      </c>
      <c r="AH5" s="4" t="s">
        <v>18</v>
      </c>
    </row>
    <row r="6" spans="3:34" x14ac:dyDescent="0.25">
      <c r="C6" s="90"/>
      <c r="D6" s="5" t="s">
        <v>19</v>
      </c>
      <c r="E6" s="5" t="s">
        <v>20</v>
      </c>
      <c r="F6" s="5" t="s">
        <v>21</v>
      </c>
      <c r="G6" s="5" t="s">
        <v>19</v>
      </c>
      <c r="H6" s="5" t="s">
        <v>20</v>
      </c>
      <c r="I6" s="6" t="s">
        <v>21</v>
      </c>
      <c r="J6" s="91"/>
      <c r="K6" s="8">
        <v>6</v>
      </c>
      <c r="L6" s="8" t="s">
        <v>22</v>
      </c>
      <c r="M6" s="18">
        <f>SUMSQ(D7:I10)-M5</f>
        <v>306.98193333333256</v>
      </c>
      <c r="N6" s="2"/>
      <c r="O6" s="19" t="s">
        <v>23</v>
      </c>
      <c r="P6" s="2">
        <v>3</v>
      </c>
      <c r="Q6" s="1">
        <f>M10</f>
        <v>4.6265333333285525</v>
      </c>
      <c r="R6" s="1">
        <f>Q6/P6</f>
        <v>1.5421777777761843</v>
      </c>
      <c r="T6" s="16"/>
      <c r="AB6" s="9" t="s">
        <v>79</v>
      </c>
      <c r="AC6" s="20">
        <f>E18/12</f>
        <v>37.255000000000003</v>
      </c>
      <c r="AD6" s="9" t="s">
        <v>24</v>
      </c>
      <c r="AF6" s="9" t="s">
        <v>79</v>
      </c>
      <c r="AG6" s="20">
        <f>E18/12</f>
        <v>37.255000000000003</v>
      </c>
      <c r="AH6" s="9" t="s">
        <v>24</v>
      </c>
    </row>
    <row r="7" spans="3:34" x14ac:dyDescent="0.25">
      <c r="C7" s="5" t="s">
        <v>25</v>
      </c>
      <c r="D7" s="5">
        <v>27.95</v>
      </c>
      <c r="E7" s="5">
        <v>35.729999999999997</v>
      </c>
      <c r="F7" s="5">
        <v>35.18</v>
      </c>
      <c r="G7" s="5">
        <v>35.21</v>
      </c>
      <c r="H7" s="5">
        <v>39.979999999999997</v>
      </c>
      <c r="I7" s="6">
        <v>37.409999999999997</v>
      </c>
      <c r="J7" s="7">
        <f>SUM(D7:I7)</f>
        <v>211.45999999999998</v>
      </c>
      <c r="K7" s="8">
        <v>7</v>
      </c>
      <c r="L7" s="8" t="s">
        <v>26</v>
      </c>
      <c r="M7" s="8">
        <f>(SUMSQ(D14:E17)/3)-M5</f>
        <v>159.22693333332791</v>
      </c>
      <c r="O7" s="19" t="s">
        <v>27</v>
      </c>
      <c r="P7" s="2">
        <v>1</v>
      </c>
      <c r="Q7" s="1">
        <f>M11</f>
        <v>152.20806666666977</v>
      </c>
      <c r="R7" s="1">
        <f>Q7/P7</f>
        <v>152.20806666666977</v>
      </c>
      <c r="S7" s="1">
        <f>R7/R8</f>
        <v>190.86980632606551</v>
      </c>
      <c r="T7" s="21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9" t="s">
        <v>28</v>
      </c>
      <c r="AC7" s="20">
        <f>Y8*Z8</f>
        <v>2.6079990506592123</v>
      </c>
      <c r="AD7" s="9"/>
      <c r="AF7" s="9" t="s">
        <v>29</v>
      </c>
      <c r="AG7" s="20">
        <f>X8*Z8</f>
        <v>1.4207589418246214</v>
      </c>
      <c r="AH7" s="9"/>
    </row>
    <row r="8" spans="3:34" x14ac:dyDescent="0.25">
      <c r="C8" s="5" t="s">
        <v>30</v>
      </c>
      <c r="D8" s="5">
        <v>28.3</v>
      </c>
      <c r="E8" s="5">
        <v>33.89</v>
      </c>
      <c r="F8" s="5">
        <v>33.729999999999997</v>
      </c>
      <c r="G8" s="5">
        <v>34.89</v>
      </c>
      <c r="H8" s="5">
        <v>38.729999999999997</v>
      </c>
      <c r="I8" s="6">
        <v>36.979999999999997</v>
      </c>
      <c r="J8" s="7">
        <f>SUM(D8:I8)</f>
        <v>206.51999999999998</v>
      </c>
      <c r="K8" s="8">
        <v>8</v>
      </c>
      <c r="L8" s="8" t="s">
        <v>31</v>
      </c>
      <c r="M8" s="8">
        <f>(SUMSQ(H14:J17)/2)-M5</f>
        <v>134.65493333332779</v>
      </c>
      <c r="O8" s="22" t="s">
        <v>32</v>
      </c>
      <c r="P8" s="10">
        <v>3</v>
      </c>
      <c r="Q8" s="9">
        <f>M13</f>
        <v>2.3923333333295886</v>
      </c>
      <c r="R8" s="9">
        <f>Q8/P8</f>
        <v>0.79744444444319618</v>
      </c>
      <c r="S8" s="9"/>
      <c r="T8" s="23"/>
      <c r="U8" s="9"/>
      <c r="V8" s="9"/>
      <c r="X8" s="1">
        <v>3.1819999999999999</v>
      </c>
      <c r="Y8" s="1">
        <v>5.8410000000000002</v>
      </c>
      <c r="Z8" s="1">
        <f>SQRT(R8/4)</f>
        <v>0.44649872464632978</v>
      </c>
      <c r="AC8" s="24"/>
      <c r="AG8" s="24"/>
    </row>
    <row r="9" spans="3:34" x14ac:dyDescent="0.25">
      <c r="C9" s="5" t="s">
        <v>33</v>
      </c>
      <c r="D9" s="5">
        <v>27.5</v>
      </c>
      <c r="E9" s="5">
        <v>34.549999999999997</v>
      </c>
      <c r="F9" s="5">
        <v>31.38</v>
      </c>
      <c r="G9" s="5">
        <v>36.44</v>
      </c>
      <c r="H9" s="5">
        <v>37.979999999999997</v>
      </c>
      <c r="I9" s="6">
        <v>37.33</v>
      </c>
      <c r="J9" s="7">
        <f>SUM(D9:I9)</f>
        <v>205.18</v>
      </c>
      <c r="K9" s="8">
        <v>9</v>
      </c>
      <c r="L9" s="8" t="s">
        <v>34</v>
      </c>
      <c r="M9" s="8">
        <f>(SUMSQ(H21:I23)/4)-M5</f>
        <v>289.47958333333372</v>
      </c>
      <c r="O9" s="1" t="s">
        <v>35</v>
      </c>
      <c r="P9" s="2"/>
      <c r="T9" s="21"/>
      <c r="AB9" s="4" t="s">
        <v>36</v>
      </c>
      <c r="AC9" s="17">
        <f>H18/8</f>
        <v>31.607499999999998</v>
      </c>
      <c r="AD9" s="4" t="s">
        <v>18</v>
      </c>
      <c r="AF9" s="4" t="s">
        <v>36</v>
      </c>
      <c r="AG9" s="17">
        <f>H18/8</f>
        <v>31.607499999999998</v>
      </c>
      <c r="AH9" s="4" t="s">
        <v>18</v>
      </c>
    </row>
    <row r="10" spans="3:34" x14ac:dyDescent="0.25">
      <c r="C10" s="5" t="s">
        <v>37</v>
      </c>
      <c r="D10" s="5">
        <v>28.45</v>
      </c>
      <c r="E10" s="5">
        <v>35.409999999999997</v>
      </c>
      <c r="F10" s="5">
        <v>34.549999999999997</v>
      </c>
      <c r="G10" s="5">
        <v>34.119999999999997</v>
      </c>
      <c r="H10" s="5">
        <v>39.340000000000003</v>
      </c>
      <c r="I10" s="6">
        <v>38.65</v>
      </c>
      <c r="J10" s="7">
        <f>SUM(D10:I10)</f>
        <v>210.52</v>
      </c>
      <c r="K10" s="8">
        <v>10</v>
      </c>
      <c r="L10" s="8" t="s">
        <v>38</v>
      </c>
      <c r="M10" s="8">
        <f>(SUMSQ(J7:J10)/6)-M5</f>
        <v>4.6265333333285525</v>
      </c>
      <c r="O10" s="19" t="s">
        <v>39</v>
      </c>
      <c r="P10" s="2">
        <v>2</v>
      </c>
      <c r="Q10" s="1">
        <f>M12</f>
        <v>124.2602083333295</v>
      </c>
      <c r="R10" s="1">
        <f>Q10/P10</f>
        <v>62.130104166664751</v>
      </c>
      <c r="S10" s="1">
        <f>R10/R11</f>
        <v>64.626948364774648</v>
      </c>
      <c r="T10" s="21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40</v>
      </c>
      <c r="AC10" s="24">
        <f>I18/8</f>
        <v>36.951250000000002</v>
      </c>
      <c r="AD10" s="1" t="s">
        <v>24</v>
      </c>
      <c r="AF10" s="1" t="s">
        <v>40</v>
      </c>
      <c r="AG10" s="24">
        <f>I18/8</f>
        <v>36.951250000000002</v>
      </c>
      <c r="AH10" s="1" t="s">
        <v>41</v>
      </c>
    </row>
    <row r="11" spans="3:34" x14ac:dyDescent="0.25">
      <c r="C11" s="8"/>
      <c r="D11" s="8"/>
      <c r="E11" s="8"/>
      <c r="F11" s="8"/>
      <c r="G11" s="8"/>
      <c r="H11" s="8"/>
      <c r="I11" s="8">
        <f>AVERAGE(I7:I10)</f>
        <v>37.592499999999994</v>
      </c>
      <c r="J11" s="25">
        <f>SUM(J7:J10)</f>
        <v>833.68</v>
      </c>
      <c r="K11" s="8">
        <v>11</v>
      </c>
      <c r="L11" s="8" t="s">
        <v>42</v>
      </c>
      <c r="M11" s="8">
        <f>(SUMSQ(D18:E18)/12)-M5</f>
        <v>152.20806666666977</v>
      </c>
      <c r="O11" s="19" t="s">
        <v>43</v>
      </c>
      <c r="P11" s="2">
        <v>6</v>
      </c>
      <c r="Q11" s="1">
        <f>M14</f>
        <v>5.7681916666697362</v>
      </c>
      <c r="R11" s="1">
        <f>Q11/P11</f>
        <v>0.9613652777782894</v>
      </c>
      <c r="T11" s="21"/>
      <c r="X11" s="1">
        <v>4.3029999999999999</v>
      </c>
      <c r="Y11" s="1">
        <v>9.9250000000000007</v>
      </c>
      <c r="Z11" s="1">
        <f>SQRT(R11/4)</f>
        <v>0.4902461824885252</v>
      </c>
      <c r="AB11" s="9" t="s">
        <v>44</v>
      </c>
      <c r="AC11" s="20">
        <f>J18/8</f>
        <v>35.651249999999997</v>
      </c>
      <c r="AD11" s="9" t="s">
        <v>24</v>
      </c>
      <c r="AF11" s="9" t="s">
        <v>44</v>
      </c>
      <c r="AG11" s="20">
        <f>J18/8</f>
        <v>35.651249999999997</v>
      </c>
      <c r="AH11" s="9" t="s">
        <v>24</v>
      </c>
    </row>
    <row r="12" spans="3:34" x14ac:dyDescent="0.25">
      <c r="C12" s="86" t="s">
        <v>45</v>
      </c>
      <c r="D12" s="86"/>
      <c r="E12" s="86"/>
      <c r="F12" s="8"/>
      <c r="G12" s="87" t="s">
        <v>46</v>
      </c>
      <c r="H12" s="88"/>
      <c r="I12" s="88"/>
      <c r="J12" s="89"/>
      <c r="K12" s="8">
        <v>12</v>
      </c>
      <c r="L12" s="8" t="s">
        <v>47</v>
      </c>
      <c r="M12" s="8">
        <f>(SUMSQ(J21:J23)/8)-M5</f>
        <v>124.2602083333295</v>
      </c>
      <c r="O12" s="19" t="s">
        <v>48</v>
      </c>
      <c r="P12" s="2">
        <v>2</v>
      </c>
      <c r="Q12" s="1">
        <f>M15</f>
        <v>13.011308333334455</v>
      </c>
      <c r="R12" s="1">
        <f>Q12/P12</f>
        <v>6.5056541666672274</v>
      </c>
      <c r="S12" s="1">
        <f>R12/R13</f>
        <v>13.796928433189105</v>
      </c>
      <c r="T12" s="21" t="str">
        <f>IF(S12&lt;U12,"tn",IF(S12&lt;V12,"*","**"))</f>
        <v>**</v>
      </c>
      <c r="U12" s="1">
        <f>FINV(0.05,P12,P13)</f>
        <v>4.1028210151304032</v>
      </c>
      <c r="V12" s="1">
        <f>FINV(0.01,P12,P13)</f>
        <v>7.5594321575479011</v>
      </c>
      <c r="AB12" s="15" t="s">
        <v>49</v>
      </c>
      <c r="AC12" s="26">
        <f>Y11*Z11</f>
        <v>4.8656933611986126</v>
      </c>
      <c r="AD12" s="15"/>
      <c r="AF12" s="15" t="s">
        <v>50</v>
      </c>
      <c r="AG12" s="26">
        <f>X11*Z11</f>
        <v>2.109529323248124</v>
      </c>
      <c r="AH12" s="15"/>
    </row>
    <row r="13" spans="3:34" x14ac:dyDescent="0.25">
      <c r="C13" s="27" t="s">
        <v>51</v>
      </c>
      <c r="D13" s="5" t="s">
        <v>5</v>
      </c>
      <c r="E13" s="28" t="s">
        <v>6</v>
      </c>
      <c r="F13" s="8"/>
      <c r="G13" s="5" t="s">
        <v>52</v>
      </c>
      <c r="H13" s="5" t="s">
        <v>5</v>
      </c>
      <c r="I13" s="5" t="s">
        <v>20</v>
      </c>
      <c r="J13" s="5" t="s">
        <v>21</v>
      </c>
      <c r="K13" s="8">
        <v>13</v>
      </c>
      <c r="L13" s="8" t="s">
        <v>53</v>
      </c>
      <c r="M13" s="8">
        <f>M7-M10-M11</f>
        <v>2.3923333333295886</v>
      </c>
      <c r="O13" s="22" t="s">
        <v>54</v>
      </c>
      <c r="P13" s="10">
        <v>10</v>
      </c>
      <c r="Q13" s="29">
        <f>M16</f>
        <v>4.7152916666709643</v>
      </c>
      <c r="R13" s="9">
        <f>Q13/P13</f>
        <v>0.47152916666709643</v>
      </c>
      <c r="S13" s="9"/>
      <c r="T13" s="30"/>
      <c r="U13" s="9"/>
      <c r="V13" s="9"/>
      <c r="X13" s="1">
        <v>2.2280000000000002</v>
      </c>
      <c r="Y13" s="1">
        <v>3.169</v>
      </c>
      <c r="Z13" s="1">
        <f>SQRT(R13/5)</f>
        <v>0.30709254848240664</v>
      </c>
    </row>
    <row r="14" spans="3:34" x14ac:dyDescent="0.25">
      <c r="C14" s="27" t="s">
        <v>25</v>
      </c>
      <c r="D14" s="5">
        <f>SUM(D7:F7)</f>
        <v>98.859999999999985</v>
      </c>
      <c r="E14" s="28">
        <f>SUM(G7:I7)</f>
        <v>112.6</v>
      </c>
      <c r="F14" s="8"/>
      <c r="G14" s="5" t="s">
        <v>25</v>
      </c>
      <c r="H14" s="5">
        <f>D7+G7</f>
        <v>63.16</v>
      </c>
      <c r="I14" s="5">
        <f>E7+H7</f>
        <v>75.709999999999994</v>
      </c>
      <c r="J14" s="5">
        <f>F7+I7</f>
        <v>72.59</v>
      </c>
      <c r="K14" s="8">
        <v>14</v>
      </c>
      <c r="L14" s="8" t="s">
        <v>55</v>
      </c>
      <c r="M14" s="8">
        <f>M8-M10-M12</f>
        <v>5.7681916666697362</v>
      </c>
      <c r="O14" s="31" t="s">
        <v>7</v>
      </c>
      <c r="P14" s="15"/>
      <c r="Q14" s="15">
        <f>SUM(Q6:Q13)</f>
        <v>306.98193333333256</v>
      </c>
      <c r="R14" s="15"/>
      <c r="S14" s="15"/>
      <c r="T14" s="15"/>
      <c r="U14" s="15"/>
      <c r="V14" s="15"/>
      <c r="AB14" s="3" t="s">
        <v>56</v>
      </c>
      <c r="AF14" s="3" t="s">
        <v>56</v>
      </c>
    </row>
    <row r="15" spans="3:34" x14ac:dyDescent="0.25">
      <c r="C15" s="27" t="s">
        <v>30</v>
      </c>
      <c r="D15" s="5">
        <f>SUM(D8:F8)</f>
        <v>95.919999999999987</v>
      </c>
      <c r="E15" s="28">
        <f>SUM(G8:I8)</f>
        <v>110.6</v>
      </c>
      <c r="F15" s="8"/>
      <c r="G15" s="5" t="s">
        <v>30</v>
      </c>
      <c r="H15" s="5">
        <f t="shared" ref="H15:J17" si="0">D8+G8</f>
        <v>63.19</v>
      </c>
      <c r="I15" s="5">
        <f t="shared" si="0"/>
        <v>72.62</v>
      </c>
      <c r="J15" s="5">
        <f t="shared" si="0"/>
        <v>70.709999999999994</v>
      </c>
      <c r="K15" s="8">
        <v>15</v>
      </c>
      <c r="L15" s="8" t="s">
        <v>57</v>
      </c>
      <c r="M15" s="8">
        <f>M9-M11-M12</f>
        <v>13.011308333334455</v>
      </c>
      <c r="O15" s="19" t="s">
        <v>58</v>
      </c>
      <c r="Q15" s="1">
        <f>M5</f>
        <v>28959.264266666665</v>
      </c>
      <c r="AB15" s="15" t="s">
        <v>15</v>
      </c>
      <c r="AC15" s="15"/>
      <c r="AD15" s="15"/>
      <c r="AF15" s="15" t="s">
        <v>15</v>
      </c>
      <c r="AG15" s="15"/>
      <c r="AH15" s="15"/>
    </row>
    <row r="16" spans="3:34" x14ac:dyDescent="0.25">
      <c r="C16" s="27" t="s">
        <v>33</v>
      </c>
      <c r="D16" s="5">
        <f>SUM(D9:F9)</f>
        <v>93.429999999999993</v>
      </c>
      <c r="E16" s="28">
        <f>SUM(G9:I9)</f>
        <v>111.74999999999999</v>
      </c>
      <c r="F16" s="8"/>
      <c r="G16" s="5" t="s">
        <v>33</v>
      </c>
      <c r="H16" s="5">
        <f t="shared" si="0"/>
        <v>63.94</v>
      </c>
      <c r="I16" s="5">
        <f t="shared" si="0"/>
        <v>72.53</v>
      </c>
      <c r="J16" s="5">
        <f t="shared" si="0"/>
        <v>68.709999999999994</v>
      </c>
      <c r="K16" s="8">
        <v>16</v>
      </c>
      <c r="L16" s="8" t="s">
        <v>59</v>
      </c>
      <c r="M16" s="18">
        <f>M6-M10-M11-M12-M13-M14-M15</f>
        <v>4.7152916666709643</v>
      </c>
      <c r="O16" s="1" t="s">
        <v>60</v>
      </c>
      <c r="AB16" s="4" t="s">
        <v>61</v>
      </c>
      <c r="AC16" s="17">
        <f>H21/4</f>
        <v>28.05</v>
      </c>
      <c r="AD16" s="1" t="s">
        <v>18</v>
      </c>
      <c r="AF16" s="4" t="s">
        <v>61</v>
      </c>
      <c r="AG16" s="17">
        <f>H21/4</f>
        <v>28.05</v>
      </c>
      <c r="AH16" s="4" t="s">
        <v>18</v>
      </c>
    </row>
    <row r="17" spans="2:34" x14ac:dyDescent="0.25">
      <c r="C17" s="27" t="s">
        <v>37</v>
      </c>
      <c r="D17" s="5">
        <f>SUM(D10:F10)</f>
        <v>98.41</v>
      </c>
      <c r="E17" s="28">
        <f>SUM(G10:I10)</f>
        <v>112.11000000000001</v>
      </c>
      <c r="F17" s="8"/>
      <c r="G17" s="5" t="s">
        <v>37</v>
      </c>
      <c r="H17" s="5">
        <f t="shared" si="0"/>
        <v>62.569999999999993</v>
      </c>
      <c r="I17" s="5">
        <f t="shared" si="0"/>
        <v>74.75</v>
      </c>
      <c r="J17" s="5">
        <f t="shared" si="0"/>
        <v>73.199999999999989</v>
      </c>
      <c r="K17" s="8"/>
      <c r="L17" s="8"/>
      <c r="M17" s="8"/>
      <c r="O17" s="1" t="s">
        <v>62</v>
      </c>
      <c r="AB17" s="1" t="s">
        <v>63</v>
      </c>
      <c r="AC17" s="24">
        <f>H22/4</f>
        <v>34.894999999999996</v>
      </c>
      <c r="AD17" s="1" t="s">
        <v>41</v>
      </c>
      <c r="AF17" s="1" t="s">
        <v>63</v>
      </c>
      <c r="AG17" s="24">
        <f>H22/4</f>
        <v>34.894999999999996</v>
      </c>
      <c r="AH17" s="1" t="s">
        <v>41</v>
      </c>
    </row>
    <row r="18" spans="2:34" ht="16.5" thickBot="1" x14ac:dyDescent="0.3">
      <c r="C18" s="32"/>
      <c r="D18" s="33">
        <f>SUM(D14:D17)</f>
        <v>386.62</v>
      </c>
      <c r="E18" s="34">
        <f>SUM(E14:E17)</f>
        <v>447.06</v>
      </c>
      <c r="F18" s="8"/>
      <c r="G18" s="8"/>
      <c r="H18" s="8">
        <f>SUM(H14:H17)</f>
        <v>252.85999999999999</v>
      </c>
      <c r="I18" s="8">
        <f>SUM(I14:I17)</f>
        <v>295.61</v>
      </c>
      <c r="J18" s="8">
        <f>SUM(J14:J17)</f>
        <v>285.20999999999998</v>
      </c>
      <c r="K18" s="8"/>
      <c r="L18" s="8"/>
      <c r="M18" s="8"/>
      <c r="O18" s="1" t="s">
        <v>64</v>
      </c>
      <c r="AB18" s="1" t="s">
        <v>65</v>
      </c>
      <c r="AC18" s="24">
        <f>H23/4</f>
        <v>33.709999999999994</v>
      </c>
      <c r="AD18" s="1" t="s">
        <v>24</v>
      </c>
      <c r="AF18" s="1" t="s">
        <v>65</v>
      </c>
      <c r="AG18" s="24">
        <f>H23/4</f>
        <v>33.709999999999994</v>
      </c>
      <c r="AH18" s="1" t="s">
        <v>24</v>
      </c>
    </row>
    <row r="19" spans="2:34" ht="16.5" thickBot="1" x14ac:dyDescent="0.3">
      <c r="C19" s="8"/>
      <c r="D19" s="8"/>
      <c r="E19" s="8"/>
      <c r="F19" s="8"/>
      <c r="G19" s="8"/>
      <c r="H19" s="35" t="s">
        <v>56</v>
      </c>
      <c r="I19" s="8"/>
      <c r="J19" s="8"/>
      <c r="K19" s="8"/>
      <c r="L19" s="8"/>
      <c r="M19" s="8"/>
      <c r="O19" s="1" t="s">
        <v>66</v>
      </c>
      <c r="AB19" s="1" t="s">
        <v>67</v>
      </c>
      <c r="AC19" s="24">
        <f>I21/4</f>
        <v>35.164999999999999</v>
      </c>
      <c r="AD19" s="1" t="s">
        <v>41</v>
      </c>
      <c r="AF19" s="1" t="s">
        <v>67</v>
      </c>
      <c r="AG19" s="24">
        <f>I21/4</f>
        <v>35.164999999999999</v>
      </c>
      <c r="AH19" s="1" t="s">
        <v>68</v>
      </c>
    </row>
    <row r="20" spans="2:34" x14ac:dyDescent="0.25">
      <c r="C20" s="8"/>
      <c r="D20" s="8"/>
      <c r="E20" s="8"/>
      <c r="F20" s="8"/>
      <c r="G20" s="36"/>
      <c r="H20" s="37" t="s">
        <v>5</v>
      </c>
      <c r="I20" s="37" t="s">
        <v>6</v>
      </c>
      <c r="J20" s="38"/>
      <c r="K20" s="8"/>
      <c r="L20" s="8"/>
      <c r="M20" s="8"/>
      <c r="O20" s="1" t="s">
        <v>69</v>
      </c>
      <c r="P20" s="1" t="s">
        <v>70</v>
      </c>
      <c r="AB20" s="1" t="s">
        <v>71</v>
      </c>
      <c r="AC20" s="24">
        <f>I22/4</f>
        <v>39.0075</v>
      </c>
      <c r="AD20" s="1" t="s">
        <v>72</v>
      </c>
      <c r="AF20" s="1" t="s">
        <v>71</v>
      </c>
      <c r="AG20" s="24">
        <f>I22/4</f>
        <v>39.0075</v>
      </c>
      <c r="AH20" s="1" t="s">
        <v>72</v>
      </c>
    </row>
    <row r="21" spans="2:34" x14ac:dyDescent="0.25">
      <c r="C21" s="8"/>
      <c r="D21" s="8"/>
      <c r="E21" s="8"/>
      <c r="F21" s="8"/>
      <c r="G21" s="27" t="s">
        <v>19</v>
      </c>
      <c r="H21" s="5">
        <f>SUM(D7:D10)</f>
        <v>112.2</v>
      </c>
      <c r="I21" s="5">
        <f>SUM(G7:G10)</f>
        <v>140.66</v>
      </c>
      <c r="J21" s="28">
        <f>SUM(H21:I21)</f>
        <v>252.86</v>
      </c>
      <c r="K21" s="8"/>
      <c r="L21" s="8"/>
      <c r="M21" s="8"/>
      <c r="O21" s="1" t="s">
        <v>73</v>
      </c>
      <c r="P21" s="1" t="s">
        <v>74</v>
      </c>
      <c r="AB21" s="1" t="s">
        <v>75</v>
      </c>
      <c r="AC21" s="24">
        <f>I23/4</f>
        <v>37.592499999999994</v>
      </c>
      <c r="AD21" s="1" t="s">
        <v>68</v>
      </c>
      <c r="AF21" s="9" t="s">
        <v>75</v>
      </c>
      <c r="AG21" s="20">
        <f>I23/4</f>
        <v>37.592499999999994</v>
      </c>
      <c r="AH21" s="9" t="s">
        <v>68</v>
      </c>
    </row>
    <row r="22" spans="2:34" x14ac:dyDescent="0.25">
      <c r="C22" s="8"/>
      <c r="D22" s="8"/>
      <c r="E22" s="8"/>
      <c r="F22" s="8"/>
      <c r="G22" s="27" t="s">
        <v>20</v>
      </c>
      <c r="H22" s="5">
        <f>SUM(E7:E10)</f>
        <v>139.57999999999998</v>
      </c>
      <c r="I22" s="5">
        <f>SUM(H7:H10)</f>
        <v>156.03</v>
      </c>
      <c r="J22" s="28">
        <f>SUM(H22:I22)</f>
        <v>295.61</v>
      </c>
      <c r="K22" s="8"/>
      <c r="L22" s="8"/>
      <c r="M22" s="8"/>
      <c r="O22" s="1" t="s">
        <v>76</v>
      </c>
      <c r="P22" s="1" t="s">
        <v>77</v>
      </c>
      <c r="AB22" s="15" t="s">
        <v>49</v>
      </c>
      <c r="AC22" s="26">
        <f>Y13*Z13</f>
        <v>0.97317628614074669</v>
      </c>
      <c r="AD22" s="15"/>
      <c r="AF22" s="15" t="s">
        <v>50</v>
      </c>
      <c r="AG22" s="26">
        <f>X13*Z13</f>
        <v>0.684202198018802</v>
      </c>
      <c r="AH22" s="15"/>
    </row>
    <row r="23" spans="2:34" ht="16.5" thickBot="1" x14ac:dyDescent="0.3">
      <c r="C23" s="8"/>
      <c r="D23" s="8"/>
      <c r="E23" s="8"/>
      <c r="F23" s="8"/>
      <c r="G23" s="32" t="s">
        <v>21</v>
      </c>
      <c r="H23" s="33">
        <f>SUM(F7:F10)</f>
        <v>134.83999999999997</v>
      </c>
      <c r="I23" s="33">
        <f>SUM(I7:I10)</f>
        <v>150.36999999999998</v>
      </c>
      <c r="J23" s="34">
        <f>SUM(H23:I23)</f>
        <v>285.20999999999992</v>
      </c>
      <c r="K23" s="8"/>
      <c r="L23" s="8"/>
      <c r="M23" s="8"/>
    </row>
    <row r="24" spans="2:34" x14ac:dyDescent="0.25">
      <c r="B24" s="83"/>
      <c r="C24" s="83"/>
      <c r="D24" s="83"/>
      <c r="E24" s="83"/>
      <c r="F24" s="83"/>
    </row>
    <row r="25" spans="2:34" x14ac:dyDescent="0.25">
      <c r="B25" s="83"/>
      <c r="C25" s="83"/>
      <c r="D25" s="83"/>
      <c r="E25" s="83"/>
      <c r="F25" s="83"/>
      <c r="G25" s="83"/>
      <c r="H25" s="83"/>
      <c r="I25" s="83"/>
    </row>
    <row r="26" spans="2:34" x14ac:dyDescent="0.25">
      <c r="B26" s="83"/>
      <c r="C26" s="83"/>
      <c r="D26" s="83"/>
      <c r="E26" s="83"/>
      <c r="F26" s="83"/>
      <c r="I26" s="83"/>
    </row>
    <row r="42" spans="6:13" x14ac:dyDescent="0.25">
      <c r="F42" s="39"/>
      <c r="G42" s="40"/>
      <c r="H42" s="39"/>
      <c r="I42" s="39"/>
      <c r="J42" s="39"/>
      <c r="K42" s="39"/>
      <c r="L42" s="41"/>
      <c r="M42" s="8"/>
    </row>
    <row r="43" spans="6:13" x14ac:dyDescent="0.25">
      <c r="F43" s="39"/>
      <c r="G43" s="40"/>
      <c r="H43" s="8"/>
      <c r="I43" s="8"/>
      <c r="J43" s="8"/>
      <c r="K43" s="8"/>
      <c r="L43" s="8"/>
      <c r="M43" s="8"/>
    </row>
    <row r="44" spans="6:13" x14ac:dyDescent="0.25">
      <c r="F44" s="39"/>
      <c r="G44" s="8"/>
      <c r="H44" s="8"/>
      <c r="I44" s="8"/>
      <c r="J44" s="8"/>
      <c r="K44" s="8"/>
      <c r="L44" s="8"/>
    </row>
    <row r="45" spans="6:13" x14ac:dyDescent="0.25">
      <c r="F45" s="39"/>
      <c r="G45" s="8"/>
      <c r="H45" s="8"/>
      <c r="I45" s="8"/>
      <c r="J45" s="8"/>
      <c r="K45" s="8"/>
      <c r="L45" s="8"/>
    </row>
    <row r="46" spans="6:13" x14ac:dyDescent="0.25">
      <c r="F46" s="39"/>
      <c r="G46" s="8"/>
      <c r="H46" s="8"/>
      <c r="I46" s="8"/>
      <c r="J46" s="8"/>
      <c r="K46" s="8"/>
      <c r="L46" s="8"/>
    </row>
    <row r="47" spans="6:13" x14ac:dyDescent="0.25">
      <c r="F47" s="8"/>
      <c r="G47" s="2"/>
      <c r="H47" s="42"/>
      <c r="I47" s="42"/>
      <c r="J47" s="42"/>
      <c r="K47" s="42"/>
      <c r="L47" s="42"/>
    </row>
    <row r="48" spans="6:13" x14ac:dyDescent="0.25">
      <c r="F48" s="39"/>
      <c r="G48" s="8"/>
      <c r="H48" s="2"/>
      <c r="I48" s="2"/>
      <c r="J48" s="2"/>
      <c r="K48" s="2"/>
    </row>
    <row r="49" spans="6:11" x14ac:dyDescent="0.25">
      <c r="F49" s="39"/>
      <c r="G49" s="8"/>
      <c r="H49" s="2"/>
      <c r="I49" s="2"/>
      <c r="J49" s="2"/>
      <c r="K49" s="2"/>
    </row>
    <row r="50" spans="6:11" x14ac:dyDescent="0.25">
      <c r="F50" s="39"/>
      <c r="G50" s="8"/>
      <c r="H50" s="2"/>
      <c r="I50" s="2"/>
      <c r="J50" s="2"/>
      <c r="K50" s="2"/>
    </row>
    <row r="51" spans="6:11" x14ac:dyDescent="0.25">
      <c r="F51" s="2"/>
    </row>
    <row r="52" spans="6:11" x14ac:dyDescent="0.25">
      <c r="F52" s="43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12:E12"/>
    <mergeCell ref="G12:J12"/>
    <mergeCell ref="C4:C6"/>
    <mergeCell ref="D4:F5"/>
    <mergeCell ref="G4:I5"/>
    <mergeCell ref="J4:J6"/>
    <mergeCell ref="D1:G1"/>
    <mergeCell ref="D2:G2"/>
    <mergeCell ref="U3:V3"/>
    <mergeCell ref="X3:Y3"/>
    <mergeCell ref="AB3:A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1FBD5-CD1E-4DF1-8452-BED8A8ECA089}">
  <dimension ref="B2:R16"/>
  <sheetViews>
    <sheetView workbookViewId="0">
      <selection activeCell="E21" sqref="E21"/>
    </sheetView>
  </sheetViews>
  <sheetFormatPr defaultRowHeight="15" x14ac:dyDescent="0.25"/>
  <cols>
    <col min="2" max="2" width="13.5703125" customWidth="1"/>
    <col min="3" max="3" width="11.28515625" bestFit="1" customWidth="1"/>
    <col min="10" max="10" width="12.140625" customWidth="1"/>
    <col min="12" max="12" width="2.7109375" customWidth="1"/>
    <col min="13" max="13" width="5.42578125" customWidth="1"/>
    <col min="14" max="14" width="3.42578125" customWidth="1"/>
    <col min="15" max="15" width="5.7109375" customWidth="1"/>
    <col min="16" max="16" width="2.5703125" customWidth="1"/>
    <col min="17" max="17" width="5.28515625" customWidth="1"/>
    <col min="18" max="18" width="1.85546875" customWidth="1"/>
  </cols>
  <sheetData>
    <row r="2" spans="2:18" x14ac:dyDescent="0.25">
      <c r="B2" s="81"/>
      <c r="C2" s="81"/>
      <c r="D2" s="81"/>
      <c r="E2" s="81"/>
      <c r="F2" s="81"/>
      <c r="G2" s="81"/>
      <c r="H2" s="82"/>
    </row>
    <row r="3" spans="2:18" x14ac:dyDescent="0.25">
      <c r="B3" s="81"/>
      <c r="C3" s="81"/>
      <c r="D3" s="79"/>
      <c r="E3" s="79"/>
      <c r="F3" s="79"/>
      <c r="G3" s="79"/>
      <c r="H3" s="82"/>
    </row>
    <row r="4" spans="2:18" ht="15.75" x14ac:dyDescent="0.25">
      <c r="B4" s="80"/>
      <c r="C4" s="80"/>
      <c r="D4" s="8"/>
      <c r="E4" s="8"/>
      <c r="F4" s="8"/>
      <c r="G4" s="8"/>
      <c r="H4" s="47"/>
    </row>
    <row r="5" spans="2:18" ht="15.75" x14ac:dyDescent="0.25">
      <c r="B5" s="80"/>
      <c r="C5" s="80"/>
      <c r="D5" s="8"/>
      <c r="E5" s="8"/>
      <c r="F5" s="8"/>
      <c r="G5" s="8"/>
      <c r="H5" s="47"/>
    </row>
    <row r="6" spans="2:18" ht="15.75" x14ac:dyDescent="0.25">
      <c r="B6" s="80"/>
      <c r="C6" s="80"/>
      <c r="D6" s="8"/>
      <c r="E6" s="8"/>
      <c r="F6" s="8"/>
      <c r="G6" s="8"/>
      <c r="H6" s="47"/>
    </row>
    <row r="7" spans="2:18" ht="15.75" x14ac:dyDescent="0.25">
      <c r="B7" s="47"/>
      <c r="C7" s="80"/>
      <c r="D7" s="8"/>
      <c r="E7" s="8"/>
      <c r="F7" s="8"/>
      <c r="G7" s="8"/>
      <c r="H7" s="47"/>
    </row>
    <row r="8" spans="2:18" ht="15.75" x14ac:dyDescent="0.25">
      <c r="B8" s="47"/>
      <c r="C8" s="80"/>
      <c r="D8" s="8"/>
      <c r="E8" s="8"/>
      <c r="F8" s="8"/>
      <c r="G8" s="8"/>
      <c r="H8" s="47"/>
    </row>
    <row r="9" spans="2:18" ht="15.75" x14ac:dyDescent="0.25">
      <c r="B9" s="47"/>
      <c r="C9" s="80"/>
      <c r="D9" s="8"/>
      <c r="E9" s="8"/>
      <c r="F9" s="8"/>
      <c r="G9" s="8"/>
      <c r="H9" s="47"/>
      <c r="J9" s="73" t="s">
        <v>15</v>
      </c>
      <c r="K9" s="73" t="s">
        <v>85</v>
      </c>
      <c r="L9" s="73"/>
      <c r="M9" s="73" t="s">
        <v>86</v>
      </c>
      <c r="N9" s="73"/>
      <c r="O9" s="73" t="s">
        <v>87</v>
      </c>
      <c r="P9" s="73"/>
      <c r="Q9" s="73" t="s">
        <v>88</v>
      </c>
      <c r="R9" s="73"/>
    </row>
    <row r="10" spans="2:18" ht="15.75" x14ac:dyDescent="0.25">
      <c r="B10" s="39"/>
      <c r="C10" s="78"/>
      <c r="D10" s="39"/>
      <c r="E10" s="77"/>
      <c r="F10" s="77"/>
      <c r="G10" s="77"/>
      <c r="H10" s="77"/>
      <c r="J10" s="73" t="s">
        <v>61</v>
      </c>
      <c r="K10" s="74">
        <v>28.05</v>
      </c>
      <c r="L10" s="73" t="s">
        <v>18</v>
      </c>
      <c r="M10" s="73">
        <v>44.652500000000003</v>
      </c>
      <c r="N10" s="73" t="s">
        <v>18</v>
      </c>
      <c r="O10" s="73">
        <v>75.637500000000003</v>
      </c>
      <c r="P10" s="73" t="s">
        <v>18</v>
      </c>
      <c r="Q10" s="73">
        <v>94.477500000000006</v>
      </c>
      <c r="R10" s="73" t="s">
        <v>18</v>
      </c>
    </row>
    <row r="11" spans="2:18" x14ac:dyDescent="0.25">
      <c r="J11" s="73" t="s">
        <v>90</v>
      </c>
      <c r="K11" s="74">
        <v>34.894999999999996</v>
      </c>
      <c r="L11" s="73" t="s">
        <v>41</v>
      </c>
      <c r="M11" s="73">
        <v>47.8825</v>
      </c>
      <c r="N11" s="73" t="s">
        <v>41</v>
      </c>
      <c r="O11" s="73">
        <v>79.03</v>
      </c>
      <c r="P11" s="73" t="s">
        <v>41</v>
      </c>
      <c r="Q11" s="73">
        <v>97.882499999999993</v>
      </c>
      <c r="R11" s="73" t="s">
        <v>41</v>
      </c>
    </row>
    <row r="12" spans="2:18" x14ac:dyDescent="0.25">
      <c r="J12" s="73" t="s">
        <v>91</v>
      </c>
      <c r="K12" s="74">
        <v>33.709999999999994</v>
      </c>
      <c r="L12" s="73" t="s">
        <v>24</v>
      </c>
      <c r="M12" s="73">
        <v>46.697499999999998</v>
      </c>
      <c r="N12" s="73" t="s">
        <v>24</v>
      </c>
      <c r="O12" s="73">
        <v>78.12</v>
      </c>
      <c r="P12" s="73" t="s">
        <v>24</v>
      </c>
      <c r="Q12" s="73">
        <v>98.295000000000002</v>
      </c>
      <c r="R12" s="73" t="s">
        <v>24</v>
      </c>
    </row>
    <row r="13" spans="2:18" x14ac:dyDescent="0.25">
      <c r="J13" s="73" t="s">
        <v>67</v>
      </c>
      <c r="K13" s="74">
        <v>35.164999999999999</v>
      </c>
      <c r="L13" s="73" t="s">
        <v>68</v>
      </c>
      <c r="M13" s="73">
        <v>47.805</v>
      </c>
      <c r="N13" s="73" t="s">
        <v>68</v>
      </c>
      <c r="O13" s="73">
        <v>84.440000000000012</v>
      </c>
      <c r="P13" s="73" t="s">
        <v>68</v>
      </c>
      <c r="Q13" s="73">
        <v>98.347499999999997</v>
      </c>
      <c r="R13" s="73" t="s">
        <v>68</v>
      </c>
    </row>
    <row r="14" spans="2:18" x14ac:dyDescent="0.25">
      <c r="J14" s="73" t="s">
        <v>71</v>
      </c>
      <c r="K14" s="74">
        <v>39.0075</v>
      </c>
      <c r="L14" s="73" t="s">
        <v>72</v>
      </c>
      <c r="M14" s="73">
        <v>52.892499999999998</v>
      </c>
      <c r="N14" s="73" t="s">
        <v>72</v>
      </c>
      <c r="O14" s="73">
        <v>89.344999999999999</v>
      </c>
      <c r="P14" s="73" t="s">
        <v>72</v>
      </c>
      <c r="Q14" s="73">
        <v>99.91749999999999</v>
      </c>
      <c r="R14" s="73" t="s">
        <v>72</v>
      </c>
    </row>
    <row r="15" spans="2:18" x14ac:dyDescent="0.25">
      <c r="J15" s="73" t="s">
        <v>75</v>
      </c>
      <c r="K15" s="74">
        <v>37.592499999999994</v>
      </c>
      <c r="L15" s="73" t="s">
        <v>68</v>
      </c>
      <c r="M15" s="73">
        <v>51.707499999999996</v>
      </c>
      <c r="N15" s="73" t="s">
        <v>68</v>
      </c>
      <c r="O15" s="73">
        <v>86.955000000000013</v>
      </c>
      <c r="P15" s="73" t="s">
        <v>68</v>
      </c>
      <c r="Q15" s="73">
        <v>99.052499999999995</v>
      </c>
      <c r="R15" s="73" t="s">
        <v>68</v>
      </c>
    </row>
    <row r="16" spans="2:18" x14ac:dyDescent="0.25">
      <c r="J16" s="75" t="s">
        <v>49</v>
      </c>
      <c r="K16" s="76">
        <v>0.97317628614074669</v>
      </c>
      <c r="L16" s="75"/>
      <c r="M16" s="75">
        <v>1.018930011113101</v>
      </c>
      <c r="N16" s="75"/>
      <c r="O16" s="75">
        <v>0.59836085350570056</v>
      </c>
      <c r="P16" s="75"/>
      <c r="Q16" s="75">
        <v>1.4721957779397559</v>
      </c>
      <c r="R16" s="7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4CCAE-E91F-4BBC-B289-A6F7BB455768}">
  <dimension ref="B1:AH52"/>
  <sheetViews>
    <sheetView topLeftCell="P7" workbookViewId="0">
      <selection activeCell="AA24" sqref="AA24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83" t="s">
        <v>0</v>
      </c>
      <c r="E1" s="83"/>
      <c r="F1" s="83"/>
      <c r="G1" s="83"/>
    </row>
    <row r="2" spans="3:34" x14ac:dyDescent="0.25">
      <c r="D2" s="84" t="s">
        <v>81</v>
      </c>
      <c r="E2" s="84"/>
      <c r="F2" s="84"/>
      <c r="G2" s="84"/>
      <c r="O2" s="1" t="s">
        <v>1</v>
      </c>
    </row>
    <row r="3" spans="3:34" x14ac:dyDescent="0.25">
      <c r="O3" s="4"/>
      <c r="P3" s="4"/>
      <c r="Q3" s="4"/>
      <c r="R3" s="4"/>
      <c r="S3" s="4"/>
      <c r="T3" s="4"/>
      <c r="U3" s="85" t="s">
        <v>2</v>
      </c>
      <c r="V3" s="85"/>
      <c r="X3" s="85" t="s">
        <v>3</v>
      </c>
      <c r="Y3" s="85"/>
      <c r="AB3" s="83"/>
      <c r="AC3" s="83"/>
    </row>
    <row r="4" spans="3:34" ht="31.5" customHeight="1" x14ac:dyDescent="0.25">
      <c r="C4" s="90" t="s">
        <v>4</v>
      </c>
      <c r="D4" s="86" t="s">
        <v>5</v>
      </c>
      <c r="E4" s="86"/>
      <c r="F4" s="86"/>
      <c r="G4" s="86" t="s">
        <v>6</v>
      </c>
      <c r="H4" s="86"/>
      <c r="I4" s="87"/>
      <c r="J4" s="91" t="s">
        <v>7</v>
      </c>
      <c r="K4" s="8">
        <v>4</v>
      </c>
      <c r="L4" s="8" t="s">
        <v>8</v>
      </c>
      <c r="M4" s="8">
        <f>SUMSQ(D7:I10)</f>
        <v>56918.234700000008</v>
      </c>
      <c r="O4" s="9" t="s">
        <v>9</v>
      </c>
      <c r="P4" s="10" t="s">
        <v>10</v>
      </c>
      <c r="Q4" s="9" t="s">
        <v>11</v>
      </c>
      <c r="R4" s="9" t="s">
        <v>12</v>
      </c>
      <c r="S4" s="9" t="s">
        <v>13</v>
      </c>
      <c r="T4" s="9"/>
      <c r="U4" s="11">
        <v>0.05</v>
      </c>
      <c r="V4" s="11">
        <v>0.01</v>
      </c>
      <c r="X4" s="12">
        <v>0.05</v>
      </c>
      <c r="Y4" s="12">
        <v>0.01</v>
      </c>
      <c r="Z4" s="13" t="s">
        <v>14</v>
      </c>
      <c r="AA4" s="13"/>
      <c r="AB4" s="14" t="s">
        <v>15</v>
      </c>
      <c r="AC4" s="14"/>
      <c r="AD4" s="15"/>
      <c r="AF4" s="14" t="s">
        <v>15</v>
      </c>
      <c r="AG4" s="14"/>
      <c r="AH4" s="15"/>
    </row>
    <row r="5" spans="3:34" x14ac:dyDescent="0.25">
      <c r="C5" s="90"/>
      <c r="D5" s="86"/>
      <c r="E5" s="86"/>
      <c r="F5" s="86"/>
      <c r="G5" s="86"/>
      <c r="H5" s="86"/>
      <c r="I5" s="87"/>
      <c r="J5" s="91"/>
      <c r="K5" s="8">
        <v>5</v>
      </c>
      <c r="L5" s="8" t="s">
        <v>16</v>
      </c>
      <c r="M5" s="8">
        <f>(J11^2)/24</f>
        <v>56701.620937499996</v>
      </c>
      <c r="O5" s="1" t="s">
        <v>17</v>
      </c>
      <c r="T5" s="16"/>
      <c r="AB5" s="4" t="s">
        <v>78</v>
      </c>
      <c r="AC5" s="17">
        <f>D18/12</f>
        <v>46.410833333333329</v>
      </c>
      <c r="AD5" s="4" t="s">
        <v>18</v>
      </c>
      <c r="AF5" s="4" t="s">
        <v>78</v>
      </c>
      <c r="AG5" s="17">
        <f>D18/12</f>
        <v>46.410833333333329</v>
      </c>
      <c r="AH5" s="4" t="s">
        <v>18</v>
      </c>
    </row>
    <row r="6" spans="3:34" x14ac:dyDescent="0.25">
      <c r="C6" s="90"/>
      <c r="D6" s="5" t="s">
        <v>19</v>
      </c>
      <c r="E6" s="5" t="s">
        <v>20</v>
      </c>
      <c r="F6" s="5" t="s">
        <v>21</v>
      </c>
      <c r="G6" s="5" t="s">
        <v>19</v>
      </c>
      <c r="H6" s="5" t="s">
        <v>20</v>
      </c>
      <c r="I6" s="6" t="s">
        <v>21</v>
      </c>
      <c r="J6" s="91"/>
      <c r="K6" s="8">
        <v>6</v>
      </c>
      <c r="L6" s="8" t="s">
        <v>22</v>
      </c>
      <c r="M6" s="18">
        <f>SUMSQ(D7:I10)-M5</f>
        <v>216.61376250001194</v>
      </c>
      <c r="N6" s="2"/>
      <c r="O6" s="19" t="s">
        <v>23</v>
      </c>
      <c r="P6" s="2">
        <v>3</v>
      </c>
      <c r="Q6" s="1">
        <f>M10</f>
        <v>14.296779166674241</v>
      </c>
      <c r="R6" s="1">
        <f>Q6/P6</f>
        <v>4.7655930555580808</v>
      </c>
      <c r="T6" s="16"/>
      <c r="AB6" s="9" t="s">
        <v>79</v>
      </c>
      <c r="AC6" s="20">
        <f>E18/12</f>
        <v>50.801666666666669</v>
      </c>
      <c r="AD6" s="9" t="s">
        <v>24</v>
      </c>
      <c r="AF6" s="9" t="s">
        <v>79</v>
      </c>
      <c r="AG6" s="20">
        <f>E18/12</f>
        <v>50.801666666666669</v>
      </c>
      <c r="AH6" s="9" t="s">
        <v>24</v>
      </c>
    </row>
    <row r="7" spans="3:34" x14ac:dyDescent="0.25">
      <c r="C7" s="5" t="s">
        <v>25</v>
      </c>
      <c r="D7" s="5">
        <v>45.9</v>
      </c>
      <c r="E7" s="5">
        <v>48.73</v>
      </c>
      <c r="F7" s="5">
        <v>48.18</v>
      </c>
      <c r="G7" s="5">
        <v>49.21</v>
      </c>
      <c r="H7" s="5">
        <v>53.98</v>
      </c>
      <c r="I7" s="6">
        <v>51.41</v>
      </c>
      <c r="J7" s="7">
        <f>SUM(D7:I7)</f>
        <v>297.40999999999997</v>
      </c>
      <c r="K7" s="8">
        <v>7</v>
      </c>
      <c r="L7" s="8" t="s">
        <v>26</v>
      </c>
      <c r="M7" s="8">
        <f>(SUMSQ(D14:E17)/3)-M5</f>
        <v>130.8982291666689</v>
      </c>
      <c r="O7" s="19" t="s">
        <v>27</v>
      </c>
      <c r="P7" s="2">
        <v>1</v>
      </c>
      <c r="Q7" s="1">
        <f>M11</f>
        <v>115.67650416666584</v>
      </c>
      <c r="R7" s="1">
        <f>Q7/P7</f>
        <v>115.67650416666584</v>
      </c>
      <c r="S7" s="1">
        <f>R7/R8</f>
        <v>375.18901107004365</v>
      </c>
      <c r="T7" s="21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9" t="s">
        <v>28</v>
      </c>
      <c r="AC7" s="20">
        <f>Y8*Z8</f>
        <v>1.6216410645150621</v>
      </c>
      <c r="AD7" s="9"/>
      <c r="AF7" s="9" t="s">
        <v>29</v>
      </c>
      <c r="AG7" s="20">
        <f>X8*Z8</f>
        <v>0.8834209668356322</v>
      </c>
      <c r="AH7" s="9"/>
    </row>
    <row r="8" spans="3:34" x14ac:dyDescent="0.25">
      <c r="C8" s="5" t="s">
        <v>30</v>
      </c>
      <c r="D8" s="5">
        <v>44.22</v>
      </c>
      <c r="E8" s="5">
        <v>47.02</v>
      </c>
      <c r="F8" s="5">
        <v>46.73</v>
      </c>
      <c r="G8" s="5">
        <v>48.05</v>
      </c>
      <c r="H8" s="5">
        <v>52.73</v>
      </c>
      <c r="I8" s="6">
        <v>51.48</v>
      </c>
      <c r="J8" s="7">
        <f>SUM(D8:I8)</f>
        <v>290.22999999999996</v>
      </c>
      <c r="K8" s="8">
        <v>8</v>
      </c>
      <c r="L8" s="8" t="s">
        <v>31</v>
      </c>
      <c r="M8" s="8">
        <f>(SUMSQ(H14:J17)/2)-M5</f>
        <v>90.242812500000582</v>
      </c>
      <c r="O8" s="22" t="s">
        <v>32</v>
      </c>
      <c r="P8" s="10">
        <v>3</v>
      </c>
      <c r="Q8" s="9">
        <f>M13</f>
        <v>0.9249458333288203</v>
      </c>
      <c r="R8" s="9">
        <f>Q8/P8</f>
        <v>0.30831527777627343</v>
      </c>
      <c r="S8" s="9"/>
      <c r="T8" s="23"/>
      <c r="U8" s="9"/>
      <c r="V8" s="9"/>
      <c r="X8" s="1">
        <v>3.1819999999999999</v>
      </c>
      <c r="Y8" s="1">
        <v>5.8410000000000002</v>
      </c>
      <c r="Z8" s="1">
        <f>SQRT(R8/4)</f>
        <v>0.27763072496405788</v>
      </c>
      <c r="AC8" s="24"/>
      <c r="AG8" s="24"/>
    </row>
    <row r="9" spans="3:34" x14ac:dyDescent="0.25">
      <c r="C9" s="5" t="s">
        <v>33</v>
      </c>
      <c r="D9" s="5">
        <v>43.99</v>
      </c>
      <c r="E9" s="5">
        <v>45.9</v>
      </c>
      <c r="F9" s="5">
        <v>45.38</v>
      </c>
      <c r="G9" s="5">
        <v>46.34</v>
      </c>
      <c r="H9" s="5">
        <v>51.98</v>
      </c>
      <c r="I9" s="6">
        <v>51.34</v>
      </c>
      <c r="J9" s="7">
        <f>SUM(D9:I9)</f>
        <v>284.93</v>
      </c>
      <c r="K9" s="8">
        <v>9</v>
      </c>
      <c r="L9" s="8" t="s">
        <v>34</v>
      </c>
      <c r="M9" s="8">
        <f>(SUMSQ(H21:I23)/4)-M5</f>
        <v>193.72388749999664</v>
      </c>
      <c r="O9" s="1" t="s">
        <v>35</v>
      </c>
      <c r="P9" s="2"/>
      <c r="T9" s="21"/>
      <c r="AB9" s="4" t="s">
        <v>36</v>
      </c>
      <c r="AC9" s="17">
        <f>H18/8</f>
        <v>46.228750000000005</v>
      </c>
      <c r="AD9" s="4" t="s">
        <v>18</v>
      </c>
      <c r="AF9" s="4" t="s">
        <v>36</v>
      </c>
      <c r="AG9" s="17">
        <f>H18/8</f>
        <v>46.228750000000005</v>
      </c>
      <c r="AH9" s="4" t="s">
        <v>18</v>
      </c>
    </row>
    <row r="10" spans="3:34" x14ac:dyDescent="0.25">
      <c r="C10" s="5" t="s">
        <v>37</v>
      </c>
      <c r="D10" s="5">
        <v>44.5</v>
      </c>
      <c r="E10" s="5">
        <v>49.88</v>
      </c>
      <c r="F10" s="5">
        <v>46.5</v>
      </c>
      <c r="G10" s="5">
        <v>47.62</v>
      </c>
      <c r="H10" s="5">
        <v>52.88</v>
      </c>
      <c r="I10" s="6">
        <v>52.6</v>
      </c>
      <c r="J10" s="7">
        <f>SUM(D10:I10)</f>
        <v>293.98</v>
      </c>
      <c r="K10" s="8">
        <v>10</v>
      </c>
      <c r="L10" s="8" t="s">
        <v>38</v>
      </c>
      <c r="M10" s="8">
        <f>(SUMSQ(J7:J10)/6)-M5</f>
        <v>14.296779166674241</v>
      </c>
      <c r="O10" s="19" t="s">
        <v>39</v>
      </c>
      <c r="P10" s="2">
        <v>2</v>
      </c>
      <c r="Q10" s="1">
        <f>M12</f>
        <v>73.446975000006205</v>
      </c>
      <c r="R10" s="1">
        <f>Q10/P10</f>
        <v>36.723487500003102</v>
      </c>
      <c r="S10" s="1">
        <f>R10/R11</f>
        <v>88.16958054247722</v>
      </c>
      <c r="T10" s="21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40</v>
      </c>
      <c r="AC10" s="24">
        <f>I18/8</f>
        <v>50.387499999999996</v>
      </c>
      <c r="AD10" s="1" t="s">
        <v>24</v>
      </c>
      <c r="AF10" s="1" t="s">
        <v>40</v>
      </c>
      <c r="AG10" s="24">
        <f>I18/8</f>
        <v>50.387499999999996</v>
      </c>
      <c r="AH10" s="1" t="s">
        <v>41</v>
      </c>
    </row>
    <row r="11" spans="3:34" x14ac:dyDescent="0.25">
      <c r="C11" s="8"/>
      <c r="D11" s="8"/>
      <c r="E11" s="8"/>
      <c r="F11" s="8"/>
      <c r="G11" s="8"/>
      <c r="H11" s="8"/>
      <c r="I11" s="8"/>
      <c r="J11" s="25">
        <f>SUM(J7:J10)</f>
        <v>1166.55</v>
      </c>
      <c r="K11" s="8">
        <v>11</v>
      </c>
      <c r="L11" s="8" t="s">
        <v>42</v>
      </c>
      <c r="M11" s="8">
        <f>(SUMSQ(D18:E18)/12)-M5</f>
        <v>115.67650416666584</v>
      </c>
      <c r="O11" s="19" t="s">
        <v>43</v>
      </c>
      <c r="P11" s="2">
        <v>6</v>
      </c>
      <c r="Q11" s="1">
        <f>M14</f>
        <v>2.4990583333201357</v>
      </c>
      <c r="R11" s="1">
        <f>Q11/P11</f>
        <v>0.41650972222002264</v>
      </c>
      <c r="T11" s="21"/>
      <c r="X11" s="1">
        <v>4.3029999999999999</v>
      </c>
      <c r="Y11" s="1">
        <v>9.9250000000000007</v>
      </c>
      <c r="Z11" s="1">
        <f>SQRT(R11/4)</f>
        <v>0.32268782213620278</v>
      </c>
      <c r="AB11" s="9" t="s">
        <v>44</v>
      </c>
      <c r="AC11" s="20">
        <f>J18/8</f>
        <v>49.202500000000001</v>
      </c>
      <c r="AD11" s="9" t="s">
        <v>24</v>
      </c>
      <c r="AF11" s="9" t="s">
        <v>44</v>
      </c>
      <c r="AG11" s="20">
        <f>J18/8</f>
        <v>49.202500000000001</v>
      </c>
      <c r="AH11" s="9" t="s">
        <v>24</v>
      </c>
    </row>
    <row r="12" spans="3:34" x14ac:dyDescent="0.25">
      <c r="C12" s="86" t="s">
        <v>45</v>
      </c>
      <c r="D12" s="86"/>
      <c r="E12" s="86"/>
      <c r="F12" s="8"/>
      <c r="G12" s="87" t="s">
        <v>46</v>
      </c>
      <c r="H12" s="88"/>
      <c r="I12" s="88"/>
      <c r="J12" s="89"/>
      <c r="K12" s="8">
        <v>12</v>
      </c>
      <c r="L12" s="8" t="s">
        <v>47</v>
      </c>
      <c r="M12" s="8">
        <f>(SUMSQ(J21:J23)/8)-M5</f>
        <v>73.446975000006205</v>
      </c>
      <c r="O12" s="19" t="s">
        <v>48</v>
      </c>
      <c r="P12" s="2">
        <v>2</v>
      </c>
      <c r="Q12" s="1">
        <f>M15</f>
        <v>4.6004083333245944</v>
      </c>
      <c r="R12" s="1">
        <f>Q12/P12</f>
        <v>2.3002041666622972</v>
      </c>
      <c r="S12" s="1">
        <f>R12/R13</f>
        <v>4.4499194732491194</v>
      </c>
      <c r="T12" s="21" t="str">
        <f>IF(S12&lt;U12,"tn",IF(S12&lt;V12,"*","**"))</f>
        <v>*</v>
      </c>
      <c r="U12" s="1">
        <f>FINV(0.05,P12,P13)</f>
        <v>4.1028210151304032</v>
      </c>
      <c r="V12" s="1">
        <f>FINV(0.01,P12,P13)</f>
        <v>7.5594321575479011</v>
      </c>
      <c r="AB12" s="15" t="s">
        <v>49</v>
      </c>
      <c r="AC12" s="26">
        <f>Y11*Z11</f>
        <v>3.2026766347018127</v>
      </c>
      <c r="AD12" s="15"/>
      <c r="AF12" s="15" t="s">
        <v>50</v>
      </c>
      <c r="AG12" s="26">
        <f>X11*Z11</f>
        <v>1.3885256986520806</v>
      </c>
      <c r="AH12" s="15"/>
    </row>
    <row r="13" spans="3:34" x14ac:dyDescent="0.25">
      <c r="C13" s="27" t="s">
        <v>51</v>
      </c>
      <c r="D13" s="5" t="s">
        <v>5</v>
      </c>
      <c r="E13" s="28" t="s">
        <v>6</v>
      </c>
      <c r="F13" s="8"/>
      <c r="G13" s="5" t="s">
        <v>52</v>
      </c>
      <c r="H13" s="5" t="s">
        <v>5</v>
      </c>
      <c r="I13" s="5" t="s">
        <v>20</v>
      </c>
      <c r="J13" s="5" t="s">
        <v>21</v>
      </c>
      <c r="K13" s="8">
        <v>13</v>
      </c>
      <c r="L13" s="8" t="s">
        <v>53</v>
      </c>
      <c r="M13" s="8">
        <f>M7-M10-M11</f>
        <v>0.9249458333288203</v>
      </c>
      <c r="O13" s="22" t="s">
        <v>54</v>
      </c>
      <c r="P13" s="10">
        <v>10</v>
      </c>
      <c r="Q13" s="29">
        <f>M16</f>
        <v>5.1690916666921112</v>
      </c>
      <c r="R13" s="9">
        <f>Q13/P13</f>
        <v>0.51690916666921116</v>
      </c>
      <c r="S13" s="9"/>
      <c r="T13" s="30"/>
      <c r="U13" s="9"/>
      <c r="V13" s="9"/>
      <c r="X13" s="1">
        <v>2.2280000000000002</v>
      </c>
      <c r="Y13" s="1">
        <v>3.169</v>
      </c>
      <c r="Z13" s="1">
        <f>SQRT(R13/5)</f>
        <v>0.3215304547532663</v>
      </c>
    </row>
    <row r="14" spans="3:34" x14ac:dyDescent="0.25">
      <c r="C14" s="27" t="s">
        <v>25</v>
      </c>
      <c r="D14" s="5">
        <f>SUM(D7:F7)</f>
        <v>142.81</v>
      </c>
      <c r="E14" s="28">
        <f>SUM(G7:I7)</f>
        <v>154.6</v>
      </c>
      <c r="F14" s="8"/>
      <c r="G14" s="5" t="s">
        <v>25</v>
      </c>
      <c r="H14" s="5">
        <f>D7+G7</f>
        <v>95.11</v>
      </c>
      <c r="I14" s="5">
        <f>E7+H7</f>
        <v>102.71</v>
      </c>
      <c r="J14" s="5">
        <f>F7+I7</f>
        <v>99.59</v>
      </c>
      <c r="K14" s="8">
        <v>14</v>
      </c>
      <c r="L14" s="8" t="s">
        <v>55</v>
      </c>
      <c r="M14" s="8">
        <f>M8-M10-M12</f>
        <v>2.4990583333201357</v>
      </c>
      <c r="O14" s="31" t="s">
        <v>7</v>
      </c>
      <c r="P14" s="15"/>
      <c r="Q14" s="15">
        <f>SUM(Q6:Q13)</f>
        <v>216.61376250001194</v>
      </c>
      <c r="R14" s="15"/>
      <c r="S14" s="15"/>
      <c r="T14" s="15"/>
      <c r="U14" s="15"/>
      <c r="V14" s="15"/>
      <c r="AB14" s="3" t="s">
        <v>56</v>
      </c>
      <c r="AF14" s="3" t="s">
        <v>56</v>
      </c>
    </row>
    <row r="15" spans="3:34" x14ac:dyDescent="0.25">
      <c r="C15" s="27" t="s">
        <v>30</v>
      </c>
      <c r="D15" s="5">
        <f>SUM(D8:F8)</f>
        <v>137.97</v>
      </c>
      <c r="E15" s="28">
        <f>SUM(G8:I8)</f>
        <v>152.26</v>
      </c>
      <c r="F15" s="8"/>
      <c r="G15" s="5" t="s">
        <v>30</v>
      </c>
      <c r="H15" s="5">
        <f t="shared" ref="H15:J17" si="0">D8+G8</f>
        <v>92.27</v>
      </c>
      <c r="I15" s="5">
        <f t="shared" si="0"/>
        <v>99.75</v>
      </c>
      <c r="J15" s="5">
        <f t="shared" si="0"/>
        <v>98.21</v>
      </c>
      <c r="K15" s="8">
        <v>15</v>
      </c>
      <c r="L15" s="8" t="s">
        <v>57</v>
      </c>
      <c r="M15" s="8">
        <f>M9-M11-M12</f>
        <v>4.6004083333245944</v>
      </c>
      <c r="O15" s="19" t="s">
        <v>58</v>
      </c>
      <c r="Q15" s="1">
        <f>M5</f>
        <v>56701.620937499996</v>
      </c>
      <c r="AB15" s="15" t="s">
        <v>15</v>
      </c>
      <c r="AC15" s="15"/>
      <c r="AD15" s="15"/>
      <c r="AF15" s="15" t="s">
        <v>15</v>
      </c>
      <c r="AG15" s="15"/>
      <c r="AH15" s="15"/>
    </row>
    <row r="16" spans="3:34" x14ac:dyDescent="0.25">
      <c r="C16" s="27" t="s">
        <v>33</v>
      </c>
      <c r="D16" s="5">
        <f>SUM(D9:F9)</f>
        <v>135.27000000000001</v>
      </c>
      <c r="E16" s="28">
        <f>SUM(G9:I9)</f>
        <v>149.66</v>
      </c>
      <c r="F16" s="8"/>
      <c r="G16" s="5" t="s">
        <v>33</v>
      </c>
      <c r="H16" s="5">
        <f t="shared" si="0"/>
        <v>90.330000000000013</v>
      </c>
      <c r="I16" s="5">
        <f t="shared" si="0"/>
        <v>97.88</v>
      </c>
      <c r="J16" s="5">
        <f t="shared" si="0"/>
        <v>96.72</v>
      </c>
      <c r="K16" s="8">
        <v>16</v>
      </c>
      <c r="L16" s="8" t="s">
        <v>59</v>
      </c>
      <c r="M16" s="18">
        <f>M6-M10-M11-M12-M13-M14-M15</f>
        <v>5.1690916666921112</v>
      </c>
      <c r="O16" s="1" t="s">
        <v>60</v>
      </c>
      <c r="AB16" s="4" t="s">
        <v>61</v>
      </c>
      <c r="AC16" s="17">
        <f>H21/4</f>
        <v>44.652500000000003</v>
      </c>
      <c r="AD16" s="1" t="s">
        <v>18</v>
      </c>
      <c r="AF16" s="4" t="s">
        <v>61</v>
      </c>
      <c r="AG16" s="17">
        <f>H21/4</f>
        <v>44.652500000000003</v>
      </c>
      <c r="AH16" s="4" t="s">
        <v>18</v>
      </c>
    </row>
    <row r="17" spans="2:34" x14ac:dyDescent="0.25">
      <c r="C17" s="27" t="s">
        <v>37</v>
      </c>
      <c r="D17" s="5">
        <f>SUM(D10:F10)</f>
        <v>140.88</v>
      </c>
      <c r="E17" s="28">
        <f>SUM(G10:I10)</f>
        <v>153.1</v>
      </c>
      <c r="F17" s="8"/>
      <c r="G17" s="5" t="s">
        <v>37</v>
      </c>
      <c r="H17" s="5">
        <f t="shared" si="0"/>
        <v>92.12</v>
      </c>
      <c r="I17" s="5">
        <f t="shared" si="0"/>
        <v>102.76</v>
      </c>
      <c r="J17" s="5">
        <f t="shared" si="0"/>
        <v>99.1</v>
      </c>
      <c r="K17" s="8"/>
      <c r="L17" s="8"/>
      <c r="M17" s="8"/>
      <c r="O17" s="1" t="s">
        <v>62</v>
      </c>
      <c r="AB17" s="1" t="s">
        <v>63</v>
      </c>
      <c r="AC17" s="24">
        <f>H22/4</f>
        <v>47.8825</v>
      </c>
      <c r="AD17" s="1" t="s">
        <v>41</v>
      </c>
      <c r="AF17" s="1" t="s">
        <v>63</v>
      </c>
      <c r="AG17" s="24">
        <f>H22/4</f>
        <v>47.8825</v>
      </c>
      <c r="AH17" s="1" t="s">
        <v>41</v>
      </c>
    </row>
    <row r="18" spans="2:34" ht="16.5" thickBot="1" x14ac:dyDescent="0.3">
      <c r="C18" s="32"/>
      <c r="D18" s="33">
        <f>SUM(D14:D17)</f>
        <v>556.92999999999995</v>
      </c>
      <c r="E18" s="34">
        <f>SUM(E14:E17)</f>
        <v>609.62</v>
      </c>
      <c r="F18" s="8"/>
      <c r="G18" s="8"/>
      <c r="H18" s="8">
        <f>SUM(H14:H17)</f>
        <v>369.83000000000004</v>
      </c>
      <c r="I18" s="8">
        <f>SUM(I14:I17)</f>
        <v>403.09999999999997</v>
      </c>
      <c r="J18" s="8">
        <f>SUM(J14:J17)</f>
        <v>393.62</v>
      </c>
      <c r="K18" s="8"/>
      <c r="L18" s="8"/>
      <c r="M18" s="8"/>
      <c r="O18" s="1" t="s">
        <v>64</v>
      </c>
      <c r="AB18" s="1" t="s">
        <v>65</v>
      </c>
      <c r="AC18" s="24">
        <f>H23/4</f>
        <v>46.697499999999998</v>
      </c>
      <c r="AD18" s="1" t="s">
        <v>24</v>
      </c>
      <c r="AF18" s="1" t="s">
        <v>65</v>
      </c>
      <c r="AG18" s="24">
        <f>H23/4</f>
        <v>46.697499999999998</v>
      </c>
      <c r="AH18" s="1" t="s">
        <v>24</v>
      </c>
    </row>
    <row r="19" spans="2:34" ht="16.5" thickBot="1" x14ac:dyDescent="0.3">
      <c r="C19" s="8"/>
      <c r="D19" s="8"/>
      <c r="E19" s="8"/>
      <c r="F19" s="8"/>
      <c r="G19" s="8"/>
      <c r="H19" s="35" t="s">
        <v>56</v>
      </c>
      <c r="I19" s="8"/>
      <c r="J19" s="8"/>
      <c r="K19" s="8"/>
      <c r="L19" s="8"/>
      <c r="M19" s="8"/>
      <c r="O19" s="1" t="s">
        <v>66</v>
      </c>
      <c r="AB19" s="1" t="s">
        <v>67</v>
      </c>
      <c r="AC19" s="24">
        <f>I21/4</f>
        <v>47.805</v>
      </c>
      <c r="AD19" s="1" t="s">
        <v>68</v>
      </c>
      <c r="AF19" s="1" t="s">
        <v>67</v>
      </c>
      <c r="AG19" s="24">
        <f>I21/4</f>
        <v>47.805</v>
      </c>
      <c r="AH19" s="1" t="s">
        <v>68</v>
      </c>
    </row>
    <row r="20" spans="2:34" x14ac:dyDescent="0.25">
      <c r="C20" s="8"/>
      <c r="D20" s="8"/>
      <c r="E20" s="8"/>
      <c r="F20" s="8"/>
      <c r="G20" s="36"/>
      <c r="H20" s="37" t="s">
        <v>5</v>
      </c>
      <c r="I20" s="37" t="s">
        <v>6</v>
      </c>
      <c r="J20" s="38"/>
      <c r="K20" s="8"/>
      <c r="L20" s="8"/>
      <c r="M20" s="8"/>
      <c r="O20" s="1" t="s">
        <v>69</v>
      </c>
      <c r="P20" s="1" t="s">
        <v>70</v>
      </c>
      <c r="AB20" s="1" t="s">
        <v>71</v>
      </c>
      <c r="AC20" s="24">
        <f>I22/4</f>
        <v>52.892499999999998</v>
      </c>
      <c r="AD20" s="1" t="s">
        <v>72</v>
      </c>
      <c r="AF20" s="1" t="s">
        <v>71</v>
      </c>
      <c r="AG20" s="24">
        <f>I22/4</f>
        <v>52.892499999999998</v>
      </c>
      <c r="AH20" s="1" t="s">
        <v>72</v>
      </c>
    </row>
    <row r="21" spans="2:34" x14ac:dyDescent="0.25">
      <c r="C21" s="8"/>
      <c r="D21" s="8"/>
      <c r="E21" s="8"/>
      <c r="F21" s="8"/>
      <c r="G21" s="27" t="s">
        <v>19</v>
      </c>
      <c r="H21" s="5">
        <f>SUM(D7:D10)</f>
        <v>178.61</v>
      </c>
      <c r="I21" s="5">
        <f>SUM(G7:G10)</f>
        <v>191.22</v>
      </c>
      <c r="J21" s="28">
        <f>SUM(H21:I21)</f>
        <v>369.83000000000004</v>
      </c>
      <c r="K21" s="8"/>
      <c r="L21" s="8"/>
      <c r="M21" s="8"/>
      <c r="O21" s="1" t="s">
        <v>73</v>
      </c>
      <c r="P21" s="1" t="s">
        <v>74</v>
      </c>
      <c r="AB21" s="1" t="s">
        <v>75</v>
      </c>
      <c r="AC21" s="24">
        <f>I23/4</f>
        <v>51.707499999999996</v>
      </c>
      <c r="AD21" s="1" t="s">
        <v>68</v>
      </c>
      <c r="AF21" s="9" t="s">
        <v>75</v>
      </c>
      <c r="AG21" s="20">
        <f>I23/4</f>
        <v>51.707499999999996</v>
      </c>
      <c r="AH21" s="9" t="s">
        <v>68</v>
      </c>
    </row>
    <row r="22" spans="2:34" x14ac:dyDescent="0.25">
      <c r="C22" s="8"/>
      <c r="D22" s="8"/>
      <c r="E22" s="8"/>
      <c r="F22" s="8"/>
      <c r="G22" s="27" t="s">
        <v>20</v>
      </c>
      <c r="H22" s="5">
        <f>SUM(E7:E10)</f>
        <v>191.53</v>
      </c>
      <c r="I22" s="5">
        <f>SUM(H7:H10)</f>
        <v>211.57</v>
      </c>
      <c r="J22" s="28">
        <f>SUM(H22:I22)</f>
        <v>403.1</v>
      </c>
      <c r="K22" s="8"/>
      <c r="L22" s="8"/>
      <c r="M22" s="8"/>
      <c r="O22" s="1" t="s">
        <v>76</v>
      </c>
      <c r="P22" s="1" t="s">
        <v>77</v>
      </c>
      <c r="AB22" s="15" t="s">
        <v>49</v>
      </c>
      <c r="AC22" s="26">
        <f>Y13*Z13</f>
        <v>1.018930011113101</v>
      </c>
      <c r="AD22" s="15"/>
      <c r="AF22" s="15" t="s">
        <v>50</v>
      </c>
      <c r="AG22" s="26">
        <f>X13*Z13</f>
        <v>0.71636985319027735</v>
      </c>
      <c r="AH22" s="15"/>
    </row>
    <row r="23" spans="2:34" ht="16.5" thickBot="1" x14ac:dyDescent="0.3">
      <c r="C23" s="8"/>
      <c r="D23" s="8"/>
      <c r="E23" s="8"/>
      <c r="F23" s="8"/>
      <c r="G23" s="32" t="s">
        <v>21</v>
      </c>
      <c r="H23" s="33">
        <f>SUM(F7:F10)</f>
        <v>186.79</v>
      </c>
      <c r="I23" s="33">
        <f>SUM(I7:I10)</f>
        <v>206.82999999999998</v>
      </c>
      <c r="J23" s="34">
        <f>SUM(H23:I23)</f>
        <v>393.62</v>
      </c>
      <c r="K23" s="8"/>
      <c r="L23" s="8"/>
      <c r="M23" s="8"/>
    </row>
    <row r="24" spans="2:34" x14ac:dyDescent="0.25">
      <c r="B24" s="83"/>
      <c r="C24" s="83"/>
      <c r="D24" s="83"/>
      <c r="E24" s="83"/>
      <c r="F24" s="83"/>
    </row>
    <row r="25" spans="2:34" x14ac:dyDescent="0.25">
      <c r="B25" s="83"/>
      <c r="C25" s="83"/>
      <c r="D25" s="83"/>
      <c r="E25" s="83"/>
      <c r="F25" s="83"/>
      <c r="G25" s="83"/>
      <c r="H25" s="83"/>
      <c r="I25" s="83"/>
    </row>
    <row r="26" spans="2:34" x14ac:dyDescent="0.25">
      <c r="B26" s="83"/>
      <c r="C26" s="83"/>
      <c r="D26" s="83"/>
      <c r="E26" s="83"/>
      <c r="F26" s="83"/>
      <c r="I26" s="83"/>
    </row>
    <row r="42" spans="6:13" x14ac:dyDescent="0.25">
      <c r="F42" s="39"/>
      <c r="G42" s="40"/>
      <c r="H42" s="39"/>
      <c r="I42" s="39"/>
      <c r="J42" s="39"/>
      <c r="K42" s="39"/>
      <c r="L42" s="41"/>
      <c r="M42" s="8"/>
    </row>
    <row r="43" spans="6:13" x14ac:dyDescent="0.25">
      <c r="F43" s="39"/>
      <c r="G43" s="40"/>
      <c r="H43" s="8"/>
      <c r="I43" s="8"/>
      <c r="J43" s="8"/>
      <c r="K43" s="8"/>
      <c r="L43" s="8"/>
      <c r="M43" s="8"/>
    </row>
    <row r="44" spans="6:13" x14ac:dyDescent="0.25">
      <c r="F44" s="39"/>
      <c r="G44" s="8"/>
      <c r="H44" s="8"/>
      <c r="I44" s="8"/>
      <c r="J44" s="8"/>
      <c r="K44" s="8"/>
      <c r="L44" s="8"/>
    </row>
    <row r="45" spans="6:13" x14ac:dyDescent="0.25">
      <c r="F45" s="39"/>
      <c r="G45" s="8"/>
      <c r="H45" s="8"/>
      <c r="I45" s="8"/>
      <c r="J45" s="8"/>
      <c r="K45" s="8"/>
      <c r="L45" s="8"/>
    </row>
    <row r="46" spans="6:13" x14ac:dyDescent="0.25">
      <c r="F46" s="39"/>
      <c r="G46" s="8"/>
      <c r="H46" s="8"/>
      <c r="I46" s="8"/>
      <c r="J46" s="8"/>
      <c r="K46" s="8"/>
      <c r="L46" s="8"/>
    </row>
    <row r="47" spans="6:13" x14ac:dyDescent="0.25">
      <c r="F47" s="8"/>
      <c r="G47" s="2"/>
      <c r="H47" s="42"/>
      <c r="I47" s="42"/>
      <c r="J47" s="42"/>
      <c r="K47" s="42"/>
      <c r="L47" s="42"/>
    </row>
    <row r="48" spans="6:13" x14ac:dyDescent="0.25">
      <c r="F48" s="39"/>
      <c r="G48" s="8"/>
      <c r="H48" s="2"/>
      <c r="I48" s="2"/>
      <c r="J48" s="2"/>
      <c r="K48" s="2"/>
    </row>
    <row r="49" spans="6:11" x14ac:dyDescent="0.25">
      <c r="F49" s="39"/>
      <c r="G49" s="8"/>
      <c r="H49" s="2"/>
      <c r="I49" s="2"/>
      <c r="J49" s="2"/>
      <c r="K49" s="2"/>
    </row>
    <row r="50" spans="6:11" x14ac:dyDescent="0.25">
      <c r="F50" s="39"/>
      <c r="G50" s="8"/>
      <c r="H50" s="2"/>
      <c r="I50" s="2"/>
      <c r="J50" s="2"/>
      <c r="K50" s="2"/>
    </row>
    <row r="51" spans="6:11" x14ac:dyDescent="0.25">
      <c r="F51" s="2"/>
    </row>
    <row r="52" spans="6:11" x14ac:dyDescent="0.25">
      <c r="F52" s="43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12:E12"/>
    <mergeCell ref="G12:J12"/>
    <mergeCell ref="C4:C6"/>
    <mergeCell ref="D4:F5"/>
    <mergeCell ref="G4:I5"/>
    <mergeCell ref="J4:J6"/>
    <mergeCell ref="D1:G1"/>
    <mergeCell ref="D2:G2"/>
    <mergeCell ref="U3:V3"/>
    <mergeCell ref="X3:Y3"/>
    <mergeCell ref="AB3:AC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73433-7203-44FB-852A-30C837A7DC9C}">
  <dimension ref="B1:AH52"/>
  <sheetViews>
    <sheetView topLeftCell="P7" workbookViewId="0">
      <selection activeCell="X25" sqref="X25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83" t="s">
        <v>0</v>
      </c>
      <c r="E1" s="83"/>
      <c r="F1" s="83"/>
      <c r="G1" s="83"/>
    </row>
    <row r="2" spans="3:34" x14ac:dyDescent="0.25">
      <c r="D2" s="84" t="s">
        <v>82</v>
      </c>
      <c r="E2" s="84"/>
      <c r="F2" s="84"/>
      <c r="G2" s="84"/>
      <c r="O2" s="1" t="s">
        <v>1</v>
      </c>
    </row>
    <row r="3" spans="3:34" x14ac:dyDescent="0.25">
      <c r="O3" s="4"/>
      <c r="P3" s="4"/>
      <c r="Q3" s="4"/>
      <c r="R3" s="4"/>
      <c r="S3" s="4"/>
      <c r="T3" s="4"/>
      <c r="U3" s="85" t="s">
        <v>2</v>
      </c>
      <c r="V3" s="85"/>
      <c r="X3" s="85" t="s">
        <v>3</v>
      </c>
      <c r="Y3" s="85"/>
      <c r="AB3" s="83"/>
      <c r="AC3" s="83"/>
    </row>
    <row r="4" spans="3:34" ht="31.5" customHeight="1" x14ac:dyDescent="0.25">
      <c r="C4" s="90" t="s">
        <v>4</v>
      </c>
      <c r="D4" s="86" t="s">
        <v>5</v>
      </c>
      <c r="E4" s="86"/>
      <c r="F4" s="86"/>
      <c r="G4" s="86" t="s">
        <v>6</v>
      </c>
      <c r="H4" s="86"/>
      <c r="I4" s="87"/>
      <c r="J4" s="91" t="s">
        <v>7</v>
      </c>
      <c r="K4" s="8">
        <v>4</v>
      </c>
      <c r="L4" s="8" t="s">
        <v>8</v>
      </c>
      <c r="M4" s="8">
        <f>SUMSQ(D7:I10)</f>
        <v>162990.21409999998</v>
      </c>
      <c r="O4" s="9" t="s">
        <v>9</v>
      </c>
      <c r="P4" s="10" t="s">
        <v>10</v>
      </c>
      <c r="Q4" s="9" t="s">
        <v>11</v>
      </c>
      <c r="R4" s="9" t="s">
        <v>12</v>
      </c>
      <c r="S4" s="9" t="s">
        <v>13</v>
      </c>
      <c r="T4" s="9"/>
      <c r="U4" s="11">
        <v>0.05</v>
      </c>
      <c r="V4" s="11">
        <v>0.01</v>
      </c>
      <c r="X4" s="12">
        <v>0.05</v>
      </c>
      <c r="Y4" s="12">
        <v>0.01</v>
      </c>
      <c r="Z4" s="13" t="s">
        <v>14</v>
      </c>
      <c r="AA4" s="13"/>
      <c r="AB4" s="14" t="s">
        <v>15</v>
      </c>
      <c r="AC4" s="14"/>
      <c r="AD4" s="15"/>
      <c r="AF4" s="14" t="s">
        <v>15</v>
      </c>
      <c r="AG4" s="14"/>
      <c r="AH4" s="15"/>
    </row>
    <row r="5" spans="3:34" x14ac:dyDescent="0.25">
      <c r="C5" s="90"/>
      <c r="D5" s="86"/>
      <c r="E5" s="86"/>
      <c r="F5" s="86"/>
      <c r="G5" s="86"/>
      <c r="H5" s="86"/>
      <c r="I5" s="87"/>
      <c r="J5" s="91"/>
      <c r="K5" s="8">
        <v>5</v>
      </c>
      <c r="L5" s="8" t="s">
        <v>16</v>
      </c>
      <c r="M5" s="8">
        <f>(J11^2)/24</f>
        <v>162379.5955041667</v>
      </c>
      <c r="O5" s="1" t="s">
        <v>17</v>
      </c>
      <c r="T5" s="16"/>
      <c r="AB5" s="4" t="s">
        <v>78</v>
      </c>
      <c r="AC5" s="17">
        <f>D18/12</f>
        <v>77.595833333333346</v>
      </c>
      <c r="AD5" s="4" t="s">
        <v>18</v>
      </c>
      <c r="AF5" s="4" t="s">
        <v>78</v>
      </c>
      <c r="AG5" s="17">
        <f>D18/12</f>
        <v>77.595833333333346</v>
      </c>
      <c r="AH5" s="4" t="s">
        <v>18</v>
      </c>
    </row>
    <row r="6" spans="3:34" x14ac:dyDescent="0.25">
      <c r="C6" s="90"/>
      <c r="D6" s="5" t="s">
        <v>19</v>
      </c>
      <c r="E6" s="5" t="s">
        <v>20</v>
      </c>
      <c r="F6" s="5" t="s">
        <v>21</v>
      </c>
      <c r="G6" s="5" t="s">
        <v>19</v>
      </c>
      <c r="H6" s="5" t="s">
        <v>20</v>
      </c>
      <c r="I6" s="6" t="s">
        <v>21</v>
      </c>
      <c r="J6" s="91"/>
      <c r="K6" s="8">
        <v>6</v>
      </c>
      <c r="L6" s="8" t="s">
        <v>22</v>
      </c>
      <c r="M6" s="18">
        <f>SUMSQ(D7:I10)-M5</f>
        <v>610.61859583327896</v>
      </c>
      <c r="N6" s="2"/>
      <c r="O6" s="19" t="s">
        <v>23</v>
      </c>
      <c r="P6" s="2">
        <v>3</v>
      </c>
      <c r="Q6" s="1">
        <f>M10</f>
        <v>7.7649124999588821</v>
      </c>
      <c r="R6" s="1">
        <f>Q6/P6</f>
        <v>2.5883041666529607</v>
      </c>
      <c r="T6" s="16"/>
      <c r="AB6" s="9" t="s">
        <v>79</v>
      </c>
      <c r="AC6" s="20">
        <f>E18/12</f>
        <v>86.913333333333341</v>
      </c>
      <c r="AD6" s="9" t="s">
        <v>24</v>
      </c>
      <c r="AF6" s="9" t="s">
        <v>79</v>
      </c>
      <c r="AG6" s="20">
        <f>E18/12</f>
        <v>86.913333333333341</v>
      </c>
      <c r="AH6" s="9" t="s">
        <v>24</v>
      </c>
    </row>
    <row r="7" spans="3:34" x14ac:dyDescent="0.25">
      <c r="C7" s="5" t="s">
        <v>25</v>
      </c>
      <c r="D7" s="5">
        <v>74.95</v>
      </c>
      <c r="E7" s="5">
        <v>78.98</v>
      </c>
      <c r="F7" s="5">
        <v>77.05</v>
      </c>
      <c r="G7" s="5">
        <v>83.18</v>
      </c>
      <c r="H7" s="5">
        <v>89.6</v>
      </c>
      <c r="I7" s="6">
        <v>85.3</v>
      </c>
      <c r="J7" s="7">
        <f>SUM(D7:I7)</f>
        <v>489.06</v>
      </c>
      <c r="K7" s="8">
        <v>7</v>
      </c>
      <c r="L7" s="8" t="s">
        <v>26</v>
      </c>
      <c r="M7" s="8">
        <f>(SUMSQ(D14:E17)/3)-M5</f>
        <v>529.20139583331184</v>
      </c>
      <c r="O7" s="19" t="s">
        <v>27</v>
      </c>
      <c r="P7" s="2">
        <v>1</v>
      </c>
      <c r="Q7" s="1">
        <f>M11</f>
        <v>520.89483750000363</v>
      </c>
      <c r="R7" s="1">
        <f>Q7/P7</f>
        <v>520.89483750000363</v>
      </c>
      <c r="S7" s="1">
        <f>R7/R8</f>
        <v>2885.0669871066766</v>
      </c>
      <c r="T7" s="21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9" t="s">
        <v>28</v>
      </c>
      <c r="AC7" s="20">
        <f>Y8*Z8</f>
        <v>1.2409500090272896</v>
      </c>
      <c r="AD7" s="9"/>
      <c r="AF7" s="9" t="s">
        <v>29</v>
      </c>
      <c r="AG7" s="20">
        <f>X8*Z8</f>
        <v>0.6760320028633513</v>
      </c>
      <c r="AH7" s="9"/>
    </row>
    <row r="8" spans="3:34" x14ac:dyDescent="0.25">
      <c r="C8" s="5" t="s">
        <v>30</v>
      </c>
      <c r="D8" s="5">
        <v>75.510000000000005</v>
      </c>
      <c r="E8" s="5">
        <v>79.81</v>
      </c>
      <c r="F8" s="5">
        <v>78.3</v>
      </c>
      <c r="G8" s="5">
        <v>85.3</v>
      </c>
      <c r="H8" s="5">
        <v>89.8</v>
      </c>
      <c r="I8" s="6">
        <v>87.14</v>
      </c>
      <c r="J8" s="7">
        <f>SUM(D8:I8)</f>
        <v>495.86</v>
      </c>
      <c r="K8" s="8">
        <v>8</v>
      </c>
      <c r="L8" s="8" t="s">
        <v>31</v>
      </c>
      <c r="M8" s="8">
        <f>(SUMSQ(H14:J17)/2)-M5</f>
        <v>84.413445833284641</v>
      </c>
      <c r="O8" s="22" t="s">
        <v>32</v>
      </c>
      <c r="P8" s="10">
        <v>3</v>
      </c>
      <c r="Q8" s="9">
        <f>M13</f>
        <v>0.54164583334932104</v>
      </c>
      <c r="R8" s="9">
        <f>Q8/P8</f>
        <v>0.18054861111644036</v>
      </c>
      <c r="S8" s="9"/>
      <c r="T8" s="23"/>
      <c r="U8" s="9"/>
      <c r="V8" s="9"/>
      <c r="X8" s="1">
        <v>3.1819999999999999</v>
      </c>
      <c r="Y8" s="1">
        <v>5.8410000000000002</v>
      </c>
      <c r="Z8" s="1">
        <f>SQRT(R8/4)</f>
        <v>0.21245506061073266</v>
      </c>
      <c r="AC8" s="24"/>
      <c r="AG8" s="24"/>
    </row>
    <row r="9" spans="3:34" x14ac:dyDescent="0.25">
      <c r="C9" s="5" t="s">
        <v>33</v>
      </c>
      <c r="D9" s="5">
        <v>75.680000000000007</v>
      </c>
      <c r="E9" s="5">
        <v>78.150000000000006</v>
      </c>
      <c r="F9" s="5">
        <v>77.400000000000006</v>
      </c>
      <c r="G9" s="5">
        <v>85.23</v>
      </c>
      <c r="H9" s="5">
        <v>88.08</v>
      </c>
      <c r="I9" s="6">
        <v>86.98</v>
      </c>
      <c r="J9" s="7">
        <f>SUM(D9:I9)</f>
        <v>491.52000000000004</v>
      </c>
      <c r="K9" s="8">
        <v>9</v>
      </c>
      <c r="L9" s="8" t="s">
        <v>34</v>
      </c>
      <c r="M9" s="8">
        <f>(SUMSQ(H21:I23)/4)-M5</f>
        <v>593.68992083330522</v>
      </c>
      <c r="O9" s="1" t="s">
        <v>35</v>
      </c>
      <c r="P9" s="2"/>
      <c r="T9" s="21"/>
      <c r="AB9" s="4" t="s">
        <v>36</v>
      </c>
      <c r="AC9" s="17">
        <f>H18/8</f>
        <v>80.038749999999993</v>
      </c>
      <c r="AD9" s="4" t="s">
        <v>18</v>
      </c>
      <c r="AF9" s="4" t="s">
        <v>36</v>
      </c>
      <c r="AG9" s="17">
        <f>H18/8</f>
        <v>80.038749999999993</v>
      </c>
      <c r="AH9" s="4" t="s">
        <v>18</v>
      </c>
    </row>
    <row r="10" spans="3:34" x14ac:dyDescent="0.25">
      <c r="C10" s="5" t="s">
        <v>37</v>
      </c>
      <c r="D10" s="5">
        <v>76.41</v>
      </c>
      <c r="E10" s="5">
        <v>79.180000000000007</v>
      </c>
      <c r="F10" s="5">
        <v>79.73</v>
      </c>
      <c r="G10" s="5">
        <v>84.05</v>
      </c>
      <c r="H10" s="5">
        <v>89.9</v>
      </c>
      <c r="I10" s="6">
        <v>88.4</v>
      </c>
      <c r="J10" s="7">
        <f>SUM(D10:I10)</f>
        <v>497.66999999999996</v>
      </c>
      <c r="K10" s="8">
        <v>10</v>
      </c>
      <c r="L10" s="8" t="s">
        <v>38</v>
      </c>
      <c r="M10" s="8">
        <f>(SUMSQ(J7:J10)/6)-M5</f>
        <v>7.7649124999588821</v>
      </c>
      <c r="O10" s="19" t="s">
        <v>39</v>
      </c>
      <c r="P10" s="2">
        <v>2</v>
      </c>
      <c r="Q10" s="1">
        <f>M12</f>
        <v>69.809008333308157</v>
      </c>
      <c r="R10" s="1">
        <f>Q10/P10</f>
        <v>34.904504166654078</v>
      </c>
      <c r="S10" s="1">
        <f>R10/R11</f>
        <v>30.620112507723199</v>
      </c>
      <c r="T10" s="21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40</v>
      </c>
      <c r="AC10" s="24">
        <f>I18/8</f>
        <v>84.1875</v>
      </c>
      <c r="AD10" s="1" t="s">
        <v>24</v>
      </c>
      <c r="AF10" s="1" t="s">
        <v>40</v>
      </c>
      <c r="AG10" s="24">
        <f>I18/8</f>
        <v>84.1875</v>
      </c>
      <c r="AH10" s="1" t="s">
        <v>41</v>
      </c>
    </row>
    <row r="11" spans="3:34" x14ac:dyDescent="0.25">
      <c r="C11" s="8"/>
      <c r="D11" s="8">
        <f t="shared" ref="D11:I11" si="0">AVERAGE(D7:D10)</f>
        <v>75.637500000000003</v>
      </c>
      <c r="E11" s="8">
        <f t="shared" si="0"/>
        <v>79.03</v>
      </c>
      <c r="F11" s="8">
        <f t="shared" si="0"/>
        <v>78.12</v>
      </c>
      <c r="G11" s="8">
        <f t="shared" si="0"/>
        <v>84.440000000000012</v>
      </c>
      <c r="H11" s="8">
        <f t="shared" si="0"/>
        <v>89.344999999999999</v>
      </c>
      <c r="I11" s="8">
        <f t="shared" si="0"/>
        <v>86.955000000000013</v>
      </c>
      <c r="J11" s="25">
        <f>SUM(J7:J10)</f>
        <v>1974.1100000000001</v>
      </c>
      <c r="K11" s="8">
        <v>11</v>
      </c>
      <c r="L11" s="8" t="s">
        <v>42</v>
      </c>
      <c r="M11" s="8">
        <f>(SUMSQ(D18:E18)/12)-M5</f>
        <v>520.89483750000363</v>
      </c>
      <c r="O11" s="19" t="s">
        <v>43</v>
      </c>
      <c r="P11" s="2">
        <v>6</v>
      </c>
      <c r="Q11" s="1">
        <f>M14</f>
        <v>6.839525000017602</v>
      </c>
      <c r="R11" s="1">
        <f>Q11/P11</f>
        <v>1.1399208333362669</v>
      </c>
      <c r="T11" s="21"/>
      <c r="X11" s="1">
        <v>4.3029999999999999</v>
      </c>
      <c r="Y11" s="1">
        <v>9.9250000000000007</v>
      </c>
      <c r="Z11" s="1">
        <f>SQRT(R11/4)</f>
        <v>0.53383537568623785</v>
      </c>
      <c r="AB11" s="9" t="s">
        <v>44</v>
      </c>
      <c r="AC11" s="20">
        <f>J18/8</f>
        <v>82.537499999999994</v>
      </c>
      <c r="AD11" s="9" t="s">
        <v>24</v>
      </c>
      <c r="AF11" s="9" t="s">
        <v>44</v>
      </c>
      <c r="AG11" s="20">
        <f>J18/8</f>
        <v>82.537499999999994</v>
      </c>
      <c r="AH11" s="9" t="s">
        <v>24</v>
      </c>
    </row>
    <row r="12" spans="3:34" x14ac:dyDescent="0.25">
      <c r="C12" s="86" t="s">
        <v>45</v>
      </c>
      <c r="D12" s="86"/>
      <c r="E12" s="86"/>
      <c r="F12" s="8"/>
      <c r="G12" s="87" t="s">
        <v>46</v>
      </c>
      <c r="H12" s="88"/>
      <c r="I12" s="88"/>
      <c r="J12" s="89"/>
      <c r="K12" s="8">
        <v>12</v>
      </c>
      <c r="L12" s="8" t="s">
        <v>47</v>
      </c>
      <c r="M12" s="8">
        <f>(SUMSQ(J21:J23)/8)-M5</f>
        <v>69.809008333308157</v>
      </c>
      <c r="O12" s="19" t="s">
        <v>48</v>
      </c>
      <c r="P12" s="2">
        <v>2</v>
      </c>
      <c r="Q12" s="1">
        <f>M15</f>
        <v>2.9860749999934342</v>
      </c>
      <c r="R12" s="1">
        <f>Q12/P12</f>
        <v>1.4930374999967171</v>
      </c>
      <c r="S12" s="1">
        <f>R12/R13</f>
        <v>8.3756562309319804</v>
      </c>
      <c r="T12" s="21" t="str">
        <f>IF(S12&lt;U12,"tn",IF(S12&lt;V12,"*","**"))</f>
        <v>**</v>
      </c>
      <c r="U12" s="1">
        <f>FINV(0.05,P12,P13)</f>
        <v>4.1028210151304032</v>
      </c>
      <c r="V12" s="1">
        <f>FINV(0.01,P12,P13)</f>
        <v>7.5594321575479011</v>
      </c>
      <c r="AB12" s="15" t="s">
        <v>49</v>
      </c>
      <c r="AC12" s="26">
        <f>Y11*Z11</f>
        <v>5.2983161036859112</v>
      </c>
      <c r="AD12" s="15"/>
      <c r="AF12" s="15" t="s">
        <v>50</v>
      </c>
      <c r="AG12" s="26">
        <f>X11*Z11</f>
        <v>2.2970936215778814</v>
      </c>
      <c r="AH12" s="15"/>
    </row>
    <row r="13" spans="3:34" x14ac:dyDescent="0.25">
      <c r="C13" s="27" t="s">
        <v>51</v>
      </c>
      <c r="D13" s="5" t="s">
        <v>5</v>
      </c>
      <c r="E13" s="28" t="s">
        <v>6</v>
      </c>
      <c r="F13" s="8"/>
      <c r="G13" s="5" t="s">
        <v>52</v>
      </c>
      <c r="H13" s="5" t="s">
        <v>5</v>
      </c>
      <c r="I13" s="5" t="s">
        <v>20</v>
      </c>
      <c r="J13" s="5" t="s">
        <v>21</v>
      </c>
      <c r="K13" s="8">
        <v>13</v>
      </c>
      <c r="L13" s="8" t="s">
        <v>53</v>
      </c>
      <c r="M13" s="8">
        <f>M7-M10-M11</f>
        <v>0.54164583334932104</v>
      </c>
      <c r="O13" s="22" t="s">
        <v>54</v>
      </c>
      <c r="P13" s="10">
        <v>10</v>
      </c>
      <c r="Q13" s="29">
        <f>M16</f>
        <v>1.7825916666479316</v>
      </c>
      <c r="R13" s="9">
        <f>Q13/P13</f>
        <v>0.17825916666479316</v>
      </c>
      <c r="S13" s="9"/>
      <c r="T13" s="30"/>
      <c r="U13" s="9"/>
      <c r="V13" s="9"/>
      <c r="X13" s="1">
        <v>2.2280000000000002</v>
      </c>
      <c r="Y13" s="1">
        <v>3.169</v>
      </c>
      <c r="Z13" s="1">
        <f>SQRT(R13/5)</f>
        <v>0.18881693073704656</v>
      </c>
    </row>
    <row r="14" spans="3:34" x14ac:dyDescent="0.25">
      <c r="C14" s="27" t="s">
        <v>25</v>
      </c>
      <c r="D14" s="5">
        <f>SUM(D7:F7)</f>
        <v>230.98000000000002</v>
      </c>
      <c r="E14" s="28">
        <f>SUM(G7:I7)</f>
        <v>258.08</v>
      </c>
      <c r="F14" s="8"/>
      <c r="G14" s="5" t="s">
        <v>25</v>
      </c>
      <c r="H14" s="5">
        <f>D7+G7</f>
        <v>158.13</v>
      </c>
      <c r="I14" s="5">
        <f>E7+H7</f>
        <v>168.57999999999998</v>
      </c>
      <c r="J14" s="5">
        <f>F7+I7</f>
        <v>162.35</v>
      </c>
      <c r="K14" s="8">
        <v>14</v>
      </c>
      <c r="L14" s="8" t="s">
        <v>55</v>
      </c>
      <c r="M14" s="8">
        <f>M8-M10-M12</f>
        <v>6.839525000017602</v>
      </c>
      <c r="O14" s="31" t="s">
        <v>7</v>
      </c>
      <c r="P14" s="15"/>
      <c r="Q14" s="15">
        <f>SUM(Q6:Q13)</f>
        <v>610.61859583327896</v>
      </c>
      <c r="R14" s="15"/>
      <c r="S14" s="15"/>
      <c r="T14" s="15"/>
      <c r="U14" s="15"/>
      <c r="V14" s="15"/>
      <c r="AB14" s="3" t="s">
        <v>56</v>
      </c>
      <c r="AF14" s="3" t="s">
        <v>56</v>
      </c>
    </row>
    <row r="15" spans="3:34" x14ac:dyDescent="0.25">
      <c r="C15" s="27" t="s">
        <v>30</v>
      </c>
      <c r="D15" s="5">
        <f>SUM(D8:F8)</f>
        <v>233.62</v>
      </c>
      <c r="E15" s="28">
        <f>SUM(G8:I8)</f>
        <v>262.24</v>
      </c>
      <c r="F15" s="8"/>
      <c r="G15" s="5" t="s">
        <v>30</v>
      </c>
      <c r="H15" s="5">
        <f t="shared" ref="H15:J17" si="1">D8+G8</f>
        <v>160.81</v>
      </c>
      <c r="I15" s="5">
        <f t="shared" si="1"/>
        <v>169.61</v>
      </c>
      <c r="J15" s="5">
        <f t="shared" si="1"/>
        <v>165.44</v>
      </c>
      <c r="K15" s="8">
        <v>15</v>
      </c>
      <c r="L15" s="8" t="s">
        <v>57</v>
      </c>
      <c r="M15" s="8">
        <f>M9-M11-M12</f>
        <v>2.9860749999934342</v>
      </c>
      <c r="O15" s="19" t="s">
        <v>58</v>
      </c>
      <c r="Q15" s="1">
        <f>M5</f>
        <v>162379.5955041667</v>
      </c>
      <c r="AB15" s="15" t="s">
        <v>15</v>
      </c>
      <c r="AC15" s="15"/>
      <c r="AD15" s="15"/>
      <c r="AF15" s="15" t="s">
        <v>15</v>
      </c>
      <c r="AG15" s="15"/>
      <c r="AH15" s="15"/>
    </row>
    <row r="16" spans="3:34" x14ac:dyDescent="0.25">
      <c r="C16" s="27" t="s">
        <v>33</v>
      </c>
      <c r="D16" s="5">
        <f>SUM(D9:F9)</f>
        <v>231.23000000000002</v>
      </c>
      <c r="E16" s="28">
        <f>SUM(G9:I9)</f>
        <v>260.29000000000002</v>
      </c>
      <c r="F16" s="8"/>
      <c r="G16" s="5" t="s">
        <v>33</v>
      </c>
      <c r="H16" s="5">
        <f t="shared" si="1"/>
        <v>160.91000000000003</v>
      </c>
      <c r="I16" s="5">
        <f t="shared" si="1"/>
        <v>166.23000000000002</v>
      </c>
      <c r="J16" s="5">
        <f t="shared" si="1"/>
        <v>164.38</v>
      </c>
      <c r="K16" s="8">
        <v>16</v>
      </c>
      <c r="L16" s="8" t="s">
        <v>59</v>
      </c>
      <c r="M16" s="18">
        <f>M6-M10-M11-M12-M13-M14-M15</f>
        <v>1.7825916666479316</v>
      </c>
      <c r="O16" s="1" t="s">
        <v>60</v>
      </c>
      <c r="AB16" s="4" t="s">
        <v>61</v>
      </c>
      <c r="AC16" s="17">
        <f>H21/4</f>
        <v>75.637500000000003</v>
      </c>
      <c r="AD16" s="1" t="s">
        <v>18</v>
      </c>
      <c r="AF16" s="4" t="s">
        <v>61</v>
      </c>
      <c r="AG16" s="17">
        <f>H21/4</f>
        <v>75.637500000000003</v>
      </c>
      <c r="AH16" s="4" t="s">
        <v>18</v>
      </c>
    </row>
    <row r="17" spans="2:34" x14ac:dyDescent="0.25">
      <c r="C17" s="27" t="s">
        <v>37</v>
      </c>
      <c r="D17" s="5">
        <f>SUM(D10:F10)</f>
        <v>235.32</v>
      </c>
      <c r="E17" s="28">
        <f>SUM(G10:I10)</f>
        <v>262.35000000000002</v>
      </c>
      <c r="F17" s="8"/>
      <c r="G17" s="5" t="s">
        <v>37</v>
      </c>
      <c r="H17" s="5">
        <f t="shared" si="1"/>
        <v>160.45999999999998</v>
      </c>
      <c r="I17" s="5">
        <f t="shared" si="1"/>
        <v>169.08</v>
      </c>
      <c r="J17" s="5">
        <f t="shared" si="1"/>
        <v>168.13</v>
      </c>
      <c r="K17" s="8"/>
      <c r="L17" s="8"/>
      <c r="M17" s="8"/>
      <c r="O17" s="1" t="s">
        <v>62</v>
      </c>
      <c r="AB17" s="1" t="s">
        <v>63</v>
      </c>
      <c r="AC17" s="24">
        <f>H22/4</f>
        <v>79.03</v>
      </c>
      <c r="AD17" s="1" t="s">
        <v>41</v>
      </c>
      <c r="AF17" s="1" t="s">
        <v>63</v>
      </c>
      <c r="AG17" s="24">
        <f>H22/4</f>
        <v>79.03</v>
      </c>
      <c r="AH17" s="1" t="s">
        <v>41</v>
      </c>
    </row>
    <row r="18" spans="2:34" ht="16.5" thickBot="1" x14ac:dyDescent="0.3">
      <c r="C18" s="32"/>
      <c r="D18" s="33">
        <f>SUM(D14:D17)</f>
        <v>931.15000000000009</v>
      </c>
      <c r="E18" s="34">
        <f>SUM(E14:E17)</f>
        <v>1042.96</v>
      </c>
      <c r="F18" s="8"/>
      <c r="G18" s="8"/>
      <c r="H18" s="8">
        <f>SUM(H14:H17)</f>
        <v>640.30999999999995</v>
      </c>
      <c r="I18" s="8">
        <f>SUM(I14:I17)</f>
        <v>673.5</v>
      </c>
      <c r="J18" s="8">
        <f>SUM(J14:J17)</f>
        <v>660.3</v>
      </c>
      <c r="K18" s="8"/>
      <c r="L18" s="8"/>
      <c r="M18" s="8"/>
      <c r="O18" s="1" t="s">
        <v>64</v>
      </c>
      <c r="AB18" s="1" t="s">
        <v>65</v>
      </c>
      <c r="AC18" s="24">
        <f>H23/4</f>
        <v>78.12</v>
      </c>
      <c r="AD18" s="1" t="s">
        <v>24</v>
      </c>
      <c r="AF18" s="1" t="s">
        <v>65</v>
      </c>
      <c r="AG18" s="24">
        <f>H23/4</f>
        <v>78.12</v>
      </c>
      <c r="AH18" s="1" t="s">
        <v>24</v>
      </c>
    </row>
    <row r="19" spans="2:34" ht="16.5" thickBot="1" x14ac:dyDescent="0.3">
      <c r="C19" s="8"/>
      <c r="D19" s="8"/>
      <c r="E19" s="8"/>
      <c r="F19" s="8"/>
      <c r="G19" s="8"/>
      <c r="H19" s="35" t="s">
        <v>56</v>
      </c>
      <c r="I19" s="8"/>
      <c r="J19" s="8"/>
      <c r="K19" s="8"/>
      <c r="L19" s="8"/>
      <c r="M19" s="8"/>
      <c r="O19" s="1" t="s">
        <v>66</v>
      </c>
      <c r="AB19" s="1" t="s">
        <v>67</v>
      </c>
      <c r="AC19" s="24">
        <f>I21/4</f>
        <v>84.440000000000012</v>
      </c>
      <c r="AD19" s="1" t="s">
        <v>68</v>
      </c>
      <c r="AF19" s="1" t="s">
        <v>67</v>
      </c>
      <c r="AG19" s="24">
        <f>I21/4</f>
        <v>84.440000000000012</v>
      </c>
      <c r="AH19" s="1" t="s">
        <v>68</v>
      </c>
    </row>
    <row r="20" spans="2:34" x14ac:dyDescent="0.25">
      <c r="C20" s="8"/>
      <c r="D20" s="8"/>
      <c r="E20" s="8"/>
      <c r="F20" s="8"/>
      <c r="G20" s="36"/>
      <c r="H20" s="37" t="s">
        <v>5</v>
      </c>
      <c r="I20" s="37" t="s">
        <v>6</v>
      </c>
      <c r="J20" s="38"/>
      <c r="K20" s="8"/>
      <c r="L20" s="8"/>
      <c r="M20" s="8"/>
      <c r="O20" s="1" t="s">
        <v>69</v>
      </c>
      <c r="P20" s="1" t="s">
        <v>70</v>
      </c>
      <c r="AB20" s="1" t="s">
        <v>71</v>
      </c>
      <c r="AC20" s="24">
        <f>I22/4</f>
        <v>89.344999999999999</v>
      </c>
      <c r="AD20" s="1" t="s">
        <v>72</v>
      </c>
      <c r="AF20" s="1" t="s">
        <v>71</v>
      </c>
      <c r="AG20" s="24">
        <f>I22/4</f>
        <v>89.344999999999999</v>
      </c>
      <c r="AH20" s="1" t="s">
        <v>72</v>
      </c>
    </row>
    <row r="21" spans="2:34" x14ac:dyDescent="0.25">
      <c r="C21" s="8"/>
      <c r="D21" s="8"/>
      <c r="E21" s="8"/>
      <c r="F21" s="8"/>
      <c r="G21" s="27" t="s">
        <v>19</v>
      </c>
      <c r="H21" s="5">
        <f>SUM(D7:D10)</f>
        <v>302.55</v>
      </c>
      <c r="I21" s="5">
        <f>SUM(G7:G10)</f>
        <v>337.76000000000005</v>
      </c>
      <c r="J21" s="28">
        <f>SUM(H21:I21)</f>
        <v>640.31000000000006</v>
      </c>
      <c r="K21" s="8"/>
      <c r="L21" s="8"/>
      <c r="M21" s="8"/>
      <c r="O21" s="1" t="s">
        <v>73</v>
      </c>
      <c r="P21" s="1" t="s">
        <v>74</v>
      </c>
      <c r="AB21" s="1" t="s">
        <v>75</v>
      </c>
      <c r="AC21" s="24">
        <f>I23/4</f>
        <v>86.955000000000013</v>
      </c>
      <c r="AD21" s="1" t="s">
        <v>68</v>
      </c>
      <c r="AF21" s="9" t="s">
        <v>75</v>
      </c>
      <c r="AG21" s="20">
        <f>I23/4</f>
        <v>86.955000000000013</v>
      </c>
      <c r="AH21" s="9" t="s">
        <v>68</v>
      </c>
    </row>
    <row r="22" spans="2:34" x14ac:dyDescent="0.25">
      <c r="C22" s="8"/>
      <c r="D22" s="8"/>
      <c r="E22" s="8"/>
      <c r="F22" s="8"/>
      <c r="G22" s="27" t="s">
        <v>20</v>
      </c>
      <c r="H22" s="5">
        <f>SUM(E7:E10)</f>
        <v>316.12</v>
      </c>
      <c r="I22" s="5">
        <f>SUM(H7:H10)</f>
        <v>357.38</v>
      </c>
      <c r="J22" s="28">
        <f>SUM(H22:I22)</f>
        <v>673.5</v>
      </c>
      <c r="K22" s="8"/>
      <c r="L22" s="8"/>
      <c r="M22" s="8"/>
      <c r="O22" s="1" t="s">
        <v>76</v>
      </c>
      <c r="P22" s="1" t="s">
        <v>77</v>
      </c>
      <c r="AB22" s="15" t="s">
        <v>49</v>
      </c>
      <c r="AC22" s="26">
        <f>Y13*Z13</f>
        <v>0.59836085350570056</v>
      </c>
      <c r="AD22" s="15"/>
      <c r="AF22" s="15" t="s">
        <v>50</v>
      </c>
      <c r="AG22" s="26">
        <f>X13*Z13</f>
        <v>0.42068412168213976</v>
      </c>
      <c r="AH22" s="15"/>
    </row>
    <row r="23" spans="2:34" ht="16.5" thickBot="1" x14ac:dyDescent="0.3">
      <c r="C23" s="8"/>
      <c r="D23" s="8"/>
      <c r="E23" s="8"/>
      <c r="F23" s="8"/>
      <c r="G23" s="32" t="s">
        <v>21</v>
      </c>
      <c r="H23" s="33">
        <f>SUM(F7:F10)</f>
        <v>312.48</v>
      </c>
      <c r="I23" s="33">
        <f>SUM(I7:I10)</f>
        <v>347.82000000000005</v>
      </c>
      <c r="J23" s="34">
        <f>SUM(H23:I23)</f>
        <v>660.30000000000007</v>
      </c>
      <c r="K23" s="8"/>
      <c r="L23" s="8"/>
      <c r="M23" s="8"/>
    </row>
    <row r="24" spans="2:34" x14ac:dyDescent="0.25">
      <c r="B24" s="83"/>
      <c r="C24" s="83"/>
      <c r="D24" s="83"/>
      <c r="E24" s="83"/>
      <c r="F24" s="83"/>
    </row>
    <row r="25" spans="2:34" x14ac:dyDescent="0.25">
      <c r="B25" s="83"/>
      <c r="C25" s="83"/>
      <c r="D25" s="83"/>
      <c r="E25" s="83"/>
      <c r="F25" s="83"/>
      <c r="G25" s="83"/>
      <c r="H25" s="83"/>
      <c r="I25" s="83"/>
    </row>
    <row r="26" spans="2:34" x14ac:dyDescent="0.25">
      <c r="B26" s="83"/>
      <c r="C26" s="83"/>
      <c r="D26" s="83"/>
      <c r="E26" s="83"/>
      <c r="F26" s="83"/>
      <c r="I26" s="83"/>
    </row>
    <row r="42" spans="6:13" x14ac:dyDescent="0.25">
      <c r="F42" s="39"/>
      <c r="G42" s="40"/>
      <c r="H42" s="39"/>
      <c r="I42" s="39"/>
      <c r="J42" s="39"/>
      <c r="K42" s="39"/>
      <c r="L42" s="41"/>
      <c r="M42" s="8"/>
    </row>
    <row r="43" spans="6:13" x14ac:dyDescent="0.25">
      <c r="F43" s="39"/>
      <c r="G43" s="40"/>
      <c r="H43" s="8"/>
      <c r="I43" s="8"/>
      <c r="J43" s="8"/>
      <c r="K43" s="8"/>
      <c r="L43" s="8"/>
      <c r="M43" s="8"/>
    </row>
    <row r="44" spans="6:13" x14ac:dyDescent="0.25">
      <c r="F44" s="39"/>
      <c r="G44" s="8"/>
      <c r="H44" s="8"/>
      <c r="I44" s="8"/>
      <c r="J44" s="8"/>
      <c r="K44" s="8"/>
      <c r="L44" s="8"/>
    </row>
    <row r="45" spans="6:13" x14ac:dyDescent="0.25">
      <c r="F45" s="39"/>
      <c r="G45" s="8"/>
      <c r="H45" s="8"/>
      <c r="I45" s="8"/>
      <c r="J45" s="8"/>
      <c r="K45" s="8"/>
      <c r="L45" s="8"/>
    </row>
    <row r="46" spans="6:13" x14ac:dyDescent="0.25">
      <c r="F46" s="39"/>
      <c r="G46" s="8"/>
      <c r="H46" s="8"/>
      <c r="I46" s="8"/>
      <c r="J46" s="8"/>
      <c r="K46" s="8"/>
      <c r="L46" s="8"/>
    </row>
    <row r="47" spans="6:13" x14ac:dyDescent="0.25">
      <c r="F47" s="8"/>
      <c r="G47" s="2"/>
      <c r="H47" s="42"/>
      <c r="I47" s="42"/>
      <c r="J47" s="42"/>
      <c r="K47" s="42"/>
      <c r="L47" s="42"/>
    </row>
    <row r="48" spans="6:13" x14ac:dyDescent="0.25">
      <c r="F48" s="39"/>
      <c r="G48" s="8"/>
      <c r="H48" s="2"/>
      <c r="I48" s="2"/>
      <c r="J48" s="2"/>
      <c r="K48" s="2"/>
    </row>
    <row r="49" spans="6:11" x14ac:dyDescent="0.25">
      <c r="F49" s="39"/>
      <c r="G49" s="8"/>
      <c r="H49" s="2"/>
      <c r="I49" s="2"/>
      <c r="J49" s="2"/>
      <c r="K49" s="2"/>
    </row>
    <row r="50" spans="6:11" x14ac:dyDescent="0.25">
      <c r="F50" s="39"/>
      <c r="G50" s="8"/>
      <c r="H50" s="2"/>
      <c r="I50" s="2"/>
      <c r="J50" s="2"/>
      <c r="K50" s="2"/>
    </row>
    <row r="51" spans="6:11" x14ac:dyDescent="0.25">
      <c r="F51" s="2"/>
    </row>
    <row r="52" spans="6:11" x14ac:dyDescent="0.25">
      <c r="F52" s="43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12:E12"/>
    <mergeCell ref="G12:J12"/>
    <mergeCell ref="C4:C6"/>
    <mergeCell ref="D4:F5"/>
    <mergeCell ref="G4:I5"/>
    <mergeCell ref="J4:J6"/>
    <mergeCell ref="D1:G1"/>
    <mergeCell ref="D2:G2"/>
    <mergeCell ref="U3:V3"/>
    <mergeCell ref="X3:Y3"/>
    <mergeCell ref="AB3:AC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DCD08-9A48-4334-A49D-EDCAF1EF83A0}">
  <dimension ref="B1:AH52"/>
  <sheetViews>
    <sheetView topLeftCell="O4" workbookViewId="0">
      <selection activeCell="AD21" sqref="AD21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83" t="s">
        <v>0</v>
      </c>
      <c r="E1" s="83"/>
      <c r="F1" s="83"/>
      <c r="G1" s="83"/>
    </row>
    <row r="2" spans="3:34" x14ac:dyDescent="0.25">
      <c r="D2" s="84" t="s">
        <v>83</v>
      </c>
      <c r="E2" s="84"/>
      <c r="F2" s="84"/>
      <c r="G2" s="84"/>
      <c r="O2" s="1" t="s">
        <v>1</v>
      </c>
    </row>
    <row r="3" spans="3:34" x14ac:dyDescent="0.25">
      <c r="O3" s="4"/>
      <c r="P3" s="4"/>
      <c r="Q3" s="4"/>
      <c r="R3" s="4"/>
      <c r="S3" s="4"/>
      <c r="T3" s="4"/>
      <c r="U3" s="85" t="s">
        <v>2</v>
      </c>
      <c r="V3" s="85"/>
      <c r="X3" s="85" t="s">
        <v>3</v>
      </c>
      <c r="Y3" s="85"/>
      <c r="AB3" s="83"/>
      <c r="AC3" s="83"/>
    </row>
    <row r="4" spans="3:34" ht="31.5" customHeight="1" x14ac:dyDescent="0.25">
      <c r="C4" s="90" t="s">
        <v>4</v>
      </c>
      <c r="D4" s="86" t="s">
        <v>5</v>
      </c>
      <c r="E4" s="86"/>
      <c r="F4" s="86"/>
      <c r="G4" s="86" t="s">
        <v>6</v>
      </c>
      <c r="H4" s="86"/>
      <c r="I4" s="87"/>
      <c r="J4" s="91" t="s">
        <v>7</v>
      </c>
      <c r="K4" s="8">
        <v>4</v>
      </c>
      <c r="L4" s="8" t="s">
        <v>8</v>
      </c>
      <c r="M4" s="8">
        <f>SUMSQ(D7:I10)</f>
        <v>230574.95869999996</v>
      </c>
      <c r="O4" s="9" t="s">
        <v>9</v>
      </c>
      <c r="P4" s="10" t="s">
        <v>10</v>
      </c>
      <c r="Q4" s="9" t="s">
        <v>11</v>
      </c>
      <c r="R4" s="9" t="s">
        <v>12</v>
      </c>
      <c r="S4" s="9" t="s">
        <v>13</v>
      </c>
      <c r="T4" s="9"/>
      <c r="U4" s="11">
        <v>0.05</v>
      </c>
      <c r="V4" s="11">
        <v>0.01</v>
      </c>
      <c r="X4" s="12">
        <v>0.05</v>
      </c>
      <c r="Y4" s="12">
        <v>0.01</v>
      </c>
      <c r="Z4" s="13" t="s">
        <v>14</v>
      </c>
      <c r="AA4" s="13"/>
      <c r="AB4" s="14" t="s">
        <v>15</v>
      </c>
      <c r="AC4" s="14"/>
      <c r="AD4" s="15"/>
      <c r="AF4" s="14" t="s">
        <v>15</v>
      </c>
      <c r="AG4" s="14"/>
      <c r="AH4" s="15"/>
    </row>
    <row r="5" spans="3:34" x14ac:dyDescent="0.25">
      <c r="C5" s="90"/>
      <c r="D5" s="86"/>
      <c r="E5" s="86"/>
      <c r="F5" s="86"/>
      <c r="G5" s="86"/>
      <c r="H5" s="86"/>
      <c r="I5" s="87"/>
      <c r="J5" s="91"/>
      <c r="K5" s="8">
        <v>5</v>
      </c>
      <c r="L5" s="8" t="s">
        <v>16</v>
      </c>
      <c r="M5" s="8">
        <f>(J11^2)/24</f>
        <v>230474.44050416673</v>
      </c>
      <c r="O5" s="1" t="s">
        <v>17</v>
      </c>
      <c r="T5" s="16"/>
      <c r="AB5" s="4" t="s">
        <v>78</v>
      </c>
      <c r="AC5" s="17">
        <f>D18/12</f>
        <v>96.884999999999991</v>
      </c>
      <c r="AD5" s="4" t="s">
        <v>18</v>
      </c>
      <c r="AF5" s="4" t="s">
        <v>78</v>
      </c>
      <c r="AG5" s="17">
        <f>D18/12</f>
        <v>96.884999999999991</v>
      </c>
      <c r="AH5" s="4" t="s">
        <v>18</v>
      </c>
    </row>
    <row r="6" spans="3:34" x14ac:dyDescent="0.25">
      <c r="C6" s="90"/>
      <c r="D6" s="5" t="s">
        <v>19</v>
      </c>
      <c r="E6" s="5" t="s">
        <v>20</v>
      </c>
      <c r="F6" s="5" t="s">
        <v>21</v>
      </c>
      <c r="G6" s="5" t="s">
        <v>19</v>
      </c>
      <c r="H6" s="5" t="s">
        <v>20</v>
      </c>
      <c r="I6" s="6" t="s">
        <v>21</v>
      </c>
      <c r="J6" s="91"/>
      <c r="K6" s="8">
        <v>6</v>
      </c>
      <c r="L6" s="8" t="s">
        <v>22</v>
      </c>
      <c r="M6" s="18">
        <f>SUMSQ(D7:I10)-M5</f>
        <v>100.51819583322504</v>
      </c>
      <c r="N6" s="2"/>
      <c r="O6" s="19" t="s">
        <v>23</v>
      </c>
      <c r="P6" s="2">
        <v>3</v>
      </c>
      <c r="Q6" s="1">
        <f>M10</f>
        <v>1.450312499946449</v>
      </c>
      <c r="R6" s="1">
        <f>Q6/P6</f>
        <v>0.48343749998214963</v>
      </c>
      <c r="T6" s="16"/>
      <c r="AB6" s="9" t="s">
        <v>79</v>
      </c>
      <c r="AC6" s="20">
        <f>E18/12</f>
        <v>99.105833333333337</v>
      </c>
      <c r="AD6" s="9" t="s">
        <v>24</v>
      </c>
      <c r="AF6" s="9" t="s">
        <v>79</v>
      </c>
      <c r="AG6" s="20">
        <f>E18/12</f>
        <v>99.105833333333337</v>
      </c>
      <c r="AH6" s="9" t="s">
        <v>24</v>
      </c>
    </row>
    <row r="7" spans="3:34" x14ac:dyDescent="0.25">
      <c r="C7" s="5" t="s">
        <v>25</v>
      </c>
      <c r="D7" s="5">
        <v>91.48</v>
      </c>
      <c r="E7" s="5">
        <v>98.44</v>
      </c>
      <c r="F7" s="5">
        <v>99</v>
      </c>
      <c r="G7" s="5">
        <v>98.5</v>
      </c>
      <c r="H7" s="5">
        <v>99.63</v>
      </c>
      <c r="I7" s="6">
        <v>99.89</v>
      </c>
      <c r="J7" s="7">
        <f>SUM(D7:I7)</f>
        <v>586.94000000000005</v>
      </c>
      <c r="K7" s="8">
        <v>7</v>
      </c>
      <c r="L7" s="8" t="s">
        <v>26</v>
      </c>
      <c r="M7" s="8">
        <f>(SUMSQ(D14:E17)/3)-M5</f>
        <v>34.32112916657934</v>
      </c>
      <c r="O7" s="19" t="s">
        <v>27</v>
      </c>
      <c r="P7" s="2">
        <v>1</v>
      </c>
      <c r="Q7" s="1">
        <f>M11</f>
        <v>29.592604166537058</v>
      </c>
      <c r="R7" s="1">
        <f>Q7/P7</f>
        <v>29.592604166537058</v>
      </c>
      <c r="S7" s="1">
        <f>R7/R8</f>
        <v>27.08116465818366</v>
      </c>
      <c r="T7" s="21" t="str">
        <f>IF(S7&lt;U7,"tn",IF(S7&lt;V7,"*","**"))</f>
        <v>*</v>
      </c>
      <c r="U7" s="1">
        <f>FINV(0.05,P7,P8)</f>
        <v>10.127964486013932</v>
      </c>
      <c r="V7" s="1">
        <f>FINV(0.01,P7,P8)</f>
        <v>34.116221564529795</v>
      </c>
      <c r="AB7" s="9" t="s">
        <v>28</v>
      </c>
      <c r="AC7" s="20">
        <f>Y8*Z8</f>
        <v>3.0529179626968093</v>
      </c>
      <c r="AD7" s="9"/>
      <c r="AF7" s="9" t="s">
        <v>29</v>
      </c>
      <c r="AG7" s="20">
        <f>X8*Z8</f>
        <v>1.6631372979457708</v>
      </c>
      <c r="AH7" s="9"/>
    </row>
    <row r="8" spans="3:34" x14ac:dyDescent="0.25">
      <c r="C8" s="5" t="s">
        <v>30</v>
      </c>
      <c r="D8" s="5">
        <v>93.5</v>
      </c>
      <c r="E8" s="5">
        <v>97.95</v>
      </c>
      <c r="F8" s="5">
        <v>98.7</v>
      </c>
      <c r="G8" s="5">
        <v>97.89</v>
      </c>
      <c r="H8" s="5">
        <v>102</v>
      </c>
      <c r="I8" s="6">
        <v>98.88</v>
      </c>
      <c r="J8" s="7">
        <f>SUM(D8:I8)</f>
        <v>588.91999999999996</v>
      </c>
      <c r="K8" s="8">
        <v>8</v>
      </c>
      <c r="L8" s="8" t="s">
        <v>31</v>
      </c>
      <c r="M8" s="8">
        <f>(SUMSQ(H14:J17)/2)-M5</f>
        <v>47.065245833277004</v>
      </c>
      <c r="O8" s="22" t="s">
        <v>32</v>
      </c>
      <c r="P8" s="10">
        <v>3</v>
      </c>
      <c r="Q8" s="9">
        <f>M13</f>
        <v>3.2782125000958331</v>
      </c>
      <c r="R8" s="9">
        <f>Q8/P8</f>
        <v>1.0927375000319444</v>
      </c>
      <c r="S8" s="9"/>
      <c r="T8" s="23"/>
      <c r="U8" s="9"/>
      <c r="V8" s="9"/>
      <c r="X8" s="1">
        <v>3.1819999999999999</v>
      </c>
      <c r="Y8" s="1">
        <v>5.8410000000000002</v>
      </c>
      <c r="Z8" s="1">
        <f>SQRT(R8/4)</f>
        <v>0.52267042675857034</v>
      </c>
      <c r="AC8" s="24"/>
      <c r="AG8" s="24"/>
    </row>
    <row r="9" spans="3:34" x14ac:dyDescent="0.25">
      <c r="C9" s="5" t="s">
        <v>33</v>
      </c>
      <c r="D9" s="5">
        <v>96.94</v>
      </c>
      <c r="E9" s="5">
        <v>97.14</v>
      </c>
      <c r="F9" s="5">
        <v>98.44</v>
      </c>
      <c r="G9" s="5">
        <v>99</v>
      </c>
      <c r="H9" s="5">
        <v>99.89</v>
      </c>
      <c r="I9" s="6">
        <v>98.44</v>
      </c>
      <c r="J9" s="7">
        <f>SUM(D9:I9)</f>
        <v>589.84999999999991</v>
      </c>
      <c r="K9" s="8">
        <v>9</v>
      </c>
      <c r="L9" s="8" t="s">
        <v>34</v>
      </c>
      <c r="M9" s="8">
        <f>(SUMSQ(H21:I23)/4)-M5</f>
        <v>69.656120833271416</v>
      </c>
      <c r="O9" s="1" t="s">
        <v>35</v>
      </c>
      <c r="P9" s="2"/>
      <c r="T9" s="21"/>
      <c r="AB9" s="4" t="s">
        <v>36</v>
      </c>
      <c r="AC9" s="17">
        <f>H18/8</f>
        <v>96.412499999999994</v>
      </c>
      <c r="AD9" s="4" t="s">
        <v>18</v>
      </c>
      <c r="AF9" s="4" t="s">
        <v>36</v>
      </c>
      <c r="AG9" s="17">
        <f>H18/8</f>
        <v>96.412499999999994</v>
      </c>
      <c r="AH9" s="4" t="s">
        <v>18</v>
      </c>
    </row>
    <row r="10" spans="3:34" x14ac:dyDescent="0.25">
      <c r="C10" s="5" t="s">
        <v>37</v>
      </c>
      <c r="D10" s="5">
        <v>95.99</v>
      </c>
      <c r="E10" s="5">
        <v>98</v>
      </c>
      <c r="F10" s="5">
        <v>97.04</v>
      </c>
      <c r="G10" s="5">
        <v>98</v>
      </c>
      <c r="H10" s="5">
        <v>98.15</v>
      </c>
      <c r="I10" s="6">
        <v>99</v>
      </c>
      <c r="J10" s="7">
        <f>SUM(D10:I10)</f>
        <v>586.18000000000006</v>
      </c>
      <c r="K10" s="8">
        <v>10</v>
      </c>
      <c r="L10" s="8" t="s">
        <v>38</v>
      </c>
      <c r="M10" s="8">
        <f>(SUMSQ(J7:J10)/6)-M5</f>
        <v>1.450312499946449</v>
      </c>
      <c r="O10" s="19" t="s">
        <v>39</v>
      </c>
      <c r="P10" s="2">
        <v>2</v>
      </c>
      <c r="Q10" s="1">
        <f>M12</f>
        <v>30.272258333250647</v>
      </c>
      <c r="R10" s="1">
        <f>Q10/P10</f>
        <v>15.136129166625324</v>
      </c>
      <c r="S10" s="1">
        <f>R10/R11</f>
        <v>5.9192269274607554</v>
      </c>
      <c r="T10" s="21" t="str">
        <f>IF(S10&lt;U10,"tn",IF(S10&lt;V10,"*","**"))</f>
        <v>*</v>
      </c>
      <c r="U10" s="1">
        <f>FINV(0.05,P10,P11)</f>
        <v>5.1432528497847176</v>
      </c>
      <c r="V10" s="1">
        <f>FINV(0.01,P10,P11)</f>
        <v>10.924766500838338</v>
      </c>
      <c r="AB10" s="1" t="s">
        <v>40</v>
      </c>
      <c r="AC10" s="24">
        <f>I18/8</f>
        <v>98.899999999999991</v>
      </c>
      <c r="AD10" s="1" t="s">
        <v>24</v>
      </c>
      <c r="AF10" s="1" t="s">
        <v>40</v>
      </c>
      <c r="AG10" s="24">
        <f>I18/8</f>
        <v>98.899999999999991</v>
      </c>
      <c r="AH10" s="1" t="s">
        <v>41</v>
      </c>
    </row>
    <row r="11" spans="3:34" x14ac:dyDescent="0.25">
      <c r="C11" s="8"/>
      <c r="D11" s="8">
        <f t="shared" ref="D11:I11" si="0">AVERAGE(D7:D10)</f>
        <v>94.477500000000006</v>
      </c>
      <c r="E11" s="8">
        <f t="shared" si="0"/>
        <v>97.882499999999993</v>
      </c>
      <c r="F11" s="8">
        <f t="shared" si="0"/>
        <v>98.295000000000002</v>
      </c>
      <c r="G11" s="8">
        <f t="shared" si="0"/>
        <v>98.347499999999997</v>
      </c>
      <c r="H11" s="8">
        <f t="shared" si="0"/>
        <v>99.91749999999999</v>
      </c>
      <c r="I11" s="8">
        <f t="shared" si="0"/>
        <v>99.052499999999995</v>
      </c>
      <c r="J11" s="25">
        <f>SUM(J7:J10)</f>
        <v>2351.8900000000003</v>
      </c>
      <c r="K11" s="8">
        <v>11</v>
      </c>
      <c r="L11" s="8" t="s">
        <v>42</v>
      </c>
      <c r="M11" s="8">
        <f>(SUMSQ(D18:E18)/12)-M5</f>
        <v>29.592604166537058</v>
      </c>
      <c r="O11" s="19" t="s">
        <v>43</v>
      </c>
      <c r="P11" s="2">
        <v>6</v>
      </c>
      <c r="Q11" s="1">
        <f>M14</f>
        <v>15.342675000079907</v>
      </c>
      <c r="R11" s="1">
        <f>Q11/P11</f>
        <v>2.5571125000133179</v>
      </c>
      <c r="T11" s="21"/>
      <c r="X11" s="1">
        <v>4.3029999999999999</v>
      </c>
      <c r="Y11" s="1">
        <v>9.9250000000000007</v>
      </c>
      <c r="Z11" s="1">
        <f>SQRT(R11/4)</f>
        <v>0.79954870083274443</v>
      </c>
      <c r="AB11" s="9" t="s">
        <v>44</v>
      </c>
      <c r="AC11" s="20">
        <f>J18/8</f>
        <v>98.673749999999984</v>
      </c>
      <c r="AD11" s="9" t="s">
        <v>24</v>
      </c>
      <c r="AF11" s="9" t="s">
        <v>44</v>
      </c>
      <c r="AG11" s="20">
        <f>J18/8</f>
        <v>98.673749999999984</v>
      </c>
      <c r="AH11" s="9" t="s">
        <v>24</v>
      </c>
    </row>
    <row r="12" spans="3:34" x14ac:dyDescent="0.25">
      <c r="C12" s="86" t="s">
        <v>45</v>
      </c>
      <c r="D12" s="86"/>
      <c r="E12" s="86"/>
      <c r="F12" s="8"/>
      <c r="G12" s="87" t="s">
        <v>46</v>
      </c>
      <c r="H12" s="88"/>
      <c r="I12" s="88"/>
      <c r="J12" s="89"/>
      <c r="K12" s="8">
        <v>12</v>
      </c>
      <c r="L12" s="8" t="s">
        <v>47</v>
      </c>
      <c r="M12" s="8">
        <f>(SUMSQ(J21:J23)/8)-M5</f>
        <v>30.272258333250647</v>
      </c>
      <c r="O12" s="19" t="s">
        <v>48</v>
      </c>
      <c r="P12" s="2">
        <v>2</v>
      </c>
      <c r="Q12" s="1">
        <f>M15</f>
        <v>9.7912583334837109</v>
      </c>
      <c r="R12" s="1">
        <f>Q12/P12</f>
        <v>4.8956291667418554</v>
      </c>
      <c r="S12" s="1">
        <f>R12/R13</f>
        <v>4.5368231647742494</v>
      </c>
      <c r="T12" s="21" t="str">
        <f>IF(S12&lt;U12,"tn",IF(S12&lt;V12,"*","**"))</f>
        <v>*</v>
      </c>
      <c r="U12" s="1">
        <f>FINV(0.05,P12,P13)</f>
        <v>4.1028210151304032</v>
      </c>
      <c r="V12" s="1">
        <f>FINV(0.01,P12,P13)</f>
        <v>7.5594321575479011</v>
      </c>
      <c r="AB12" s="15" t="s">
        <v>49</v>
      </c>
      <c r="AC12" s="26">
        <f>Y11*Z11</f>
        <v>7.935520855764989</v>
      </c>
      <c r="AD12" s="15"/>
      <c r="AF12" s="15" t="s">
        <v>50</v>
      </c>
      <c r="AG12" s="26">
        <f>X11*Z11</f>
        <v>3.4404580596832992</v>
      </c>
      <c r="AH12" s="15"/>
    </row>
    <row r="13" spans="3:34" x14ac:dyDescent="0.25">
      <c r="C13" s="27" t="s">
        <v>51</v>
      </c>
      <c r="D13" s="5" t="s">
        <v>5</v>
      </c>
      <c r="E13" s="28" t="s">
        <v>6</v>
      </c>
      <c r="F13" s="8"/>
      <c r="G13" s="5" t="s">
        <v>52</v>
      </c>
      <c r="H13" s="5" t="s">
        <v>5</v>
      </c>
      <c r="I13" s="5" t="s">
        <v>20</v>
      </c>
      <c r="J13" s="5" t="s">
        <v>21</v>
      </c>
      <c r="K13" s="8">
        <v>13</v>
      </c>
      <c r="L13" s="8" t="s">
        <v>53</v>
      </c>
      <c r="M13" s="8">
        <f>M7-M10-M11</f>
        <v>3.2782125000958331</v>
      </c>
      <c r="O13" s="22" t="s">
        <v>54</v>
      </c>
      <c r="P13" s="10">
        <v>10</v>
      </c>
      <c r="Q13" s="29">
        <f>M16</f>
        <v>10.790874999831431</v>
      </c>
      <c r="R13" s="9">
        <f>Q13/P13</f>
        <v>1.079087499983143</v>
      </c>
      <c r="S13" s="9"/>
      <c r="T13" s="30"/>
      <c r="U13" s="9"/>
      <c r="V13" s="9"/>
      <c r="X13" s="1">
        <v>2.2280000000000002</v>
      </c>
      <c r="Y13" s="1">
        <v>3.169</v>
      </c>
      <c r="Z13" s="1">
        <f>SQRT(R13/5)</f>
        <v>0.46456162131263989</v>
      </c>
    </row>
    <row r="14" spans="3:34" x14ac:dyDescent="0.25">
      <c r="C14" s="27" t="s">
        <v>25</v>
      </c>
      <c r="D14" s="5">
        <f>SUM(D7:F7)</f>
        <v>288.92</v>
      </c>
      <c r="E14" s="28">
        <f>SUM(G7:I7)</f>
        <v>298.02</v>
      </c>
      <c r="F14" s="8"/>
      <c r="G14" s="5" t="s">
        <v>25</v>
      </c>
      <c r="H14" s="5">
        <f>D7+G7</f>
        <v>189.98000000000002</v>
      </c>
      <c r="I14" s="5">
        <f>E7+H7</f>
        <v>198.07</v>
      </c>
      <c r="J14" s="5">
        <f>F7+I7</f>
        <v>198.89</v>
      </c>
      <c r="K14" s="8">
        <v>14</v>
      </c>
      <c r="L14" s="8" t="s">
        <v>55</v>
      </c>
      <c r="M14" s="8">
        <f>M8-M10-M12</f>
        <v>15.342675000079907</v>
      </c>
      <c r="O14" s="31" t="s">
        <v>7</v>
      </c>
      <c r="P14" s="15"/>
      <c r="Q14" s="15">
        <f>SUM(Q6:Q13)</f>
        <v>100.51819583322504</v>
      </c>
      <c r="R14" s="15"/>
      <c r="S14" s="15"/>
      <c r="T14" s="15"/>
      <c r="U14" s="15"/>
      <c r="V14" s="15"/>
      <c r="AB14" s="3" t="s">
        <v>56</v>
      </c>
      <c r="AF14" s="3" t="s">
        <v>56</v>
      </c>
    </row>
    <row r="15" spans="3:34" x14ac:dyDescent="0.25">
      <c r="C15" s="27" t="s">
        <v>30</v>
      </c>
      <c r="D15" s="5">
        <f>SUM(D8:F8)</f>
        <v>290.14999999999998</v>
      </c>
      <c r="E15" s="28">
        <f>SUM(G8:I8)</f>
        <v>298.77</v>
      </c>
      <c r="F15" s="8"/>
      <c r="G15" s="5" t="s">
        <v>30</v>
      </c>
      <c r="H15" s="5">
        <f t="shared" ref="H15:J17" si="1">D8+G8</f>
        <v>191.39</v>
      </c>
      <c r="I15" s="5">
        <f t="shared" si="1"/>
        <v>199.95</v>
      </c>
      <c r="J15" s="5">
        <f t="shared" si="1"/>
        <v>197.57999999999998</v>
      </c>
      <c r="K15" s="8">
        <v>15</v>
      </c>
      <c r="L15" s="8" t="s">
        <v>57</v>
      </c>
      <c r="M15" s="8">
        <f>M9-M11-M12</f>
        <v>9.7912583334837109</v>
      </c>
      <c r="O15" s="19" t="s">
        <v>58</v>
      </c>
      <c r="Q15" s="1">
        <f>M5</f>
        <v>230474.44050416673</v>
      </c>
      <c r="AB15" s="15" t="s">
        <v>15</v>
      </c>
      <c r="AC15" s="15"/>
      <c r="AD15" s="15"/>
      <c r="AF15" s="15" t="s">
        <v>15</v>
      </c>
      <c r="AG15" s="15"/>
      <c r="AH15" s="15"/>
    </row>
    <row r="16" spans="3:34" x14ac:dyDescent="0.25">
      <c r="C16" s="27" t="s">
        <v>33</v>
      </c>
      <c r="D16" s="5">
        <f>SUM(D9:F9)</f>
        <v>292.52</v>
      </c>
      <c r="E16" s="28">
        <f>SUM(G9:I9)</f>
        <v>297.33</v>
      </c>
      <c r="F16" s="8"/>
      <c r="G16" s="5" t="s">
        <v>33</v>
      </c>
      <c r="H16" s="5">
        <f t="shared" si="1"/>
        <v>195.94</v>
      </c>
      <c r="I16" s="5">
        <f t="shared" si="1"/>
        <v>197.03</v>
      </c>
      <c r="J16" s="5">
        <f t="shared" si="1"/>
        <v>196.88</v>
      </c>
      <c r="K16" s="8">
        <v>16</v>
      </c>
      <c r="L16" s="8" t="s">
        <v>59</v>
      </c>
      <c r="M16" s="18">
        <f>M6-M10-M11-M12-M13-M14-M15</f>
        <v>10.790874999831431</v>
      </c>
      <c r="O16" s="1" t="s">
        <v>60</v>
      </c>
      <c r="AB16" s="4" t="s">
        <v>61</v>
      </c>
      <c r="AC16" s="17">
        <f>H21/4</f>
        <v>94.477500000000006</v>
      </c>
      <c r="AD16" s="1" t="s">
        <v>18</v>
      </c>
      <c r="AF16" s="4" t="s">
        <v>61</v>
      </c>
      <c r="AG16" s="17">
        <f>H21/4</f>
        <v>94.477500000000006</v>
      </c>
      <c r="AH16" s="4" t="s">
        <v>18</v>
      </c>
    </row>
    <row r="17" spans="2:34" x14ac:dyDescent="0.25">
      <c r="C17" s="27" t="s">
        <v>37</v>
      </c>
      <c r="D17" s="5">
        <f>SUM(D10:F10)</f>
        <v>291.03000000000003</v>
      </c>
      <c r="E17" s="28">
        <f>SUM(G10:I10)</f>
        <v>295.14999999999998</v>
      </c>
      <c r="F17" s="8"/>
      <c r="G17" s="5" t="s">
        <v>37</v>
      </c>
      <c r="H17" s="5">
        <f t="shared" si="1"/>
        <v>193.99</v>
      </c>
      <c r="I17" s="5">
        <f t="shared" si="1"/>
        <v>196.15</v>
      </c>
      <c r="J17" s="5">
        <f t="shared" si="1"/>
        <v>196.04000000000002</v>
      </c>
      <c r="K17" s="8"/>
      <c r="L17" s="8"/>
      <c r="M17" s="8"/>
      <c r="O17" s="1" t="s">
        <v>62</v>
      </c>
      <c r="AB17" s="1" t="s">
        <v>63</v>
      </c>
      <c r="AC17" s="24">
        <f>H22/4</f>
        <v>97.882499999999993</v>
      </c>
      <c r="AD17" s="1" t="s">
        <v>24</v>
      </c>
      <c r="AF17" s="1" t="s">
        <v>63</v>
      </c>
      <c r="AG17" s="24">
        <f>H22/4</f>
        <v>97.882499999999993</v>
      </c>
      <c r="AH17" s="1" t="s">
        <v>41</v>
      </c>
    </row>
    <row r="18" spans="2:34" ht="16.5" thickBot="1" x14ac:dyDescent="0.3">
      <c r="C18" s="32"/>
      <c r="D18" s="33">
        <f>SUM(D14:D17)</f>
        <v>1162.6199999999999</v>
      </c>
      <c r="E18" s="34">
        <f>SUM(E14:E17)</f>
        <v>1189.27</v>
      </c>
      <c r="F18" s="8"/>
      <c r="G18" s="8"/>
      <c r="H18" s="8">
        <f>SUM(H14:H17)</f>
        <v>771.3</v>
      </c>
      <c r="I18" s="8">
        <f>SUM(I14:I17)</f>
        <v>791.19999999999993</v>
      </c>
      <c r="J18" s="8">
        <f>SUM(J14:J17)</f>
        <v>789.38999999999987</v>
      </c>
      <c r="K18" s="8"/>
      <c r="L18" s="8"/>
      <c r="M18" s="8"/>
      <c r="O18" s="1" t="s">
        <v>64</v>
      </c>
      <c r="AB18" s="1" t="s">
        <v>65</v>
      </c>
      <c r="AC18" s="24">
        <f>H23/4</f>
        <v>98.295000000000002</v>
      </c>
      <c r="AD18" s="1" t="s">
        <v>24</v>
      </c>
      <c r="AF18" s="1" t="s">
        <v>65</v>
      </c>
      <c r="AG18" s="24">
        <f>H23/4</f>
        <v>98.295000000000002</v>
      </c>
      <c r="AH18" s="1" t="s">
        <v>24</v>
      </c>
    </row>
    <row r="19" spans="2:34" ht="16.5" thickBot="1" x14ac:dyDescent="0.3">
      <c r="C19" s="8"/>
      <c r="D19" s="8"/>
      <c r="E19" s="8"/>
      <c r="F19" s="8"/>
      <c r="G19" s="8"/>
      <c r="H19" s="35" t="s">
        <v>56</v>
      </c>
      <c r="I19" s="8"/>
      <c r="J19" s="8"/>
      <c r="K19" s="8"/>
      <c r="L19" s="8"/>
      <c r="M19" s="8"/>
      <c r="O19" s="1" t="s">
        <v>66</v>
      </c>
      <c r="AB19" s="1" t="s">
        <v>67</v>
      </c>
      <c r="AC19" s="24">
        <f>I21/4</f>
        <v>98.347499999999997</v>
      </c>
      <c r="AD19" s="1" t="s">
        <v>24</v>
      </c>
      <c r="AF19" s="1" t="s">
        <v>67</v>
      </c>
      <c r="AG19" s="24">
        <f>I21/4</f>
        <v>98.347499999999997</v>
      </c>
      <c r="AH19" s="1" t="s">
        <v>68</v>
      </c>
    </row>
    <row r="20" spans="2:34" x14ac:dyDescent="0.25">
      <c r="C20" s="8"/>
      <c r="D20" s="8"/>
      <c r="E20" s="8"/>
      <c r="F20" s="8"/>
      <c r="G20" s="36"/>
      <c r="H20" s="37" t="s">
        <v>5</v>
      </c>
      <c r="I20" s="37" t="s">
        <v>6</v>
      </c>
      <c r="J20" s="38"/>
      <c r="K20" s="8"/>
      <c r="L20" s="8"/>
      <c r="M20" s="8"/>
      <c r="O20" s="1" t="s">
        <v>69</v>
      </c>
      <c r="P20" s="1" t="s">
        <v>70</v>
      </c>
      <c r="AB20" s="1" t="s">
        <v>71</v>
      </c>
      <c r="AC20" s="24">
        <f>I22/4</f>
        <v>99.91749999999999</v>
      </c>
      <c r="AD20" s="1" t="s">
        <v>97</v>
      </c>
      <c r="AF20" s="1" t="s">
        <v>71</v>
      </c>
      <c r="AG20" s="24">
        <f>I22/4</f>
        <v>99.91749999999999</v>
      </c>
      <c r="AH20" s="1" t="s">
        <v>72</v>
      </c>
    </row>
    <row r="21" spans="2:34" x14ac:dyDescent="0.25">
      <c r="C21" s="8"/>
      <c r="D21" s="8"/>
      <c r="E21" s="8"/>
      <c r="F21" s="8"/>
      <c r="G21" s="27" t="s">
        <v>19</v>
      </c>
      <c r="H21" s="5">
        <f>SUM(D7:D10)</f>
        <v>377.91</v>
      </c>
      <c r="I21" s="5">
        <f>SUM(G7:G10)</f>
        <v>393.39</v>
      </c>
      <c r="J21" s="28">
        <f>SUM(H21:I21)</f>
        <v>771.3</v>
      </c>
      <c r="K21" s="8"/>
      <c r="L21" s="8"/>
      <c r="M21" s="8"/>
      <c r="O21" s="1" t="s">
        <v>73</v>
      </c>
      <c r="P21" s="1" t="s">
        <v>74</v>
      </c>
      <c r="AB21" s="1" t="s">
        <v>75</v>
      </c>
      <c r="AC21" s="24">
        <f>I23/4</f>
        <v>99.052499999999995</v>
      </c>
      <c r="AD21" s="1" t="s">
        <v>41</v>
      </c>
      <c r="AF21" s="9" t="s">
        <v>75</v>
      </c>
      <c r="AG21" s="20">
        <f>I23/4</f>
        <v>99.052499999999995</v>
      </c>
      <c r="AH21" s="9" t="s">
        <v>68</v>
      </c>
    </row>
    <row r="22" spans="2:34" x14ac:dyDescent="0.25">
      <c r="C22" s="8"/>
      <c r="D22" s="8"/>
      <c r="E22" s="8"/>
      <c r="F22" s="8"/>
      <c r="G22" s="27" t="s">
        <v>20</v>
      </c>
      <c r="H22" s="5">
        <f>SUM(E7:E10)</f>
        <v>391.53</v>
      </c>
      <c r="I22" s="5">
        <f>SUM(H7:H10)</f>
        <v>399.66999999999996</v>
      </c>
      <c r="J22" s="28">
        <f>SUM(H22:I22)</f>
        <v>791.19999999999993</v>
      </c>
      <c r="K22" s="8"/>
      <c r="L22" s="8"/>
      <c r="M22" s="8"/>
      <c r="O22" s="1" t="s">
        <v>76</v>
      </c>
      <c r="P22" s="1" t="s">
        <v>77</v>
      </c>
      <c r="AB22" s="15" t="s">
        <v>49</v>
      </c>
      <c r="AC22" s="26">
        <f>Y13*Z13</f>
        <v>1.4721957779397559</v>
      </c>
      <c r="AD22" s="15"/>
      <c r="AF22" s="15" t="s">
        <v>50</v>
      </c>
      <c r="AG22" s="26">
        <f>X13*Z13</f>
        <v>1.0350432922845618</v>
      </c>
      <c r="AH22" s="15"/>
    </row>
    <row r="23" spans="2:34" ht="16.5" thickBot="1" x14ac:dyDescent="0.3">
      <c r="C23" s="8"/>
      <c r="D23" s="8"/>
      <c r="E23" s="8"/>
      <c r="F23" s="8"/>
      <c r="G23" s="32" t="s">
        <v>21</v>
      </c>
      <c r="H23" s="33">
        <f>SUM(F7:F10)</f>
        <v>393.18</v>
      </c>
      <c r="I23" s="33">
        <f>SUM(I7:I10)</f>
        <v>396.21</v>
      </c>
      <c r="J23" s="34">
        <f>SUM(H23:I23)</f>
        <v>789.39</v>
      </c>
      <c r="K23" s="8"/>
      <c r="L23" s="8"/>
      <c r="M23" s="8"/>
    </row>
    <row r="24" spans="2:34" x14ac:dyDescent="0.25">
      <c r="B24" s="83"/>
      <c r="C24" s="83"/>
      <c r="D24" s="83"/>
      <c r="E24" s="83"/>
      <c r="F24" s="83"/>
    </row>
    <row r="25" spans="2:34" x14ac:dyDescent="0.25">
      <c r="B25" s="83"/>
      <c r="C25" s="83"/>
      <c r="D25" s="83"/>
      <c r="E25" s="83"/>
      <c r="F25" s="83"/>
      <c r="G25" s="83"/>
      <c r="H25" s="83"/>
      <c r="I25" s="83"/>
    </row>
    <row r="26" spans="2:34" x14ac:dyDescent="0.25">
      <c r="B26" s="83"/>
      <c r="C26" s="83"/>
      <c r="D26" s="83"/>
      <c r="E26" s="83"/>
      <c r="F26" s="83"/>
      <c r="I26" s="83"/>
    </row>
    <row r="42" spans="6:13" x14ac:dyDescent="0.25">
      <c r="F42" s="39"/>
      <c r="G42" s="40"/>
      <c r="H42" s="39"/>
      <c r="I42" s="39"/>
      <c r="J42" s="39"/>
      <c r="K42" s="39"/>
      <c r="L42" s="41"/>
      <c r="M42" s="8"/>
    </row>
    <row r="43" spans="6:13" x14ac:dyDescent="0.25">
      <c r="F43" s="39"/>
      <c r="G43" s="40"/>
      <c r="H43" s="8"/>
      <c r="I43" s="8"/>
      <c r="J43" s="8"/>
      <c r="K43" s="8"/>
      <c r="L43" s="8"/>
      <c r="M43" s="8"/>
    </row>
    <row r="44" spans="6:13" x14ac:dyDescent="0.25">
      <c r="F44" s="39"/>
      <c r="G44" s="8"/>
      <c r="H44" s="8"/>
      <c r="I44" s="8"/>
      <c r="J44" s="8"/>
      <c r="K44" s="8"/>
      <c r="L44" s="8"/>
    </row>
    <row r="45" spans="6:13" x14ac:dyDescent="0.25">
      <c r="F45" s="39"/>
      <c r="G45" s="8"/>
      <c r="H45" s="8"/>
      <c r="I45" s="8"/>
      <c r="J45" s="8"/>
      <c r="K45" s="8"/>
      <c r="L45" s="8"/>
    </row>
    <row r="46" spans="6:13" x14ac:dyDescent="0.25">
      <c r="F46" s="39"/>
      <c r="G46" s="8"/>
      <c r="H46" s="8"/>
      <c r="I46" s="8"/>
      <c r="J46" s="8"/>
      <c r="K46" s="8"/>
      <c r="L46" s="8"/>
    </row>
    <row r="47" spans="6:13" x14ac:dyDescent="0.25">
      <c r="F47" s="8"/>
      <c r="G47" s="2"/>
      <c r="H47" s="42"/>
      <c r="I47" s="42"/>
      <c r="J47" s="42"/>
      <c r="K47" s="42"/>
      <c r="L47" s="42"/>
    </row>
    <row r="48" spans="6:13" x14ac:dyDescent="0.25">
      <c r="F48" s="39"/>
      <c r="G48" s="8"/>
      <c r="H48" s="2"/>
      <c r="I48" s="2"/>
      <c r="J48" s="2"/>
      <c r="K48" s="2"/>
    </row>
    <row r="49" spans="6:11" x14ac:dyDescent="0.25">
      <c r="F49" s="39"/>
      <c r="G49" s="8"/>
      <c r="H49" s="2"/>
      <c r="I49" s="2"/>
      <c r="J49" s="2"/>
      <c r="K49" s="2"/>
    </row>
    <row r="50" spans="6:11" x14ac:dyDescent="0.25">
      <c r="F50" s="39"/>
      <c r="G50" s="8"/>
      <c r="H50" s="2"/>
      <c r="I50" s="2"/>
      <c r="J50" s="2"/>
      <c r="K50" s="2"/>
    </row>
    <row r="51" spans="6:11" x14ac:dyDescent="0.25">
      <c r="F51" s="2"/>
    </row>
    <row r="52" spans="6:11" x14ac:dyDescent="0.25">
      <c r="F52" s="43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12:E12"/>
    <mergeCell ref="G12:J12"/>
    <mergeCell ref="C4:C6"/>
    <mergeCell ref="D4:F5"/>
    <mergeCell ref="G4:I5"/>
    <mergeCell ref="J4:J6"/>
    <mergeCell ref="D1:G1"/>
    <mergeCell ref="D2:G2"/>
    <mergeCell ref="U3:V3"/>
    <mergeCell ref="X3:Y3"/>
    <mergeCell ref="AB3:AC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34209-CAF2-45CB-A667-F68312A26134}">
  <dimension ref="B2:R35"/>
  <sheetViews>
    <sheetView workbookViewId="0">
      <selection activeCell="L39" sqref="L39"/>
    </sheetView>
  </sheetViews>
  <sheetFormatPr defaultRowHeight="15" x14ac:dyDescent="0.25"/>
  <cols>
    <col min="1" max="1" width="9.140625" style="47"/>
    <col min="2" max="2" width="17.140625" style="47" customWidth="1"/>
    <col min="3" max="8" width="9.140625" style="47"/>
    <col min="9" max="9" width="28.42578125" style="47" customWidth="1"/>
    <col min="10" max="10" width="8" style="47" customWidth="1"/>
    <col min="11" max="11" width="1.28515625" style="47" customWidth="1"/>
    <col min="12" max="12" width="9.5703125" style="47" customWidth="1"/>
    <col min="13" max="13" width="1.7109375" style="47" customWidth="1"/>
    <col min="14" max="14" width="9.140625" style="47" customWidth="1"/>
    <col min="15" max="15" width="2" style="47" customWidth="1"/>
    <col min="16" max="16" width="9.140625" style="47" customWidth="1"/>
    <col min="17" max="17" width="2" style="47" customWidth="1"/>
    <col min="18" max="16384" width="9.140625" style="47"/>
  </cols>
  <sheetData>
    <row r="2" spans="2:17" x14ac:dyDescent="0.25">
      <c r="B2" s="96" t="s">
        <v>15</v>
      </c>
      <c r="C2" s="96" t="s">
        <v>84</v>
      </c>
      <c r="D2" s="96"/>
      <c r="E2" s="96"/>
      <c r="F2" s="96"/>
      <c r="I2" s="97" t="s">
        <v>15</v>
      </c>
      <c r="J2" s="96" t="s">
        <v>93</v>
      </c>
      <c r="K2" s="96"/>
      <c r="L2" s="96"/>
      <c r="M2" s="96"/>
      <c r="N2" s="96"/>
      <c r="O2" s="96"/>
      <c r="P2" s="96"/>
      <c r="Q2" s="96"/>
    </row>
    <row r="3" spans="2:17" x14ac:dyDescent="0.25">
      <c r="B3" s="96"/>
      <c r="C3" s="45" t="s">
        <v>85</v>
      </c>
      <c r="D3" s="45" t="s">
        <v>86</v>
      </c>
      <c r="E3" s="45" t="s">
        <v>87</v>
      </c>
      <c r="F3" s="45" t="s">
        <v>88</v>
      </c>
      <c r="I3" s="97"/>
      <c r="J3" s="48" t="s">
        <v>85</v>
      </c>
      <c r="K3" s="44"/>
      <c r="L3" s="44" t="s">
        <v>86</v>
      </c>
      <c r="M3" s="44"/>
      <c r="N3" s="45" t="s">
        <v>87</v>
      </c>
      <c r="O3" s="45"/>
      <c r="P3" s="45" t="s">
        <v>88</v>
      </c>
      <c r="Q3" s="45"/>
    </row>
    <row r="4" spans="2:17" x14ac:dyDescent="0.25">
      <c r="B4" s="46" t="s">
        <v>89</v>
      </c>
      <c r="C4" s="45"/>
      <c r="D4" s="45"/>
      <c r="E4" s="45"/>
      <c r="F4" s="45"/>
      <c r="I4" s="49" t="s">
        <v>78</v>
      </c>
      <c r="J4" s="50">
        <v>32.218333333333334</v>
      </c>
      <c r="K4" s="44" t="s">
        <v>18</v>
      </c>
      <c r="L4" s="44">
        <v>46.410833333333329</v>
      </c>
      <c r="M4" s="44" t="s">
        <v>18</v>
      </c>
      <c r="N4" s="45">
        <v>77.595833333333346</v>
      </c>
      <c r="O4" s="45" t="s">
        <v>18</v>
      </c>
      <c r="P4" s="45">
        <v>96.884999999999991</v>
      </c>
      <c r="Q4" s="45" t="s">
        <v>18</v>
      </c>
    </row>
    <row r="5" spans="2:17" x14ac:dyDescent="0.25">
      <c r="B5" s="45" t="s">
        <v>61</v>
      </c>
      <c r="C5" s="45">
        <v>28.05</v>
      </c>
      <c r="D5" s="45">
        <v>44.652500000000003</v>
      </c>
      <c r="E5" s="45">
        <v>75.637500000000003</v>
      </c>
      <c r="F5" s="45">
        <v>94.477500000000006</v>
      </c>
      <c r="I5" s="49" t="s">
        <v>79</v>
      </c>
      <c r="J5" s="50">
        <v>37.255000000000003</v>
      </c>
      <c r="K5" s="44" t="s">
        <v>24</v>
      </c>
      <c r="L5" s="44">
        <v>50.801666666666669</v>
      </c>
      <c r="M5" s="44" t="s">
        <v>24</v>
      </c>
      <c r="N5" s="45">
        <v>86.913333333333341</v>
      </c>
      <c r="O5" s="45" t="s">
        <v>24</v>
      </c>
      <c r="P5" s="45">
        <v>99.105833333333337</v>
      </c>
      <c r="Q5" s="45" t="s">
        <v>24</v>
      </c>
    </row>
    <row r="6" spans="2:17" x14ac:dyDescent="0.25">
      <c r="B6" s="45" t="s">
        <v>90</v>
      </c>
      <c r="C6" s="45">
        <v>34.894999999999996</v>
      </c>
      <c r="D6" s="45">
        <v>47.8825</v>
      </c>
      <c r="E6" s="45">
        <v>79.03</v>
      </c>
      <c r="F6" s="45">
        <v>97.882499999999993</v>
      </c>
      <c r="I6" s="49" t="s">
        <v>28</v>
      </c>
      <c r="J6" s="50">
        <v>2.6079990506592123</v>
      </c>
      <c r="K6" s="44"/>
      <c r="L6" s="44">
        <v>1.6216410645150621</v>
      </c>
      <c r="M6" s="44"/>
      <c r="N6" s="45">
        <v>1.2409500090272896</v>
      </c>
      <c r="O6" s="45"/>
      <c r="P6" s="45">
        <v>3.0529179626968093</v>
      </c>
      <c r="Q6" s="45"/>
    </row>
    <row r="7" spans="2:17" ht="15.75" x14ac:dyDescent="0.25">
      <c r="B7" s="45" t="s">
        <v>91</v>
      </c>
      <c r="C7" s="45">
        <v>33.709999999999994</v>
      </c>
      <c r="D7" s="45">
        <v>46.697499999999998</v>
      </c>
      <c r="E7" s="45">
        <v>78.12</v>
      </c>
      <c r="F7" s="45">
        <v>98.295000000000002</v>
      </c>
      <c r="I7" s="49"/>
      <c r="J7" s="50"/>
      <c r="K7" s="44"/>
      <c r="L7" s="44"/>
      <c r="M7" s="5"/>
      <c r="N7" s="45"/>
      <c r="O7" s="45"/>
      <c r="P7" s="5"/>
      <c r="Q7" s="45"/>
    </row>
    <row r="8" spans="2:17" ht="15.75" x14ac:dyDescent="0.25">
      <c r="B8" s="46" t="s">
        <v>92</v>
      </c>
      <c r="C8" s="45"/>
      <c r="D8" s="45"/>
      <c r="E8" s="45"/>
      <c r="F8" s="45"/>
      <c r="I8" s="49" t="s">
        <v>36</v>
      </c>
      <c r="J8" s="50">
        <v>31.607499999999998</v>
      </c>
      <c r="K8" s="44" t="s">
        <v>18</v>
      </c>
      <c r="L8" s="44">
        <v>46.228750000000005</v>
      </c>
      <c r="M8" s="5" t="s">
        <v>18</v>
      </c>
      <c r="N8" s="45">
        <v>80.038749999999993</v>
      </c>
      <c r="O8" s="45" t="s">
        <v>18</v>
      </c>
      <c r="P8" s="5">
        <v>96.412499999999994</v>
      </c>
      <c r="Q8" s="45" t="s">
        <v>18</v>
      </c>
    </row>
    <row r="9" spans="2:17" ht="15.75" x14ac:dyDescent="0.25">
      <c r="B9" s="45" t="s">
        <v>67</v>
      </c>
      <c r="C9" s="45">
        <v>35.164999999999999</v>
      </c>
      <c r="D9" s="45">
        <v>47.805</v>
      </c>
      <c r="E9" s="45">
        <v>84.440000000000012</v>
      </c>
      <c r="F9" s="45">
        <v>98.347499999999997</v>
      </c>
      <c r="I9" s="49" t="s">
        <v>94</v>
      </c>
      <c r="J9" s="50">
        <v>36.951250000000002</v>
      </c>
      <c r="K9" s="44" t="s">
        <v>24</v>
      </c>
      <c r="L9" s="44">
        <v>50.387499999999996</v>
      </c>
      <c r="M9" s="5" t="s">
        <v>24</v>
      </c>
      <c r="N9" s="45">
        <v>84.1875</v>
      </c>
      <c r="O9" s="45" t="s">
        <v>24</v>
      </c>
      <c r="P9" s="5">
        <v>98.899999999999991</v>
      </c>
      <c r="Q9" s="45" t="s">
        <v>24</v>
      </c>
    </row>
    <row r="10" spans="2:17" ht="15.75" x14ac:dyDescent="0.25">
      <c r="B10" s="45" t="s">
        <v>71</v>
      </c>
      <c r="C10" s="45">
        <v>39.0075</v>
      </c>
      <c r="D10" s="45">
        <v>52.892499999999998</v>
      </c>
      <c r="E10" s="45">
        <v>89.344999999999999</v>
      </c>
      <c r="F10" s="45">
        <v>99.91749999999999</v>
      </c>
      <c r="I10" s="49" t="s">
        <v>95</v>
      </c>
      <c r="J10" s="50">
        <v>35.651249999999997</v>
      </c>
      <c r="K10" s="44" t="s">
        <v>24</v>
      </c>
      <c r="L10" s="44">
        <v>49.202500000000001</v>
      </c>
      <c r="M10" s="5" t="s">
        <v>24</v>
      </c>
      <c r="N10" s="45">
        <v>82.537499999999994</v>
      </c>
      <c r="O10" s="45" t="s">
        <v>24</v>
      </c>
      <c r="P10" s="5">
        <v>98.673749999999984</v>
      </c>
      <c r="Q10" s="45" t="s">
        <v>24</v>
      </c>
    </row>
    <row r="11" spans="2:17" x14ac:dyDescent="0.25">
      <c r="B11" s="45" t="s">
        <v>75</v>
      </c>
      <c r="C11" s="45">
        <v>37.592499999999994</v>
      </c>
      <c r="D11" s="45">
        <v>51.707499999999996</v>
      </c>
      <c r="E11" s="45">
        <v>86.955000000000013</v>
      </c>
      <c r="F11" s="45">
        <v>99.052499999999995</v>
      </c>
      <c r="I11" s="44" t="s">
        <v>49</v>
      </c>
      <c r="J11" s="50">
        <v>4.8656933611986126</v>
      </c>
      <c r="K11" s="44"/>
      <c r="L11" s="44">
        <v>3.2026766347018127</v>
      </c>
      <c r="M11" s="44"/>
      <c r="N11" s="45">
        <v>5.2983161036859112</v>
      </c>
      <c r="O11" s="45"/>
      <c r="P11" s="45">
        <v>7.935520855764989</v>
      </c>
      <c r="Q11" s="45"/>
    </row>
    <row r="12" spans="2:17" ht="15.75" x14ac:dyDescent="0.25">
      <c r="M12" s="8"/>
      <c r="P12" s="8"/>
    </row>
    <row r="13" spans="2:17" x14ac:dyDescent="0.25">
      <c r="I13" s="98"/>
      <c r="J13" s="99"/>
      <c r="K13" s="99"/>
      <c r="L13" s="99"/>
      <c r="M13" s="99"/>
      <c r="N13" s="99"/>
      <c r="O13" s="99"/>
      <c r="P13" s="99"/>
      <c r="Q13" s="99"/>
    </row>
    <row r="14" spans="2:17" x14ac:dyDescent="0.25">
      <c r="I14" s="98"/>
      <c r="J14" s="58"/>
      <c r="K14" s="51"/>
      <c r="L14" s="51"/>
      <c r="M14" s="51"/>
    </row>
    <row r="25" spans="6:18" x14ac:dyDescent="0.25">
      <c r="I25" s="92" t="s">
        <v>15</v>
      </c>
      <c r="J25" s="94" t="s">
        <v>93</v>
      </c>
      <c r="K25" s="94"/>
      <c r="L25" s="94"/>
      <c r="M25" s="94"/>
      <c r="N25" s="94"/>
      <c r="O25" s="94"/>
      <c r="P25" s="94"/>
      <c r="Q25" s="95"/>
    </row>
    <row r="26" spans="6:18" x14ac:dyDescent="0.25">
      <c r="I26" s="93"/>
      <c r="J26" s="70" t="s">
        <v>85</v>
      </c>
      <c r="K26" s="55"/>
      <c r="L26" s="55" t="s">
        <v>86</v>
      </c>
      <c r="M26" s="55"/>
      <c r="N26" s="56" t="s">
        <v>87</v>
      </c>
      <c r="O26" s="56"/>
      <c r="P26" s="56" t="s">
        <v>88</v>
      </c>
      <c r="Q26" s="57"/>
      <c r="R26" s="72"/>
    </row>
    <row r="27" spans="6:18" x14ac:dyDescent="0.25">
      <c r="I27" s="71" t="s">
        <v>45</v>
      </c>
      <c r="Q27" s="54"/>
    </row>
    <row r="28" spans="6:18" x14ac:dyDescent="0.25">
      <c r="I28" s="53" t="s">
        <v>78</v>
      </c>
      <c r="J28" s="47">
        <v>32.218333333333334</v>
      </c>
      <c r="K28" s="51" t="s">
        <v>18</v>
      </c>
      <c r="L28" s="51">
        <v>46.410833333333329</v>
      </c>
      <c r="M28" s="51" t="s">
        <v>18</v>
      </c>
      <c r="N28" s="47">
        <v>77.595833333333346</v>
      </c>
      <c r="O28" s="47" t="s">
        <v>18</v>
      </c>
      <c r="P28" s="47">
        <v>96.884999999999991</v>
      </c>
      <c r="Q28" s="54" t="s">
        <v>18</v>
      </c>
    </row>
    <row r="29" spans="6:18" ht="15.75" thickBot="1" x14ac:dyDescent="0.3">
      <c r="F29" s="56"/>
      <c r="I29" s="53" t="s">
        <v>79</v>
      </c>
      <c r="J29" s="52">
        <v>37.255000000000003</v>
      </c>
      <c r="K29" s="52" t="s">
        <v>24</v>
      </c>
      <c r="L29" s="51">
        <v>50.801666666666669</v>
      </c>
      <c r="M29" s="51" t="s">
        <v>24</v>
      </c>
      <c r="N29" s="47">
        <v>86.913333333333341</v>
      </c>
      <c r="O29" s="47" t="s">
        <v>24</v>
      </c>
      <c r="P29" s="47">
        <v>99.105833333333337</v>
      </c>
      <c r="Q29" s="54" t="s">
        <v>24</v>
      </c>
    </row>
    <row r="30" spans="6:18" ht="15.75" thickBot="1" x14ac:dyDescent="0.3">
      <c r="I30" s="63" t="s">
        <v>50</v>
      </c>
      <c r="J30" s="60">
        <v>1.4207589418246214</v>
      </c>
      <c r="K30" s="61"/>
      <c r="L30" s="61">
        <v>0.8834209668356322</v>
      </c>
      <c r="M30" s="61"/>
      <c r="N30" s="62">
        <v>0.6760320028633513</v>
      </c>
      <c r="O30" s="62"/>
      <c r="P30" s="62">
        <v>1.6631372979457708</v>
      </c>
      <c r="Q30" s="64"/>
    </row>
    <row r="31" spans="6:18" ht="15.75" x14ac:dyDescent="0.25">
      <c r="I31" s="59" t="s">
        <v>96</v>
      </c>
      <c r="J31" s="52"/>
      <c r="K31" s="51"/>
      <c r="L31" s="51"/>
      <c r="M31" s="8"/>
      <c r="P31" s="8"/>
      <c r="Q31" s="54"/>
    </row>
    <row r="32" spans="6:18" ht="15.75" x14ac:dyDescent="0.25">
      <c r="I32" s="53" t="s">
        <v>36</v>
      </c>
      <c r="J32" s="52">
        <v>31.607499999999998</v>
      </c>
      <c r="K32" s="51" t="s">
        <v>18</v>
      </c>
      <c r="L32" s="51">
        <v>46.228750000000005</v>
      </c>
      <c r="M32" s="8" t="s">
        <v>18</v>
      </c>
      <c r="N32" s="47">
        <v>80.038749999999993</v>
      </c>
      <c r="O32" s="47" t="s">
        <v>18</v>
      </c>
      <c r="P32" s="8">
        <v>96.412499999999994</v>
      </c>
      <c r="Q32" s="54" t="s">
        <v>18</v>
      </c>
    </row>
    <row r="33" spans="9:17" ht="15.75" x14ac:dyDescent="0.25">
      <c r="I33" s="53" t="s">
        <v>94</v>
      </c>
      <c r="J33" s="52">
        <v>36.951250000000002</v>
      </c>
      <c r="K33" s="51" t="s">
        <v>41</v>
      </c>
      <c r="L33" s="51">
        <v>50.387499999999996</v>
      </c>
      <c r="M33" s="8" t="s">
        <v>41</v>
      </c>
      <c r="N33" s="47">
        <v>84.1875</v>
      </c>
      <c r="O33" s="47" t="s">
        <v>41</v>
      </c>
      <c r="P33" s="8">
        <v>98.899999999999991</v>
      </c>
      <c r="Q33" s="54" t="s">
        <v>41</v>
      </c>
    </row>
    <row r="34" spans="9:17" ht="16.5" thickBot="1" x14ac:dyDescent="0.3">
      <c r="I34" s="53" t="s">
        <v>95</v>
      </c>
      <c r="J34" s="52">
        <v>35.651249999999997</v>
      </c>
      <c r="K34" s="51" t="s">
        <v>24</v>
      </c>
      <c r="L34" s="51">
        <v>49.202500000000001</v>
      </c>
      <c r="M34" s="8" t="s">
        <v>24</v>
      </c>
      <c r="N34" s="47">
        <v>82.537499999999994</v>
      </c>
      <c r="O34" s="47" t="s">
        <v>24</v>
      </c>
      <c r="P34" s="8">
        <v>98.673749999999984</v>
      </c>
      <c r="Q34" s="54" t="s">
        <v>24</v>
      </c>
    </row>
    <row r="35" spans="9:17" x14ac:dyDescent="0.25">
      <c r="I35" s="65" t="s">
        <v>50</v>
      </c>
      <c r="J35" s="66">
        <v>2.109529323248124</v>
      </c>
      <c r="K35" s="67"/>
      <c r="L35" s="67">
        <v>1.3885256986520806</v>
      </c>
      <c r="M35" s="67"/>
      <c r="N35" s="68">
        <v>2.2970936215778814</v>
      </c>
      <c r="O35" s="68"/>
      <c r="P35" s="68">
        <v>3.4404580596832992</v>
      </c>
      <c r="Q35" s="69"/>
    </row>
  </sheetData>
  <mergeCells count="8">
    <mergeCell ref="I25:I26"/>
    <mergeCell ref="J25:Q25"/>
    <mergeCell ref="C2:F2"/>
    <mergeCell ref="B2:B3"/>
    <mergeCell ref="J2:Q2"/>
    <mergeCell ref="I2:I3"/>
    <mergeCell ref="I13:I14"/>
    <mergeCell ref="J13:Q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14 HST</vt:lpstr>
      <vt:lpstr>Sheet1</vt:lpstr>
      <vt:lpstr>28 HST</vt:lpstr>
      <vt:lpstr>42 HST</vt:lpstr>
      <vt:lpstr>56 HST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10</dc:creator>
  <cp:lastModifiedBy>win 10</cp:lastModifiedBy>
  <dcterms:created xsi:type="dcterms:W3CDTF">2023-01-25T11:46:57Z</dcterms:created>
  <dcterms:modified xsi:type="dcterms:W3CDTF">2023-03-13T09:42:14Z</dcterms:modified>
</cp:coreProperties>
</file>