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PERHITUNGAN ARTIKEL SKRIPSI\"/>
    </mc:Choice>
  </mc:AlternateContent>
  <xr:revisionPtr revIDLastSave="0" documentId="13_ncr:1_{9AC6EEB3-DBBB-40B1-874C-F0C0CF91446C}" xr6:coauthVersionLast="47" xr6:coauthVersionMax="47" xr10:uidLastSave="{00000000-0000-0000-0000-000000000000}"/>
  <bookViews>
    <workbookView xWindow="-120" yWindow="-120" windowWidth="20730" windowHeight="11160" xr2:uid="{0CA7A46A-F1BC-47A2-B145-0CE78CDA7998}"/>
  </bookViews>
  <sheets>
    <sheet name="14 HST" sheetId="1" r:id="rId1"/>
    <sheet name="28 HST" sheetId="3" r:id="rId2"/>
    <sheet name="42 HST" sheetId="4" r:id="rId3"/>
    <sheet name="56 HST" sheetId="5" r:id="rId4"/>
    <sheet name="Sheet1" sheetId="6" r:id="rId5"/>
    <sheet name="Sheet2" sheetId="7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7" i="7" l="1"/>
  <c r="S8" i="7"/>
  <c r="S9" i="7"/>
  <c r="S10" i="7"/>
  <c r="S11" i="7"/>
  <c r="S6" i="7"/>
  <c r="I23" i="5"/>
  <c r="H23" i="5"/>
  <c r="J23" i="5" s="1"/>
  <c r="I22" i="5"/>
  <c r="AG20" i="5" s="1"/>
  <c r="H22" i="5"/>
  <c r="AG17" i="5" s="1"/>
  <c r="AG21" i="5"/>
  <c r="AC21" i="5"/>
  <c r="I21" i="5"/>
  <c r="AC19" i="5" s="1"/>
  <c r="H21" i="5"/>
  <c r="J21" i="5" s="1"/>
  <c r="AG19" i="5"/>
  <c r="AG18" i="5"/>
  <c r="AC18" i="5"/>
  <c r="J17" i="5"/>
  <c r="I17" i="5"/>
  <c r="H17" i="5"/>
  <c r="E17" i="5"/>
  <c r="D17" i="5"/>
  <c r="J16" i="5"/>
  <c r="I16" i="5"/>
  <c r="H16" i="5"/>
  <c r="E16" i="5"/>
  <c r="D16" i="5"/>
  <c r="J15" i="5"/>
  <c r="I15" i="5"/>
  <c r="H15" i="5"/>
  <c r="E15" i="5"/>
  <c r="D15" i="5"/>
  <c r="D18" i="5" s="1"/>
  <c r="J14" i="5"/>
  <c r="J18" i="5" s="1"/>
  <c r="I14" i="5"/>
  <c r="H14" i="5"/>
  <c r="H18" i="5" s="1"/>
  <c r="E14" i="5"/>
  <c r="E18" i="5" s="1"/>
  <c r="D14" i="5"/>
  <c r="V12" i="5"/>
  <c r="U12" i="5"/>
  <c r="V10" i="5"/>
  <c r="U10" i="5"/>
  <c r="J10" i="5"/>
  <c r="J9" i="5"/>
  <c r="J8" i="5"/>
  <c r="V7" i="5"/>
  <c r="U7" i="5"/>
  <c r="J7" i="5"/>
  <c r="M4" i="5"/>
  <c r="I23" i="4"/>
  <c r="AC21" i="4" s="1"/>
  <c r="H23" i="4"/>
  <c r="I22" i="4"/>
  <c r="H22" i="4"/>
  <c r="AG17" i="4" s="1"/>
  <c r="I21" i="4"/>
  <c r="AC19" i="4" s="1"/>
  <c r="H21" i="4"/>
  <c r="J21" i="4" s="1"/>
  <c r="AG20" i="4"/>
  <c r="AC20" i="4"/>
  <c r="AG19" i="4"/>
  <c r="AG18" i="4"/>
  <c r="AC18" i="4"/>
  <c r="J17" i="4"/>
  <c r="I17" i="4"/>
  <c r="H17" i="4"/>
  <c r="E17" i="4"/>
  <c r="D17" i="4"/>
  <c r="AG16" i="4"/>
  <c r="AC16" i="4"/>
  <c r="J16" i="4"/>
  <c r="I16" i="4"/>
  <c r="H16" i="4"/>
  <c r="E16" i="4"/>
  <c r="D16" i="4"/>
  <c r="J15" i="4"/>
  <c r="I15" i="4"/>
  <c r="H15" i="4"/>
  <c r="E15" i="4"/>
  <c r="D15" i="4"/>
  <c r="J14" i="4"/>
  <c r="J18" i="4" s="1"/>
  <c r="I14" i="4"/>
  <c r="H14" i="4"/>
  <c r="E14" i="4"/>
  <c r="D14" i="4"/>
  <c r="D18" i="4" s="1"/>
  <c r="V12" i="4"/>
  <c r="U12" i="4"/>
  <c r="V10" i="4"/>
  <c r="U10" i="4"/>
  <c r="J10" i="4"/>
  <c r="J9" i="4"/>
  <c r="J8" i="4"/>
  <c r="J11" i="4" s="1"/>
  <c r="M5" i="4" s="1"/>
  <c r="V7" i="4"/>
  <c r="U7" i="4"/>
  <c r="J7" i="4"/>
  <c r="M4" i="4"/>
  <c r="I23" i="3"/>
  <c r="H23" i="3"/>
  <c r="J23" i="3" s="1"/>
  <c r="I22" i="3"/>
  <c r="AG20" i="3" s="1"/>
  <c r="H22" i="3"/>
  <c r="AG17" i="3" s="1"/>
  <c r="AG21" i="3"/>
  <c r="AC21" i="3"/>
  <c r="I21" i="3"/>
  <c r="AC19" i="3" s="1"/>
  <c r="H21" i="3"/>
  <c r="J21" i="3" s="1"/>
  <c r="AC20" i="3"/>
  <c r="AG19" i="3"/>
  <c r="AC18" i="3"/>
  <c r="J18" i="3"/>
  <c r="AG11" i="3" s="1"/>
  <c r="J17" i="3"/>
  <c r="I17" i="3"/>
  <c r="H17" i="3"/>
  <c r="E17" i="3"/>
  <c r="D17" i="3"/>
  <c r="AC16" i="3"/>
  <c r="J16" i="3"/>
  <c r="I16" i="3"/>
  <c r="H16" i="3"/>
  <c r="E16" i="3"/>
  <c r="D16" i="3"/>
  <c r="J15" i="3"/>
  <c r="I15" i="3"/>
  <c r="H15" i="3"/>
  <c r="E15" i="3"/>
  <c r="D15" i="3"/>
  <c r="J14" i="3"/>
  <c r="I14" i="3"/>
  <c r="H14" i="3"/>
  <c r="E14" i="3"/>
  <c r="D14" i="3"/>
  <c r="D18" i="3" s="1"/>
  <c r="V12" i="3"/>
  <c r="U12" i="3"/>
  <c r="V10" i="3"/>
  <c r="U10" i="3"/>
  <c r="J10" i="3"/>
  <c r="J9" i="3"/>
  <c r="J8" i="3"/>
  <c r="V7" i="3"/>
  <c r="U7" i="3"/>
  <c r="J7" i="3"/>
  <c r="M4" i="3"/>
  <c r="AG11" i="5" l="1"/>
  <c r="AC11" i="5"/>
  <c r="AG5" i="5"/>
  <c r="AC5" i="5"/>
  <c r="I18" i="5"/>
  <c r="AC16" i="5"/>
  <c r="AC20" i="5"/>
  <c r="J11" i="5"/>
  <c r="M5" i="5" s="1"/>
  <c r="M7" i="5" s="1"/>
  <c r="AG16" i="5"/>
  <c r="AC5" i="4"/>
  <c r="AG5" i="4"/>
  <c r="AG11" i="4"/>
  <c r="AC11" i="4"/>
  <c r="AG21" i="4"/>
  <c r="E18" i="4"/>
  <c r="H18" i="4"/>
  <c r="AC9" i="4" s="1"/>
  <c r="I18" i="4"/>
  <c r="AG10" i="4" s="1"/>
  <c r="J23" i="4"/>
  <c r="AC6" i="5"/>
  <c r="AG6" i="5"/>
  <c r="AC9" i="5"/>
  <c r="AG9" i="5"/>
  <c r="AG10" i="5"/>
  <c r="AC10" i="5"/>
  <c r="AC17" i="5"/>
  <c r="J22" i="5"/>
  <c r="AC6" i="4"/>
  <c r="AG6" i="4"/>
  <c r="M7" i="4"/>
  <c r="M11" i="4"/>
  <c r="Q7" i="4" s="1"/>
  <c r="R7" i="4" s="1"/>
  <c r="M10" i="4"/>
  <c r="Q6" i="4" s="1"/>
  <c r="M9" i="4"/>
  <c r="M6" i="4"/>
  <c r="Q15" i="4"/>
  <c r="M8" i="4"/>
  <c r="AC17" i="4"/>
  <c r="J22" i="4"/>
  <c r="M12" i="4" s="1"/>
  <c r="Q10" i="4" s="1"/>
  <c r="R10" i="4" s="1"/>
  <c r="AG5" i="3"/>
  <c r="AC5" i="3"/>
  <c r="J11" i="3"/>
  <c r="M5" i="3" s="1"/>
  <c r="AG16" i="3"/>
  <c r="AC11" i="3"/>
  <c r="E18" i="3"/>
  <c r="I18" i="3"/>
  <c r="H18" i="3"/>
  <c r="AG9" i="3" s="1"/>
  <c r="M7" i="3"/>
  <c r="M10" i="3"/>
  <c r="Q6" i="3" s="1"/>
  <c r="M9" i="3"/>
  <c r="M8" i="3"/>
  <c r="M11" i="3"/>
  <c r="Q7" i="3" s="1"/>
  <c r="R7" i="3" s="1"/>
  <c r="M6" i="3"/>
  <c r="Q15" i="3"/>
  <c r="AC6" i="3"/>
  <c r="AG6" i="3"/>
  <c r="AG10" i="3"/>
  <c r="AC10" i="3"/>
  <c r="AC9" i="3"/>
  <c r="AC17" i="3"/>
  <c r="AG18" i="3"/>
  <c r="J22" i="3"/>
  <c r="M12" i="3" s="1"/>
  <c r="Q10" i="3" s="1"/>
  <c r="R10" i="3" s="1"/>
  <c r="M9" i="5" l="1"/>
  <c r="M8" i="5"/>
  <c r="M10" i="5"/>
  <c r="Q6" i="5" s="1"/>
  <c r="Q15" i="5"/>
  <c r="M11" i="5"/>
  <c r="Q7" i="5" s="1"/>
  <c r="R7" i="5" s="1"/>
  <c r="M12" i="5"/>
  <c r="Q10" i="5" s="1"/>
  <c r="R10" i="5" s="1"/>
  <c r="M6" i="5"/>
  <c r="AC10" i="4"/>
  <c r="AG9" i="4"/>
  <c r="M15" i="5"/>
  <c r="Q12" i="5" s="1"/>
  <c r="R12" i="5" s="1"/>
  <c r="M13" i="5"/>
  <c r="Q8" i="5" s="1"/>
  <c r="R8" i="5" s="1"/>
  <c r="Z8" i="5" s="1"/>
  <c r="R6" i="5"/>
  <c r="M14" i="5"/>
  <c r="Q11" i="5" s="1"/>
  <c r="R11" i="5" s="1"/>
  <c r="Z11" i="5" s="1"/>
  <c r="M13" i="4"/>
  <c r="Q8" i="4" s="1"/>
  <c r="R8" i="4" s="1"/>
  <c r="Z8" i="4" s="1"/>
  <c r="S7" i="4"/>
  <c r="T7" i="4" s="1"/>
  <c r="M14" i="4"/>
  <c r="Q11" i="4" s="1"/>
  <c r="R11" i="4" s="1"/>
  <c r="Z11" i="4" s="1"/>
  <c r="R6" i="4"/>
  <c r="M15" i="4"/>
  <c r="Q12" i="4" s="1"/>
  <c r="R12" i="4" s="1"/>
  <c r="R6" i="3"/>
  <c r="M15" i="3"/>
  <c r="Q12" i="3" s="1"/>
  <c r="R12" i="3" s="1"/>
  <c r="M14" i="3"/>
  <c r="Q11" i="3" s="1"/>
  <c r="R11" i="3" s="1"/>
  <c r="Z11" i="3" s="1"/>
  <c r="M13" i="3"/>
  <c r="Q8" i="3" s="1"/>
  <c r="R8" i="3" s="1"/>
  <c r="Z8" i="3" s="1"/>
  <c r="AG7" i="5" l="1"/>
  <c r="AC7" i="5"/>
  <c r="AG12" i="5"/>
  <c r="AC12" i="5"/>
  <c r="M16" i="5"/>
  <c r="Q13" i="5" s="1"/>
  <c r="R13" i="5" s="1"/>
  <c r="Z13" i="5" s="1"/>
  <c r="S7" i="5"/>
  <c r="T7" i="5" s="1"/>
  <c r="S10" i="5"/>
  <c r="T10" i="5" s="1"/>
  <c r="AG7" i="4"/>
  <c r="AC7" i="4"/>
  <c r="M16" i="4"/>
  <c r="Q13" i="4" s="1"/>
  <c r="R13" i="4" s="1"/>
  <c r="Z13" i="4" s="1"/>
  <c r="AG12" i="4"/>
  <c r="AC12" i="4"/>
  <c r="S10" i="4"/>
  <c r="T10" i="4" s="1"/>
  <c r="S10" i="3"/>
  <c r="T10" i="3" s="1"/>
  <c r="AG12" i="3"/>
  <c r="AC12" i="3"/>
  <c r="AG7" i="3"/>
  <c r="AC7" i="3"/>
  <c r="S7" i="3"/>
  <c r="T7" i="3" s="1"/>
  <c r="M16" i="3"/>
  <c r="Q13" i="3" s="1"/>
  <c r="R13" i="3" s="1"/>
  <c r="Z13" i="3" s="1"/>
  <c r="Q14" i="4" l="1"/>
  <c r="S12" i="5"/>
  <c r="T12" i="5" s="1"/>
  <c r="Q14" i="5"/>
  <c r="AC22" i="5"/>
  <c r="AG22" i="5"/>
  <c r="S12" i="4"/>
  <c r="T12" i="4" s="1"/>
  <c r="AC22" i="4"/>
  <c r="AG22" i="4"/>
  <c r="S12" i="3"/>
  <c r="T12" i="3" s="1"/>
  <c r="AC22" i="3"/>
  <c r="AG22" i="3"/>
  <c r="Q14" i="3"/>
  <c r="I23" i="1" l="1"/>
  <c r="AG21" i="1" s="1"/>
  <c r="H23" i="1"/>
  <c r="J23" i="1" s="1"/>
  <c r="I22" i="1"/>
  <c r="AG20" i="1" s="1"/>
  <c r="H22" i="1"/>
  <c r="AC21" i="1"/>
  <c r="I21" i="1"/>
  <c r="AC19" i="1" s="1"/>
  <c r="H21" i="1"/>
  <c r="AG19" i="1"/>
  <c r="AC18" i="1"/>
  <c r="AG17" i="1"/>
  <c r="AC17" i="1"/>
  <c r="J17" i="1"/>
  <c r="I17" i="1"/>
  <c r="H17" i="1"/>
  <c r="E17" i="1"/>
  <c r="D17" i="1"/>
  <c r="AG16" i="1"/>
  <c r="AC16" i="1"/>
  <c r="J16" i="1"/>
  <c r="I16" i="1"/>
  <c r="H16" i="1"/>
  <c r="E16" i="1"/>
  <c r="D16" i="1"/>
  <c r="J15" i="1"/>
  <c r="I15" i="1"/>
  <c r="H15" i="1"/>
  <c r="E15" i="1"/>
  <c r="D15" i="1"/>
  <c r="J14" i="1"/>
  <c r="I14" i="1"/>
  <c r="I18" i="1" s="1"/>
  <c r="H14" i="1"/>
  <c r="H18" i="1" s="1"/>
  <c r="E14" i="1"/>
  <c r="D14" i="1"/>
  <c r="V12" i="1"/>
  <c r="U12" i="1"/>
  <c r="V10" i="1"/>
  <c r="U10" i="1"/>
  <c r="J10" i="1"/>
  <c r="J9" i="1"/>
  <c r="J8" i="1"/>
  <c r="V7" i="1"/>
  <c r="U7" i="1"/>
  <c r="J7" i="1"/>
  <c r="M4" i="1"/>
  <c r="AC20" i="1" l="1"/>
  <c r="J21" i="1"/>
  <c r="J22" i="1"/>
  <c r="M12" i="1" s="1"/>
  <c r="Q10" i="1" s="1"/>
  <c r="R10" i="1" s="1"/>
  <c r="D18" i="1"/>
  <c r="AC5" i="1" s="1"/>
  <c r="J18" i="1"/>
  <c r="J11" i="1"/>
  <c r="M5" i="1" s="1"/>
  <c r="M7" i="1" s="1"/>
  <c r="E18" i="1"/>
  <c r="AG6" i="1" s="1"/>
  <c r="AG18" i="1"/>
  <c r="AC9" i="1"/>
  <c r="AG9" i="1"/>
  <c r="AG10" i="1"/>
  <c r="AC10" i="1"/>
  <c r="AC11" i="1"/>
  <c r="AG11" i="1"/>
  <c r="M10" i="1"/>
  <c r="Q6" i="1" s="1"/>
  <c r="M9" i="1"/>
  <c r="M6" i="1"/>
  <c r="M8" i="1"/>
  <c r="Q15" i="1"/>
  <c r="M14" i="1" l="1"/>
  <c r="Q11" i="1" s="1"/>
  <c r="R11" i="1" s="1"/>
  <c r="Z11" i="1" s="1"/>
  <c r="AG12" i="1" s="1"/>
  <c r="AC6" i="1"/>
  <c r="M11" i="1"/>
  <c r="Q7" i="1" s="1"/>
  <c r="R7" i="1" s="1"/>
  <c r="AG5" i="1"/>
  <c r="AC12" i="1"/>
  <c r="R6" i="1"/>
  <c r="S10" i="1"/>
  <c r="T10" i="1" s="1"/>
  <c r="M13" i="1" l="1"/>
  <c r="Q8" i="1" s="1"/>
  <c r="R8" i="1" s="1"/>
  <c r="Z8" i="1" s="1"/>
  <c r="AC7" i="1" s="1"/>
  <c r="M15" i="1"/>
  <c r="Q12" i="1" s="1"/>
  <c r="R12" i="1" s="1"/>
  <c r="M16" i="1"/>
  <c r="Q13" i="1" s="1"/>
  <c r="R13" i="1" s="1"/>
  <c r="Z13" i="1" s="1"/>
  <c r="S7" i="1"/>
  <c r="T7" i="1" s="1"/>
  <c r="AG7" i="1"/>
  <c r="Q14" i="1"/>
  <c r="S12" i="1"/>
  <c r="T12" i="1" s="1"/>
  <c r="AC22" i="1" l="1"/>
  <c r="AG22" i="1"/>
</calcChain>
</file>

<file path=xl/sharedStrings.xml><?xml version="1.0" encoding="utf-8"?>
<sst xmlns="http://schemas.openxmlformats.org/spreadsheetml/2006/main" count="639" uniqueCount="103">
  <si>
    <t>Split Plot RAK 2 Faktor</t>
  </si>
  <si>
    <t>ANOVA</t>
  </si>
  <si>
    <t>F Tabel</t>
  </si>
  <si>
    <t>BNT tabel</t>
  </si>
  <si>
    <t>Petak Anakan</t>
  </si>
  <si>
    <t>T0</t>
  </si>
  <si>
    <t>T1</t>
  </si>
  <si>
    <t>Total</t>
  </si>
  <si>
    <t>EY2</t>
  </si>
  <si>
    <t>Sumber Keragaman</t>
  </si>
  <si>
    <t>dB</t>
  </si>
  <si>
    <t>JK</t>
  </si>
  <si>
    <t>KT</t>
  </si>
  <si>
    <t>Fhitung</t>
  </si>
  <si>
    <r>
      <rPr>
        <sz val="12"/>
        <color theme="1"/>
        <rFont val="Calibri"/>
        <family val="2"/>
      </rPr>
      <t>√</t>
    </r>
    <r>
      <rPr>
        <sz val="12"/>
        <color theme="1"/>
        <rFont val="Times New Roman"/>
        <family val="1"/>
      </rPr>
      <t>(KTG/n)</t>
    </r>
  </si>
  <si>
    <t>Perlakuan</t>
  </si>
  <si>
    <t>FK</t>
  </si>
  <si>
    <t xml:space="preserve">Petak utama </t>
  </si>
  <si>
    <t>Dengan Trichoderma (T0)</t>
  </si>
  <si>
    <t>a</t>
  </si>
  <si>
    <t>E0</t>
  </si>
  <si>
    <t>EB</t>
  </si>
  <si>
    <t>EM</t>
  </si>
  <si>
    <t>Jijk (Total)</t>
  </si>
  <si>
    <t>(Ulangan) Ri</t>
  </si>
  <si>
    <t>Tanpa Trichoderma (T1)</t>
  </si>
  <si>
    <t>b</t>
  </si>
  <si>
    <t>I</t>
  </si>
  <si>
    <t>Jij</t>
  </si>
  <si>
    <t>(Soil treatment) Aj</t>
  </si>
  <si>
    <t>BNT  1%</t>
  </si>
  <si>
    <t>BNT  5%</t>
  </si>
  <si>
    <t>II</t>
  </si>
  <si>
    <t>Jik</t>
  </si>
  <si>
    <t>(Galat A) RAij</t>
  </si>
  <si>
    <t>III</t>
  </si>
  <si>
    <t>Jjk</t>
  </si>
  <si>
    <t>Anak petak</t>
  </si>
  <si>
    <t>Tanpa Entomopatogen (E0)</t>
  </si>
  <si>
    <t>IV</t>
  </si>
  <si>
    <t>Ry</t>
  </si>
  <si>
    <t>(Penyemprotan)    Pk</t>
  </si>
  <si>
    <t>Beuveria bausiana (EB)</t>
  </si>
  <si>
    <t>c</t>
  </si>
  <si>
    <t>Ay</t>
  </si>
  <si>
    <t>(Galat P)           RPik</t>
  </si>
  <si>
    <t>Metharrhizium anipsoliae (EM)</t>
  </si>
  <si>
    <t>Petak Utama</t>
  </si>
  <si>
    <t>Anak Petak</t>
  </si>
  <si>
    <t>Py</t>
  </si>
  <si>
    <t>(Interaksi AxP) APjk</t>
  </si>
  <si>
    <t>BNT 1%</t>
  </si>
  <si>
    <t>BNT 5%</t>
  </si>
  <si>
    <t>ulangan</t>
  </si>
  <si>
    <t>A0</t>
  </si>
  <si>
    <t>A1</t>
  </si>
  <si>
    <t>Ulangan</t>
  </si>
  <si>
    <t>P0</t>
  </si>
  <si>
    <t>P1</t>
  </si>
  <si>
    <t>P2</t>
  </si>
  <si>
    <t>RAy</t>
  </si>
  <si>
    <t>RAPijk</t>
  </si>
  <si>
    <t>RPy</t>
  </si>
  <si>
    <t>Interaksi</t>
  </si>
  <si>
    <t>APy</t>
  </si>
  <si>
    <t>Faktor koreksi</t>
  </si>
  <si>
    <t>RAPy</t>
  </si>
  <si>
    <t>Keterangan</t>
  </si>
  <si>
    <t>T0E0</t>
  </si>
  <si>
    <t>R = ulangan</t>
  </si>
  <si>
    <t>T0E1</t>
  </si>
  <si>
    <t>A= soil treatment</t>
  </si>
  <si>
    <t>T0E2</t>
  </si>
  <si>
    <t>P=penyemprotan tajuk</t>
  </si>
  <si>
    <t>T1E0</t>
  </si>
  <si>
    <t>d</t>
  </si>
  <si>
    <t>tn</t>
  </si>
  <si>
    <t>Berbeda/Berpengaruh Tidak Nyata</t>
  </si>
  <si>
    <t>T1EB</t>
  </si>
  <si>
    <t>e</t>
  </si>
  <si>
    <t>*</t>
  </si>
  <si>
    <t>Berbeda/Berpengaruh Nyata</t>
  </si>
  <si>
    <t>T1EM</t>
  </si>
  <si>
    <t>**</t>
  </si>
  <si>
    <t>Berbeda/Berpengaruh Sangat Nyata</t>
  </si>
  <si>
    <t>Jumlah DAUN Padi 14 HST</t>
  </si>
  <si>
    <t>Jumlah DAUN Padi 28 HST</t>
  </si>
  <si>
    <t>Jumlah DAUN Padi 42 HST</t>
  </si>
  <si>
    <t>Jumlah DAUN Padi 56 HST</t>
  </si>
  <si>
    <t>Umur</t>
  </si>
  <si>
    <t>14 HST</t>
  </si>
  <si>
    <t>28 HST</t>
  </si>
  <si>
    <t>42 HST</t>
  </si>
  <si>
    <t>56 HST</t>
  </si>
  <si>
    <t>Tanpa Trichoderma (T0)</t>
  </si>
  <si>
    <t>Dengan Trichoderma (T1)</t>
  </si>
  <si>
    <t xml:space="preserve">Anakan Petak </t>
  </si>
  <si>
    <t>Beauveria bassiana (EB)</t>
  </si>
  <si>
    <t>Metharhizium (EM)</t>
  </si>
  <si>
    <t>T0EB</t>
  </si>
  <si>
    <t>T0EM</t>
  </si>
  <si>
    <t xml:space="preserve">Petak Utama </t>
  </si>
  <si>
    <t xml:space="preserve">Ulangan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</si>
</sst>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2"/>
    </font>
    <font>
      <sz val="12"/>
      <color theme="1"/>
      <name val="Calibri"/>
      <family val="2"/>
    </font>
    <font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1" xfId="0" applyFont="1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9" fontId="2" fillId="0" borderId="4" xfId="1" applyFont="1" applyBorder="1" applyAlignment="1">
      <alignment horizontal="center"/>
    </xf>
    <xf numFmtId="9" fontId="2" fillId="0" borderId="0" xfId="0" applyNumberFormat="1" applyFont="1"/>
    <xf numFmtId="0" fontId="4" fillId="0" borderId="0" xfId="0" applyFont="1"/>
    <xf numFmtId="9" fontId="2" fillId="0" borderId="5" xfId="0" applyNumberFormat="1" applyFont="1" applyBorder="1"/>
    <xf numFmtId="0" fontId="2" fillId="0" borderId="5" xfId="0" applyFont="1" applyBorder="1"/>
    <xf numFmtId="0" fontId="2" fillId="3" borderId="0" xfId="0" applyFont="1" applyFill="1"/>
    <xf numFmtId="2" fontId="2" fillId="0" borderId="1" xfId="0" applyNumberFormat="1" applyFont="1" applyBorder="1"/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/>
    </xf>
    <xf numFmtId="2" fontId="2" fillId="0" borderId="4" xfId="0" applyNumberFormat="1" applyFont="1" applyBorder="1"/>
    <xf numFmtId="0" fontId="2" fillId="3" borderId="0" xfId="0" applyFont="1" applyFill="1" applyAlignment="1">
      <alignment horizontal="center"/>
    </xf>
    <xf numFmtId="0" fontId="2" fillId="0" borderId="4" xfId="0" applyFont="1" applyBorder="1" applyAlignment="1">
      <alignment horizontal="right"/>
    </xf>
    <xf numFmtId="0" fontId="2" fillId="3" borderId="4" xfId="0" applyFont="1" applyFill="1" applyBorder="1" applyAlignment="1">
      <alignment horizontal="center"/>
    </xf>
    <xf numFmtId="2" fontId="2" fillId="0" borderId="0" xfId="0" applyNumberFormat="1" applyFont="1"/>
    <xf numFmtId="0" fontId="2" fillId="2" borderId="6" xfId="0" applyFont="1" applyFill="1" applyBorder="1" applyAlignment="1">
      <alignment horizontal="center" vertical="center"/>
    </xf>
    <xf numFmtId="2" fontId="2" fillId="0" borderId="5" xfId="0" applyNumberFormat="1" applyFont="1" applyBorder="1"/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4" fontId="2" fillId="0" borderId="4" xfId="0" applyNumberFormat="1" applyFont="1" applyBorder="1"/>
    <xf numFmtId="0" fontId="2" fillId="3" borderId="4" xfId="0" applyFont="1" applyFill="1" applyBorder="1"/>
    <xf numFmtId="0" fontId="2" fillId="0" borderId="5" xfId="0" applyFont="1" applyBorder="1" applyAlignment="1">
      <alignment horizontal="right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3" fillId="0" borderId="0" xfId="0" applyFont="1" applyAlignment="1">
      <alignment horizontal="center"/>
    </xf>
    <xf numFmtId="9" fontId="7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/>
    <xf numFmtId="0" fontId="7" fillId="0" borderId="7" xfId="0" applyFont="1" applyBorder="1"/>
    <xf numFmtId="0" fontId="8" fillId="0" borderId="18" xfId="0" applyFont="1" applyBorder="1"/>
    <xf numFmtId="0" fontId="7" fillId="0" borderId="0" xfId="0" applyFont="1"/>
    <xf numFmtId="0" fontId="7" fillId="0" borderId="19" xfId="0" applyFont="1" applyBorder="1"/>
    <xf numFmtId="0" fontId="7" fillId="0" borderId="18" xfId="0" applyFont="1" applyBorder="1" applyAlignment="1">
      <alignment horizontal="left" vertical="top"/>
    </xf>
    <xf numFmtId="0" fontId="7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2" fontId="7" fillId="0" borderId="21" xfId="0" applyNumberFormat="1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1" xfId="0" applyFont="1" applyBorder="1"/>
    <xf numFmtId="0" fontId="7" fillId="0" borderId="22" xfId="0" applyFont="1" applyBorder="1"/>
    <xf numFmtId="0" fontId="8" fillId="0" borderId="18" xfId="0" applyFont="1" applyBorder="1" applyAlignment="1">
      <alignment horizontal="left" vertical="top"/>
    </xf>
    <xf numFmtId="0" fontId="7" fillId="0" borderId="23" xfId="0" applyFont="1" applyBorder="1" applyAlignment="1">
      <alignment horizontal="center" vertical="center"/>
    </xf>
    <xf numFmtId="2" fontId="7" fillId="0" borderId="24" xfId="0" applyNumberFormat="1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4" xfId="0" applyFont="1" applyBorder="1"/>
    <xf numFmtId="0" fontId="7" fillId="0" borderId="25" xfId="0" applyFont="1" applyBorder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24" xfId="0" applyFont="1" applyBorder="1" applyAlignment="1">
      <alignment vertical="center"/>
    </xf>
    <xf numFmtId="0" fontId="9" fillId="3" borderId="26" xfId="0" applyFont="1" applyFill="1" applyBorder="1" applyAlignment="1">
      <alignment vertical="center"/>
    </xf>
    <xf numFmtId="0" fontId="9" fillId="3" borderId="26" xfId="0" applyFont="1" applyFill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9" fontId="7" fillId="0" borderId="16" xfId="0" applyNumberFormat="1" applyFont="1" applyBorder="1" applyAlignment="1">
      <alignment horizontal="center" vertical="center"/>
    </xf>
    <xf numFmtId="9" fontId="7" fillId="0" borderId="17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9" fillId="0" borderId="24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0" fontId="7" fillId="0" borderId="0" xfId="0" applyFont="1" applyBorder="1"/>
    <xf numFmtId="0" fontId="10" fillId="0" borderId="0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1EED5-0AB4-496F-94CA-C88EB0AD1EFF}">
  <dimension ref="B1:AH52"/>
  <sheetViews>
    <sheetView tabSelected="1" topLeftCell="P10" workbookViewId="0">
      <selection activeCell="AB14" sqref="AB14:AD22"/>
    </sheetView>
  </sheetViews>
  <sheetFormatPr defaultRowHeight="15.75" x14ac:dyDescent="0.25"/>
  <cols>
    <col min="1" max="1" width="9.140625" style="1"/>
    <col min="2" max="2" width="11.42578125" style="1" customWidth="1"/>
    <col min="3" max="4" width="9.140625" style="1"/>
    <col min="5" max="5" width="9.7109375" style="1" bestFit="1" customWidth="1"/>
    <col min="6" max="8" width="9.140625" style="1"/>
    <col min="9" max="9" width="9.140625" style="1" customWidth="1"/>
    <col min="10" max="11" width="9.140625" style="1"/>
    <col min="12" max="12" width="10.7109375" style="1" customWidth="1"/>
    <col min="13" max="13" width="10.140625" style="1" bestFit="1" customWidth="1"/>
    <col min="14" max="14" width="9.140625" style="1"/>
    <col min="15" max="15" width="19.28515625" style="1" customWidth="1"/>
    <col min="16" max="16" width="5.28515625" style="1" customWidth="1"/>
    <col min="17" max="19" width="9.140625" style="1"/>
    <col min="20" max="20" width="3.28515625" style="1" customWidth="1"/>
    <col min="21" max="26" width="9.140625" style="1"/>
    <col min="27" max="27" width="3.140625" style="1" customWidth="1"/>
    <col min="28" max="28" width="27.140625" style="1" customWidth="1"/>
    <col min="29" max="29" width="8.140625" style="1" customWidth="1"/>
    <col min="30" max="30" width="3.140625" style="1" customWidth="1"/>
    <col min="31" max="31" width="2.7109375" style="1" customWidth="1"/>
    <col min="32" max="32" width="28.28515625" style="1" customWidth="1"/>
    <col min="33" max="33" width="7.85546875" style="1" customWidth="1"/>
    <col min="34" max="34" width="3.140625" style="1" customWidth="1"/>
    <col min="35" max="16384" width="9.140625" style="1"/>
  </cols>
  <sheetData>
    <row r="1" spans="3:34" x14ac:dyDescent="0.25">
      <c r="D1" s="70" t="s">
        <v>0</v>
      </c>
      <c r="E1" s="70"/>
      <c r="F1" s="70"/>
      <c r="G1" s="70"/>
    </row>
    <row r="2" spans="3:34" x14ac:dyDescent="0.25">
      <c r="D2" s="71" t="s">
        <v>85</v>
      </c>
      <c r="E2" s="71"/>
      <c r="F2" s="71"/>
      <c r="G2" s="71"/>
      <c r="O2" s="1" t="s">
        <v>1</v>
      </c>
    </row>
    <row r="3" spans="3:34" x14ac:dyDescent="0.25">
      <c r="O3" s="4"/>
      <c r="P3" s="4"/>
      <c r="Q3" s="4"/>
      <c r="R3" s="4"/>
      <c r="S3" s="4"/>
      <c r="T3" s="4"/>
      <c r="U3" s="72" t="s">
        <v>2</v>
      </c>
      <c r="V3" s="72"/>
      <c r="X3" s="72" t="s">
        <v>3</v>
      </c>
      <c r="Y3" s="72"/>
      <c r="AB3" s="70"/>
      <c r="AC3" s="70"/>
    </row>
    <row r="4" spans="3:34" ht="31.5" customHeight="1" x14ac:dyDescent="0.25">
      <c r="C4" s="77" t="s">
        <v>4</v>
      </c>
      <c r="D4" s="73" t="s">
        <v>5</v>
      </c>
      <c r="E4" s="73"/>
      <c r="F4" s="73"/>
      <c r="G4" s="73" t="s">
        <v>6</v>
      </c>
      <c r="H4" s="73"/>
      <c r="I4" s="74"/>
      <c r="J4" s="78" t="s">
        <v>7</v>
      </c>
      <c r="K4" s="8">
        <v>4</v>
      </c>
      <c r="L4" s="8" t="s">
        <v>8</v>
      </c>
      <c r="M4" s="8">
        <f>SUMSQ(D7:I10)</f>
        <v>1947.6346000000003</v>
      </c>
      <c r="O4" s="9" t="s">
        <v>9</v>
      </c>
      <c r="P4" s="10" t="s">
        <v>10</v>
      </c>
      <c r="Q4" s="9" t="s">
        <v>11</v>
      </c>
      <c r="R4" s="9" t="s">
        <v>12</v>
      </c>
      <c r="S4" s="9" t="s">
        <v>13</v>
      </c>
      <c r="T4" s="9"/>
      <c r="U4" s="11">
        <v>0.05</v>
      </c>
      <c r="V4" s="11">
        <v>0.01</v>
      </c>
      <c r="X4" s="12">
        <v>0.05</v>
      </c>
      <c r="Y4" s="12">
        <v>0.01</v>
      </c>
      <c r="Z4" s="13" t="s">
        <v>14</v>
      </c>
      <c r="AA4" s="13"/>
      <c r="AB4" s="14" t="s">
        <v>15</v>
      </c>
      <c r="AC4" s="14"/>
      <c r="AD4" s="15"/>
      <c r="AF4" s="14" t="s">
        <v>15</v>
      </c>
      <c r="AG4" s="14"/>
      <c r="AH4" s="15"/>
    </row>
    <row r="5" spans="3:34" x14ac:dyDescent="0.25">
      <c r="C5" s="77"/>
      <c r="D5" s="73"/>
      <c r="E5" s="73"/>
      <c r="F5" s="73"/>
      <c r="G5" s="73"/>
      <c r="H5" s="73"/>
      <c r="I5" s="74"/>
      <c r="J5" s="78"/>
      <c r="K5" s="8">
        <v>5</v>
      </c>
      <c r="L5" s="8" t="s">
        <v>16</v>
      </c>
      <c r="M5" s="8">
        <f>(J11^2)/24</f>
        <v>1887.890816666667</v>
      </c>
      <c r="O5" s="1" t="s">
        <v>17</v>
      </c>
      <c r="T5" s="16"/>
      <c r="AB5" s="4" t="s">
        <v>18</v>
      </c>
      <c r="AC5" s="17">
        <f>D18/12</f>
        <v>7.8075000000000001</v>
      </c>
      <c r="AD5" s="4" t="s">
        <v>19</v>
      </c>
      <c r="AF5" s="4" t="s">
        <v>18</v>
      </c>
      <c r="AG5" s="17">
        <f>D18/12</f>
        <v>7.8075000000000001</v>
      </c>
      <c r="AH5" s="4" t="s">
        <v>19</v>
      </c>
    </row>
    <row r="6" spans="3:34" x14ac:dyDescent="0.25">
      <c r="C6" s="77"/>
      <c r="D6" s="5" t="s">
        <v>20</v>
      </c>
      <c r="E6" s="5" t="s">
        <v>21</v>
      </c>
      <c r="F6" s="5" t="s">
        <v>22</v>
      </c>
      <c r="G6" s="5" t="s">
        <v>20</v>
      </c>
      <c r="H6" s="5" t="s">
        <v>21</v>
      </c>
      <c r="I6" s="6" t="s">
        <v>22</v>
      </c>
      <c r="J6" s="78"/>
      <c r="K6" s="8">
        <v>6</v>
      </c>
      <c r="L6" s="8" t="s">
        <v>23</v>
      </c>
      <c r="M6" s="18">
        <f>SUMSQ(D7:I10)-M5</f>
        <v>59.74378333333334</v>
      </c>
      <c r="N6" s="2"/>
      <c r="O6" s="19" t="s">
        <v>24</v>
      </c>
      <c r="P6" s="2">
        <v>3</v>
      </c>
      <c r="Q6" s="1">
        <f>M10</f>
        <v>3.6583333333283008E-2</v>
      </c>
      <c r="R6" s="1">
        <f>Q6/P6</f>
        <v>1.2194444444427669E-2</v>
      </c>
      <c r="T6" s="16"/>
      <c r="AB6" s="9" t="s">
        <v>25</v>
      </c>
      <c r="AC6" s="20">
        <f>E18/12</f>
        <v>9.9308333333333323</v>
      </c>
      <c r="AD6" s="9" t="s">
        <v>26</v>
      </c>
      <c r="AF6" s="9" t="s">
        <v>25</v>
      </c>
      <c r="AG6" s="20">
        <f>E18/12</f>
        <v>9.9308333333333323</v>
      </c>
      <c r="AH6" s="9" t="s">
        <v>26</v>
      </c>
    </row>
    <row r="7" spans="3:34" x14ac:dyDescent="0.25">
      <c r="C7" s="5" t="s">
        <v>27</v>
      </c>
      <c r="D7" s="5">
        <v>7.42</v>
      </c>
      <c r="E7" s="5">
        <v>8.5</v>
      </c>
      <c r="F7" s="5">
        <v>8.2200000000000006</v>
      </c>
      <c r="G7" s="5">
        <v>7.99</v>
      </c>
      <c r="H7" s="5">
        <v>11.17</v>
      </c>
      <c r="I7" s="6">
        <v>9.92</v>
      </c>
      <c r="J7" s="7">
        <f>SUM(D7:I7)</f>
        <v>53.220000000000006</v>
      </c>
      <c r="K7" s="8">
        <v>7</v>
      </c>
      <c r="L7" s="8" t="s">
        <v>28</v>
      </c>
      <c r="M7" s="8">
        <f>(SUMSQ(D14:E17)/3)-M5</f>
        <v>27.735516666666399</v>
      </c>
      <c r="O7" s="19" t="s">
        <v>29</v>
      </c>
      <c r="P7" s="2">
        <v>1</v>
      </c>
      <c r="Q7" s="1">
        <f>M11</f>
        <v>27.051266666666152</v>
      </c>
      <c r="R7" s="1">
        <f>Q7/P7</f>
        <v>27.051266666666152</v>
      </c>
      <c r="S7" s="1">
        <f>R7/R8</f>
        <v>125.30180133807691</v>
      </c>
      <c r="T7" s="21" t="str">
        <f>IF(S7&lt;U7,"tn",IF(S7&lt;V7,"*","**"))</f>
        <v>**</v>
      </c>
      <c r="U7" s="1">
        <f>FINV(0.05,P7,P8)</f>
        <v>10.127964486013932</v>
      </c>
      <c r="V7" s="1">
        <f>FINV(0.01,P7,P8)</f>
        <v>34.116221564529795</v>
      </c>
      <c r="AB7" s="9" t="s">
        <v>30</v>
      </c>
      <c r="AC7" s="20">
        <f>Y8*Z8</f>
        <v>1.3569765921897277</v>
      </c>
      <c r="AD7" s="9"/>
      <c r="AF7" s="9" t="s">
        <v>31</v>
      </c>
      <c r="AG7" s="20">
        <f>X8*Z8</f>
        <v>0.73923977338601499</v>
      </c>
      <c r="AH7" s="9"/>
    </row>
    <row r="8" spans="3:34" x14ac:dyDescent="0.25">
      <c r="C8" s="5" t="s">
        <v>32</v>
      </c>
      <c r="D8" s="5">
        <v>6.92</v>
      </c>
      <c r="E8" s="5">
        <v>8.33</v>
      </c>
      <c r="F8" s="5">
        <v>8.08</v>
      </c>
      <c r="G8" s="5">
        <v>8.1999999999999993</v>
      </c>
      <c r="H8" s="5">
        <v>11.05</v>
      </c>
      <c r="I8" s="6">
        <v>10.98</v>
      </c>
      <c r="J8" s="7">
        <f t="shared" ref="J8:J10" si="0">SUM(D8:I8)</f>
        <v>53.56</v>
      </c>
      <c r="K8" s="8">
        <v>8</v>
      </c>
      <c r="L8" s="8" t="s">
        <v>33</v>
      </c>
      <c r="M8" s="8">
        <f>(SUMSQ(H14:J17)/2)-M5</f>
        <v>29.33658333333301</v>
      </c>
      <c r="O8" s="22" t="s">
        <v>34</v>
      </c>
      <c r="P8" s="10">
        <v>3</v>
      </c>
      <c r="Q8" s="9">
        <f>M13</f>
        <v>0.64766666666696437</v>
      </c>
      <c r="R8" s="9">
        <f>Q8/P8</f>
        <v>0.21588888888898813</v>
      </c>
      <c r="S8" s="9"/>
      <c r="T8" s="23"/>
      <c r="U8" s="9"/>
      <c r="V8" s="9"/>
      <c r="X8" s="1">
        <v>3.1819999999999999</v>
      </c>
      <c r="Y8" s="1">
        <v>5.8410000000000002</v>
      </c>
      <c r="Z8" s="1">
        <f>SQRT(R8/4)</f>
        <v>0.23231922482275769</v>
      </c>
      <c r="AC8" s="24"/>
      <c r="AG8" s="24"/>
    </row>
    <row r="9" spans="3:34" x14ac:dyDescent="0.25">
      <c r="C9" s="5" t="s">
        <v>35</v>
      </c>
      <c r="D9" s="5">
        <v>6.42</v>
      </c>
      <c r="E9" s="5">
        <v>8.6999999999999993</v>
      </c>
      <c r="F9" s="5">
        <v>8.3000000000000007</v>
      </c>
      <c r="G9" s="5">
        <v>7.98</v>
      </c>
      <c r="H9" s="5">
        <v>11.17</v>
      </c>
      <c r="I9" s="6">
        <v>10.33</v>
      </c>
      <c r="J9" s="7">
        <f t="shared" si="0"/>
        <v>52.9</v>
      </c>
      <c r="K9" s="8">
        <v>9</v>
      </c>
      <c r="L9" s="8" t="s">
        <v>36</v>
      </c>
      <c r="M9" s="8">
        <f>(SUMSQ(H21:I23)/4)-M5</f>
        <v>57.553783333332831</v>
      </c>
      <c r="O9" s="1" t="s">
        <v>37</v>
      </c>
      <c r="P9" s="2"/>
      <c r="T9" s="21"/>
      <c r="AB9" s="4" t="s">
        <v>38</v>
      </c>
      <c r="AC9" s="17">
        <f>H18/8</f>
        <v>7.3737500000000002</v>
      </c>
      <c r="AD9" s="4" t="s">
        <v>19</v>
      </c>
      <c r="AF9" s="4" t="s">
        <v>38</v>
      </c>
      <c r="AG9" s="17">
        <f>H18/8</f>
        <v>7.3737500000000002</v>
      </c>
      <c r="AH9" s="4" t="s">
        <v>19</v>
      </c>
    </row>
    <row r="10" spans="3:34" x14ac:dyDescent="0.25">
      <c r="C10" s="5" t="s">
        <v>39</v>
      </c>
      <c r="D10" s="5">
        <v>6.08</v>
      </c>
      <c r="E10" s="5">
        <v>8.5</v>
      </c>
      <c r="F10" s="5">
        <v>8.2200000000000006</v>
      </c>
      <c r="G10" s="5">
        <v>7.98</v>
      </c>
      <c r="H10" s="5">
        <v>11.9</v>
      </c>
      <c r="I10" s="6">
        <v>10.5</v>
      </c>
      <c r="J10" s="7">
        <f t="shared" si="0"/>
        <v>53.18</v>
      </c>
      <c r="K10" s="8">
        <v>10</v>
      </c>
      <c r="L10" s="8" t="s">
        <v>40</v>
      </c>
      <c r="M10" s="8">
        <f>(SUMSQ(J7:J10)/6)-M5</f>
        <v>3.6583333333283008E-2</v>
      </c>
      <c r="O10" s="19" t="s">
        <v>41</v>
      </c>
      <c r="P10" s="2">
        <v>2</v>
      </c>
      <c r="Q10" s="1">
        <f>M12</f>
        <v>28.25730833333273</v>
      </c>
      <c r="R10" s="1">
        <f t="shared" ref="R10:R13" si="1">Q10/P10</f>
        <v>14.128654166666365</v>
      </c>
      <c r="S10" s="1">
        <f>R10/R11</f>
        <v>81.301047768967834</v>
      </c>
      <c r="T10" s="21" t="str">
        <f>IF(S10&lt;U10,"tn",IF(S10&lt;V10,"*","**"))</f>
        <v>**</v>
      </c>
      <c r="U10" s="1">
        <f>FINV(0.05,P10,P11)</f>
        <v>5.1432528497847176</v>
      </c>
      <c r="V10" s="1">
        <f>FINV(0.01,P10,P11)</f>
        <v>10.924766500838338</v>
      </c>
      <c r="AB10" s="1" t="s">
        <v>42</v>
      </c>
      <c r="AC10" s="24">
        <f>I18/8</f>
        <v>9.9149999999999991</v>
      </c>
      <c r="AD10" s="1" t="s">
        <v>26</v>
      </c>
      <c r="AF10" s="1" t="s">
        <v>42</v>
      </c>
      <c r="AG10" s="24">
        <f>I18/8</f>
        <v>9.9149999999999991</v>
      </c>
      <c r="AH10" s="1" t="s">
        <v>43</v>
      </c>
    </row>
    <row r="11" spans="3:34" x14ac:dyDescent="0.25">
      <c r="C11" s="8"/>
      <c r="D11" s="8"/>
      <c r="E11" s="8"/>
      <c r="F11" s="8"/>
      <c r="G11" s="8"/>
      <c r="H11" s="8"/>
      <c r="I11" s="8"/>
      <c r="J11" s="25">
        <f>SUM(J7:J10)</f>
        <v>212.86</v>
      </c>
      <c r="K11" s="8">
        <v>11</v>
      </c>
      <c r="L11" s="8" t="s">
        <v>44</v>
      </c>
      <c r="M11" s="8">
        <f>(SUMSQ(D18:E18)/12)-M5</f>
        <v>27.051266666666152</v>
      </c>
      <c r="O11" s="19" t="s">
        <v>45</v>
      </c>
      <c r="P11" s="2">
        <v>6</v>
      </c>
      <c r="Q11" s="1">
        <f>M14</f>
        <v>1.0426916666669968</v>
      </c>
      <c r="R11" s="1">
        <f t="shared" si="1"/>
        <v>0.17378194444449946</v>
      </c>
      <c r="T11" s="21"/>
      <c r="X11" s="1">
        <v>4.3029999999999999</v>
      </c>
      <c r="Y11" s="1">
        <v>9.9250000000000007</v>
      </c>
      <c r="Z11" s="1">
        <f>SQRT(R11/4)</f>
        <v>0.20843580813076448</v>
      </c>
      <c r="AB11" s="9" t="s">
        <v>46</v>
      </c>
      <c r="AC11" s="20">
        <f>J18/8</f>
        <v>9.3187500000000014</v>
      </c>
      <c r="AD11" s="9" t="s">
        <v>26</v>
      </c>
      <c r="AF11" s="9" t="s">
        <v>46</v>
      </c>
      <c r="AG11" s="20">
        <f>J18/8</f>
        <v>9.3187500000000014</v>
      </c>
      <c r="AH11" s="9" t="s">
        <v>26</v>
      </c>
    </row>
    <row r="12" spans="3:34" x14ac:dyDescent="0.25">
      <c r="C12" s="73" t="s">
        <v>47</v>
      </c>
      <c r="D12" s="73"/>
      <c r="E12" s="73"/>
      <c r="F12" s="8"/>
      <c r="G12" s="74" t="s">
        <v>48</v>
      </c>
      <c r="H12" s="75"/>
      <c r="I12" s="75"/>
      <c r="J12" s="76"/>
      <c r="K12" s="8">
        <v>12</v>
      </c>
      <c r="L12" s="8" t="s">
        <v>49</v>
      </c>
      <c r="M12" s="8">
        <f>(SUMSQ(J21:J23)/8)-M5</f>
        <v>28.25730833333273</v>
      </c>
      <c r="O12" s="19" t="s">
        <v>50</v>
      </c>
      <c r="P12" s="2">
        <v>2</v>
      </c>
      <c r="Q12" s="1">
        <f>M15</f>
        <v>2.2452083333339488</v>
      </c>
      <c r="R12" s="1">
        <f t="shared" si="1"/>
        <v>1.1226041666669744</v>
      </c>
      <c r="S12" s="1">
        <f>R12/R13</f>
        <v>24.243255889297021</v>
      </c>
      <c r="T12" s="21" t="str">
        <f>IF(S12&lt;U12,"tn",IF(S12&lt;V12,"*","**"))</f>
        <v>**</v>
      </c>
      <c r="U12" s="1">
        <f>FINV(0.05,P12,P13)</f>
        <v>4.1028210151304032</v>
      </c>
      <c r="V12" s="1">
        <f>FINV(0.01,P12,P13)</f>
        <v>7.5594321575479011</v>
      </c>
      <c r="AB12" s="15" t="s">
        <v>51</v>
      </c>
      <c r="AC12" s="26">
        <f>Y11*Z11</f>
        <v>2.0687253956978378</v>
      </c>
      <c r="AD12" s="15"/>
      <c r="AF12" s="15" t="s">
        <v>52</v>
      </c>
      <c r="AG12" s="26">
        <f>X11*Z11</f>
        <v>0.8968992823866796</v>
      </c>
      <c r="AH12" s="15"/>
    </row>
    <row r="13" spans="3:34" x14ac:dyDescent="0.25">
      <c r="C13" s="27" t="s">
        <v>53</v>
      </c>
      <c r="D13" s="5" t="s">
        <v>54</v>
      </c>
      <c r="E13" s="28" t="s">
        <v>55</v>
      </c>
      <c r="F13" s="8"/>
      <c r="G13" s="5" t="s">
        <v>56</v>
      </c>
      <c r="H13" s="5" t="s">
        <v>57</v>
      </c>
      <c r="I13" s="5" t="s">
        <v>58</v>
      </c>
      <c r="J13" s="5" t="s">
        <v>59</v>
      </c>
      <c r="K13" s="8">
        <v>13</v>
      </c>
      <c r="L13" s="8" t="s">
        <v>60</v>
      </c>
      <c r="M13" s="8">
        <f>M7-M10-M11</f>
        <v>0.64766666666696437</v>
      </c>
      <c r="O13" s="22" t="s">
        <v>61</v>
      </c>
      <c r="P13" s="10">
        <v>10</v>
      </c>
      <c r="Q13" s="29">
        <f>M16</f>
        <v>0.46305833333326518</v>
      </c>
      <c r="R13" s="9">
        <f t="shared" si="1"/>
        <v>4.6305833333326517E-2</v>
      </c>
      <c r="S13" s="9"/>
      <c r="T13" s="30"/>
      <c r="U13" s="9"/>
      <c r="V13" s="9"/>
      <c r="X13" s="1">
        <v>2.2280000000000002</v>
      </c>
      <c r="Y13" s="1">
        <v>3.169</v>
      </c>
      <c r="Z13" s="1">
        <f>SQRT(R13/5)</f>
        <v>9.6234955534178448E-2</v>
      </c>
    </row>
    <row r="14" spans="3:34" x14ac:dyDescent="0.25">
      <c r="C14" s="27" t="s">
        <v>27</v>
      </c>
      <c r="D14" s="5">
        <f>SUM(D7:F7)</f>
        <v>24.14</v>
      </c>
      <c r="E14" s="28">
        <f>SUM(G7:I7)</f>
        <v>29.08</v>
      </c>
      <c r="F14" s="8"/>
      <c r="G14" s="5" t="s">
        <v>27</v>
      </c>
      <c r="H14" s="5">
        <f>D7+G7</f>
        <v>15.41</v>
      </c>
      <c r="I14" s="5">
        <f>E7+H7</f>
        <v>19.670000000000002</v>
      </c>
      <c r="J14" s="5">
        <f>F7+I7</f>
        <v>18.14</v>
      </c>
      <c r="K14" s="8">
        <v>14</v>
      </c>
      <c r="L14" s="8" t="s">
        <v>62</v>
      </c>
      <c r="M14" s="8">
        <f>M8-M10-M12</f>
        <v>1.0426916666669968</v>
      </c>
      <c r="O14" s="31" t="s">
        <v>7</v>
      </c>
      <c r="P14" s="15"/>
      <c r="Q14" s="15">
        <f>SUM(Q6:Q13)</f>
        <v>59.74378333333334</v>
      </c>
      <c r="R14" s="15"/>
      <c r="S14" s="15"/>
      <c r="T14" s="15"/>
      <c r="U14" s="15"/>
      <c r="V14" s="15"/>
      <c r="AB14" s="3" t="s">
        <v>63</v>
      </c>
      <c r="AF14" s="3" t="s">
        <v>63</v>
      </c>
    </row>
    <row r="15" spans="3:34" x14ac:dyDescent="0.25">
      <c r="C15" s="27" t="s">
        <v>32</v>
      </c>
      <c r="D15" s="5">
        <f>SUM(D8:F8)</f>
        <v>23.33</v>
      </c>
      <c r="E15" s="28">
        <f t="shared" ref="E15:E17" si="2">SUM(G8:I8)</f>
        <v>30.23</v>
      </c>
      <c r="F15" s="8"/>
      <c r="G15" s="5" t="s">
        <v>32</v>
      </c>
      <c r="H15" s="5">
        <f t="shared" ref="H15:J17" si="3">D8+G8</f>
        <v>15.12</v>
      </c>
      <c r="I15" s="5">
        <f t="shared" si="3"/>
        <v>19.380000000000003</v>
      </c>
      <c r="J15" s="5">
        <f t="shared" si="3"/>
        <v>19.060000000000002</v>
      </c>
      <c r="K15" s="8">
        <v>15</v>
      </c>
      <c r="L15" s="8" t="s">
        <v>64</v>
      </c>
      <c r="M15" s="8">
        <f>M9-M11-M12</f>
        <v>2.2452083333339488</v>
      </c>
      <c r="O15" s="19" t="s">
        <v>65</v>
      </c>
      <c r="Q15" s="1">
        <f>M5</f>
        <v>1887.890816666667</v>
      </c>
      <c r="AB15" s="15" t="s">
        <v>15</v>
      </c>
      <c r="AC15" s="15"/>
      <c r="AD15" s="15"/>
      <c r="AF15" s="15" t="s">
        <v>15</v>
      </c>
      <c r="AG15" s="15"/>
      <c r="AH15" s="15"/>
    </row>
    <row r="16" spans="3:34" x14ac:dyDescent="0.25">
      <c r="C16" s="27" t="s">
        <v>35</v>
      </c>
      <c r="D16" s="5">
        <f>SUM(D9:F9)</f>
        <v>23.42</v>
      </c>
      <c r="E16" s="28">
        <f t="shared" si="2"/>
        <v>29.479999999999997</v>
      </c>
      <c r="F16" s="8"/>
      <c r="G16" s="5" t="s">
        <v>35</v>
      </c>
      <c r="H16" s="5">
        <f t="shared" si="3"/>
        <v>14.4</v>
      </c>
      <c r="I16" s="5">
        <f t="shared" si="3"/>
        <v>19.869999999999997</v>
      </c>
      <c r="J16" s="5">
        <f t="shared" si="3"/>
        <v>18.630000000000003</v>
      </c>
      <c r="K16" s="8">
        <v>16</v>
      </c>
      <c r="L16" s="8" t="s">
        <v>66</v>
      </c>
      <c r="M16" s="18">
        <f>M6-M10-M11-M12-M13-M14-M15</f>
        <v>0.46305833333326518</v>
      </c>
      <c r="O16" s="1" t="s">
        <v>67</v>
      </c>
      <c r="AB16" s="4" t="s">
        <v>68</v>
      </c>
      <c r="AC16" s="17">
        <f>H21/4</f>
        <v>6.7099999999999991</v>
      </c>
      <c r="AD16" s="1" t="s">
        <v>19</v>
      </c>
      <c r="AF16" s="4" t="s">
        <v>68</v>
      </c>
      <c r="AG16" s="17">
        <f>H21/4</f>
        <v>6.7099999999999991</v>
      </c>
      <c r="AH16" s="4" t="s">
        <v>19</v>
      </c>
    </row>
    <row r="17" spans="2:34" x14ac:dyDescent="0.25">
      <c r="C17" s="27" t="s">
        <v>39</v>
      </c>
      <c r="D17" s="5">
        <f>SUM(D10:F10)</f>
        <v>22.8</v>
      </c>
      <c r="E17" s="28">
        <f t="shared" si="2"/>
        <v>30.380000000000003</v>
      </c>
      <c r="F17" s="8"/>
      <c r="G17" s="5" t="s">
        <v>39</v>
      </c>
      <c r="H17" s="5">
        <f t="shared" si="3"/>
        <v>14.06</v>
      </c>
      <c r="I17" s="5">
        <f t="shared" si="3"/>
        <v>20.399999999999999</v>
      </c>
      <c r="J17" s="5">
        <f t="shared" si="3"/>
        <v>18.72</v>
      </c>
      <c r="K17" s="8"/>
      <c r="L17" s="8"/>
      <c r="M17" s="8"/>
      <c r="O17" s="1" t="s">
        <v>69</v>
      </c>
      <c r="AB17" s="1" t="s">
        <v>70</v>
      </c>
      <c r="AC17" s="24">
        <f>H22/4</f>
        <v>8.5075000000000003</v>
      </c>
      <c r="AD17" s="1" t="s">
        <v>43</v>
      </c>
      <c r="AF17" s="1" t="s">
        <v>70</v>
      </c>
      <c r="AG17" s="24">
        <f>H22/4</f>
        <v>8.5075000000000003</v>
      </c>
      <c r="AH17" s="1" t="s">
        <v>43</v>
      </c>
    </row>
    <row r="18" spans="2:34" ht="16.5" thickBot="1" x14ac:dyDescent="0.3">
      <c r="C18" s="32"/>
      <c r="D18" s="33">
        <f>SUM(D14:D17)</f>
        <v>93.69</v>
      </c>
      <c r="E18" s="34">
        <f>SUM(E14:E17)</f>
        <v>119.16999999999999</v>
      </c>
      <c r="F18" s="8"/>
      <c r="G18" s="8"/>
      <c r="H18" s="8">
        <f>SUM(H14:H17)</f>
        <v>58.99</v>
      </c>
      <c r="I18" s="8">
        <f t="shared" ref="I18:J18" si="4">SUM(I14:I17)</f>
        <v>79.319999999999993</v>
      </c>
      <c r="J18" s="8">
        <f t="shared" si="4"/>
        <v>74.550000000000011</v>
      </c>
      <c r="K18" s="8"/>
      <c r="L18" s="8"/>
      <c r="M18" s="8"/>
      <c r="O18" s="1" t="s">
        <v>71</v>
      </c>
      <c r="AB18" s="1" t="s">
        <v>72</v>
      </c>
      <c r="AC18" s="24">
        <f>H23/4</f>
        <v>8.2050000000000001</v>
      </c>
      <c r="AD18" s="1" t="s">
        <v>26</v>
      </c>
      <c r="AF18" s="1" t="s">
        <v>72</v>
      </c>
      <c r="AG18" s="24">
        <f>H23/4</f>
        <v>8.2050000000000001</v>
      </c>
      <c r="AH18" s="1" t="s">
        <v>26</v>
      </c>
    </row>
    <row r="19" spans="2:34" ht="16.5" thickBot="1" x14ac:dyDescent="0.3">
      <c r="C19" s="8"/>
      <c r="D19" s="8"/>
      <c r="E19" s="8"/>
      <c r="F19" s="8"/>
      <c r="G19" s="8"/>
      <c r="H19" s="35" t="s">
        <v>63</v>
      </c>
      <c r="I19" s="8"/>
      <c r="J19" s="8"/>
      <c r="K19" s="8"/>
      <c r="L19" s="8"/>
      <c r="M19" s="8"/>
      <c r="O19" s="1" t="s">
        <v>73</v>
      </c>
      <c r="AB19" s="1" t="s">
        <v>74</v>
      </c>
      <c r="AC19" s="24">
        <f>I21/4</f>
        <v>8.0374999999999996</v>
      </c>
      <c r="AD19" s="1" t="s">
        <v>75</v>
      </c>
      <c r="AF19" s="1" t="s">
        <v>74</v>
      </c>
      <c r="AG19" s="24">
        <f>I21/4</f>
        <v>8.0374999999999996</v>
      </c>
      <c r="AH19" s="1" t="s">
        <v>75</v>
      </c>
    </row>
    <row r="20" spans="2:34" x14ac:dyDescent="0.25">
      <c r="C20" s="8"/>
      <c r="D20" s="8"/>
      <c r="E20" s="8"/>
      <c r="F20" s="8"/>
      <c r="G20" s="36"/>
      <c r="H20" s="37" t="s">
        <v>5</v>
      </c>
      <c r="I20" s="37" t="s">
        <v>6</v>
      </c>
      <c r="J20" s="38"/>
      <c r="K20" s="8"/>
      <c r="L20" s="8"/>
      <c r="M20" s="8"/>
      <c r="O20" s="1" t="s">
        <v>76</v>
      </c>
      <c r="P20" s="1" t="s">
        <v>77</v>
      </c>
      <c r="AB20" s="1" t="s">
        <v>78</v>
      </c>
      <c r="AC20" s="24">
        <f>I22/4</f>
        <v>11.3225</v>
      </c>
      <c r="AD20" s="1" t="s">
        <v>79</v>
      </c>
      <c r="AF20" s="1" t="s">
        <v>78</v>
      </c>
      <c r="AG20" s="24">
        <f>I22/4</f>
        <v>11.3225</v>
      </c>
      <c r="AH20" s="1" t="s">
        <v>79</v>
      </c>
    </row>
    <row r="21" spans="2:34" x14ac:dyDescent="0.25">
      <c r="C21" s="8"/>
      <c r="D21" s="8"/>
      <c r="E21" s="8"/>
      <c r="F21" s="8"/>
      <c r="G21" s="27" t="s">
        <v>20</v>
      </c>
      <c r="H21" s="5">
        <f>SUM(D7:D10)</f>
        <v>26.839999999999996</v>
      </c>
      <c r="I21" s="5">
        <f>SUM(G7:G10)</f>
        <v>32.15</v>
      </c>
      <c r="J21" s="28">
        <f>SUM(H21:I21)</f>
        <v>58.989999999999995</v>
      </c>
      <c r="K21" s="8"/>
      <c r="L21" s="8"/>
      <c r="M21" s="8"/>
      <c r="O21" s="1" t="s">
        <v>80</v>
      </c>
      <c r="P21" s="1" t="s">
        <v>81</v>
      </c>
      <c r="AB21" s="1" t="s">
        <v>82</v>
      </c>
      <c r="AC21" s="24">
        <f>I23/4</f>
        <v>10.432499999999999</v>
      </c>
      <c r="AD21" s="1" t="s">
        <v>75</v>
      </c>
      <c r="AF21" s="9" t="s">
        <v>82</v>
      </c>
      <c r="AG21" s="20">
        <f>I23/4</f>
        <v>10.432499999999999</v>
      </c>
      <c r="AH21" s="9" t="s">
        <v>75</v>
      </c>
    </row>
    <row r="22" spans="2:34" x14ac:dyDescent="0.25">
      <c r="C22" s="8"/>
      <c r="D22" s="8"/>
      <c r="E22" s="8"/>
      <c r="F22" s="8"/>
      <c r="G22" s="27" t="s">
        <v>21</v>
      </c>
      <c r="H22" s="5">
        <f>SUM(E7:E10)</f>
        <v>34.03</v>
      </c>
      <c r="I22" s="5">
        <f>SUM(H7:H10)</f>
        <v>45.29</v>
      </c>
      <c r="J22" s="28">
        <f t="shared" ref="J22:J23" si="5">SUM(H22:I22)</f>
        <v>79.319999999999993</v>
      </c>
      <c r="K22" s="8"/>
      <c r="L22" s="8"/>
      <c r="M22" s="8"/>
      <c r="O22" s="1" t="s">
        <v>83</v>
      </c>
      <c r="P22" s="1" t="s">
        <v>84</v>
      </c>
      <c r="AB22" s="15" t="s">
        <v>51</v>
      </c>
      <c r="AC22" s="26">
        <f>Y13*Z13</f>
        <v>0.30496857408781153</v>
      </c>
      <c r="AD22" s="15"/>
      <c r="AF22" s="15" t="s">
        <v>52</v>
      </c>
      <c r="AG22" s="26">
        <f>X13*Z13</f>
        <v>0.21441148093014961</v>
      </c>
      <c r="AH22" s="15"/>
    </row>
    <row r="23" spans="2:34" ht="16.5" thickBot="1" x14ac:dyDescent="0.3">
      <c r="C23" s="8"/>
      <c r="D23" s="8"/>
      <c r="E23" s="8"/>
      <c r="F23" s="8"/>
      <c r="G23" s="32" t="s">
        <v>22</v>
      </c>
      <c r="H23" s="33">
        <f>SUM(F7:F10)</f>
        <v>32.82</v>
      </c>
      <c r="I23" s="33">
        <f>SUM(I7:I10)</f>
        <v>41.73</v>
      </c>
      <c r="J23" s="34">
        <f t="shared" si="5"/>
        <v>74.55</v>
      </c>
      <c r="K23" s="8"/>
      <c r="L23" s="8"/>
      <c r="M23" s="8"/>
    </row>
    <row r="24" spans="2:34" x14ac:dyDescent="0.25">
      <c r="B24" s="70"/>
      <c r="C24" s="70"/>
      <c r="D24" s="70"/>
      <c r="E24" s="70"/>
      <c r="F24" s="70"/>
    </row>
    <row r="25" spans="2:34" x14ac:dyDescent="0.25">
      <c r="B25" s="70"/>
      <c r="C25" s="70"/>
      <c r="D25" s="70"/>
      <c r="E25" s="70"/>
      <c r="F25" s="70"/>
      <c r="G25" s="70"/>
      <c r="H25" s="70"/>
      <c r="I25" s="70"/>
    </row>
    <row r="26" spans="2:34" x14ac:dyDescent="0.25">
      <c r="B26" s="70"/>
      <c r="C26" s="70"/>
      <c r="D26" s="70"/>
      <c r="E26" s="70"/>
      <c r="F26" s="70"/>
      <c r="I26" s="70"/>
    </row>
    <row r="42" spans="6:13" x14ac:dyDescent="0.25">
      <c r="F42" s="39"/>
      <c r="G42" s="40"/>
      <c r="H42" s="39"/>
      <c r="I42" s="39"/>
      <c r="J42" s="39"/>
      <c r="K42" s="39"/>
      <c r="L42" s="41"/>
      <c r="M42" s="8"/>
    </row>
    <row r="43" spans="6:13" x14ac:dyDescent="0.25">
      <c r="F43" s="39"/>
      <c r="G43" s="40"/>
      <c r="H43" s="8"/>
      <c r="I43" s="8"/>
      <c r="J43" s="8"/>
      <c r="K43" s="8"/>
      <c r="L43" s="8"/>
      <c r="M43" s="8"/>
    </row>
    <row r="44" spans="6:13" x14ac:dyDescent="0.25">
      <c r="F44" s="39"/>
      <c r="G44" s="8"/>
      <c r="H44" s="8"/>
      <c r="I44" s="8"/>
      <c r="J44" s="8"/>
      <c r="K44" s="8"/>
      <c r="L44" s="8"/>
    </row>
    <row r="45" spans="6:13" x14ac:dyDescent="0.25">
      <c r="F45" s="39"/>
      <c r="G45" s="8"/>
      <c r="H45" s="8"/>
      <c r="I45" s="8"/>
      <c r="J45" s="8"/>
      <c r="K45" s="8"/>
      <c r="L45" s="8"/>
    </row>
    <row r="46" spans="6:13" x14ac:dyDescent="0.25">
      <c r="F46" s="39"/>
      <c r="G46" s="8"/>
      <c r="H46" s="8"/>
      <c r="I46" s="8"/>
      <c r="J46" s="8"/>
      <c r="K46" s="8"/>
      <c r="L46" s="8"/>
    </row>
    <row r="47" spans="6:13" x14ac:dyDescent="0.25">
      <c r="F47" s="8"/>
      <c r="G47" s="2"/>
      <c r="H47" s="42"/>
      <c r="I47" s="42"/>
      <c r="J47" s="42"/>
      <c r="K47" s="42"/>
      <c r="L47" s="42"/>
    </row>
    <row r="48" spans="6:13" x14ac:dyDescent="0.25">
      <c r="F48" s="39"/>
      <c r="G48" s="8"/>
      <c r="H48" s="2"/>
      <c r="I48" s="2"/>
      <c r="J48" s="2"/>
      <c r="K48" s="2"/>
    </row>
    <row r="49" spans="6:11" x14ac:dyDescent="0.25">
      <c r="F49" s="39"/>
      <c r="G49" s="8"/>
      <c r="H49" s="2"/>
      <c r="I49" s="2"/>
      <c r="J49" s="2"/>
      <c r="K49" s="2"/>
    </row>
    <row r="50" spans="6:11" x14ac:dyDescent="0.25">
      <c r="F50" s="39"/>
      <c r="G50" s="8"/>
      <c r="H50" s="2"/>
      <c r="I50" s="2"/>
      <c r="J50" s="2"/>
      <c r="K50" s="2"/>
    </row>
    <row r="51" spans="6:11" x14ac:dyDescent="0.25">
      <c r="F51" s="2"/>
    </row>
    <row r="52" spans="6:11" x14ac:dyDescent="0.25">
      <c r="F52" s="43"/>
    </row>
  </sheetData>
  <mergeCells count="19">
    <mergeCell ref="G25:H25"/>
    <mergeCell ref="I25:I26"/>
    <mergeCell ref="B24:F24"/>
    <mergeCell ref="B25:B26"/>
    <mergeCell ref="C25:C26"/>
    <mergeCell ref="D25:D26"/>
    <mergeCell ref="E25:E26"/>
    <mergeCell ref="F25:F26"/>
    <mergeCell ref="C12:E12"/>
    <mergeCell ref="G12:J12"/>
    <mergeCell ref="C4:C6"/>
    <mergeCell ref="D4:F5"/>
    <mergeCell ref="G4:I5"/>
    <mergeCell ref="J4:J6"/>
    <mergeCell ref="D1:G1"/>
    <mergeCell ref="D2:G2"/>
    <mergeCell ref="U3:V3"/>
    <mergeCell ref="X3:Y3"/>
    <mergeCell ref="AB3:AC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1B25A-8897-4A14-ABD1-8B24D3274127}">
  <dimension ref="B1:AH52"/>
  <sheetViews>
    <sheetView topLeftCell="P7" workbookViewId="0">
      <selection activeCell="AC16" sqref="AC16:AD22"/>
    </sheetView>
  </sheetViews>
  <sheetFormatPr defaultRowHeight="15.75" x14ac:dyDescent="0.25"/>
  <cols>
    <col min="1" max="1" width="9.140625" style="1"/>
    <col min="2" max="2" width="11.42578125" style="1" customWidth="1"/>
    <col min="3" max="4" width="9.140625" style="1"/>
    <col min="5" max="5" width="9.7109375" style="1" bestFit="1" customWidth="1"/>
    <col min="6" max="8" width="9.140625" style="1"/>
    <col min="9" max="9" width="9.140625" style="1" customWidth="1"/>
    <col min="10" max="11" width="9.140625" style="1"/>
    <col min="12" max="12" width="10.7109375" style="1" customWidth="1"/>
    <col min="13" max="13" width="10.140625" style="1" bestFit="1" customWidth="1"/>
    <col min="14" max="14" width="9.140625" style="1"/>
    <col min="15" max="15" width="19.28515625" style="1" customWidth="1"/>
    <col min="16" max="16" width="5.28515625" style="1" customWidth="1"/>
    <col min="17" max="19" width="9.140625" style="1"/>
    <col min="20" max="20" width="3.28515625" style="1" customWidth="1"/>
    <col min="21" max="26" width="9.140625" style="1"/>
    <col min="27" max="27" width="3.140625" style="1" customWidth="1"/>
    <col min="28" max="28" width="27.140625" style="1" customWidth="1"/>
    <col min="29" max="29" width="8.140625" style="1" customWidth="1"/>
    <col min="30" max="30" width="3.140625" style="1" customWidth="1"/>
    <col min="31" max="31" width="2.7109375" style="1" customWidth="1"/>
    <col min="32" max="32" width="28.28515625" style="1" customWidth="1"/>
    <col min="33" max="33" width="7.85546875" style="1" customWidth="1"/>
    <col min="34" max="34" width="3.140625" style="1" customWidth="1"/>
    <col min="35" max="16384" width="9.140625" style="1"/>
  </cols>
  <sheetData>
    <row r="1" spans="3:34" x14ac:dyDescent="0.25">
      <c r="D1" s="70" t="s">
        <v>0</v>
      </c>
      <c r="E1" s="70"/>
      <c r="F1" s="70"/>
      <c r="G1" s="70"/>
    </row>
    <row r="2" spans="3:34" x14ac:dyDescent="0.25">
      <c r="D2" s="71" t="s">
        <v>86</v>
      </c>
      <c r="E2" s="71"/>
      <c r="F2" s="71"/>
      <c r="G2" s="71"/>
      <c r="O2" s="1" t="s">
        <v>1</v>
      </c>
    </row>
    <row r="3" spans="3:34" x14ac:dyDescent="0.25">
      <c r="O3" s="4"/>
      <c r="P3" s="4"/>
      <c r="Q3" s="4"/>
      <c r="R3" s="4"/>
      <c r="S3" s="4"/>
      <c r="T3" s="4"/>
      <c r="U3" s="72" t="s">
        <v>2</v>
      </c>
      <c r="V3" s="72"/>
      <c r="X3" s="72" t="s">
        <v>3</v>
      </c>
      <c r="Y3" s="72"/>
      <c r="AB3" s="70"/>
      <c r="AC3" s="70"/>
    </row>
    <row r="4" spans="3:34" ht="31.5" customHeight="1" x14ac:dyDescent="0.25">
      <c r="C4" s="77" t="s">
        <v>4</v>
      </c>
      <c r="D4" s="73" t="s">
        <v>5</v>
      </c>
      <c r="E4" s="73"/>
      <c r="F4" s="73"/>
      <c r="G4" s="73" t="s">
        <v>6</v>
      </c>
      <c r="H4" s="73"/>
      <c r="I4" s="74"/>
      <c r="J4" s="78" t="s">
        <v>7</v>
      </c>
      <c r="K4" s="8">
        <v>4</v>
      </c>
      <c r="L4" s="8" t="s">
        <v>8</v>
      </c>
      <c r="M4" s="8">
        <f>SUMSQ(D7:I10)</f>
        <v>14852.919400000001</v>
      </c>
      <c r="O4" s="9" t="s">
        <v>9</v>
      </c>
      <c r="P4" s="10" t="s">
        <v>10</v>
      </c>
      <c r="Q4" s="9" t="s">
        <v>11</v>
      </c>
      <c r="R4" s="9" t="s">
        <v>12</v>
      </c>
      <c r="S4" s="9" t="s">
        <v>13</v>
      </c>
      <c r="T4" s="9"/>
      <c r="U4" s="11">
        <v>0.05</v>
      </c>
      <c r="V4" s="11">
        <v>0.01</v>
      </c>
      <c r="X4" s="12">
        <v>0.05</v>
      </c>
      <c r="Y4" s="12">
        <v>0.01</v>
      </c>
      <c r="Z4" s="13" t="s">
        <v>14</v>
      </c>
      <c r="AA4" s="13"/>
      <c r="AB4" s="14" t="s">
        <v>15</v>
      </c>
      <c r="AC4" s="14"/>
      <c r="AD4" s="15"/>
      <c r="AF4" s="14" t="s">
        <v>15</v>
      </c>
      <c r="AG4" s="14"/>
      <c r="AH4" s="15"/>
    </row>
    <row r="5" spans="3:34" x14ac:dyDescent="0.25">
      <c r="C5" s="77"/>
      <c r="D5" s="73"/>
      <c r="E5" s="73"/>
      <c r="F5" s="73"/>
      <c r="G5" s="73"/>
      <c r="H5" s="73"/>
      <c r="I5" s="74"/>
      <c r="J5" s="78"/>
      <c r="K5" s="8">
        <v>5</v>
      </c>
      <c r="L5" s="8" t="s">
        <v>16</v>
      </c>
      <c r="M5" s="8">
        <f>(J11^2)/24</f>
        <v>14576.038816666669</v>
      </c>
      <c r="O5" s="1" t="s">
        <v>17</v>
      </c>
      <c r="T5" s="16"/>
      <c r="AB5" s="4" t="s">
        <v>18</v>
      </c>
      <c r="AC5" s="17">
        <f>D18/12</f>
        <v>22.55</v>
      </c>
      <c r="AD5" s="4" t="s">
        <v>19</v>
      </c>
      <c r="AF5" s="4" t="s">
        <v>18</v>
      </c>
      <c r="AG5" s="17">
        <f>D18/12</f>
        <v>22.55</v>
      </c>
      <c r="AH5" s="4" t="s">
        <v>19</v>
      </c>
    </row>
    <row r="6" spans="3:34" x14ac:dyDescent="0.25">
      <c r="C6" s="77"/>
      <c r="D6" s="5" t="s">
        <v>20</v>
      </c>
      <c r="E6" s="5" t="s">
        <v>21</v>
      </c>
      <c r="F6" s="5" t="s">
        <v>22</v>
      </c>
      <c r="G6" s="5" t="s">
        <v>20</v>
      </c>
      <c r="H6" s="5" t="s">
        <v>21</v>
      </c>
      <c r="I6" s="6" t="s">
        <v>22</v>
      </c>
      <c r="J6" s="78"/>
      <c r="K6" s="8">
        <v>6</v>
      </c>
      <c r="L6" s="8" t="s">
        <v>23</v>
      </c>
      <c r="M6" s="18">
        <f>SUMSQ(D7:I10)-M5</f>
        <v>276.88058333333174</v>
      </c>
      <c r="N6" s="2"/>
      <c r="O6" s="19" t="s">
        <v>24</v>
      </c>
      <c r="P6" s="2">
        <v>3</v>
      </c>
      <c r="Q6" s="1">
        <f>M10</f>
        <v>0.27634999999645515</v>
      </c>
      <c r="R6" s="1">
        <f>Q6/P6</f>
        <v>9.2116666665485056E-2</v>
      </c>
      <c r="T6" s="16"/>
      <c r="AB6" s="9" t="s">
        <v>25</v>
      </c>
      <c r="AC6" s="20">
        <f>E18/12</f>
        <v>26.738333333333333</v>
      </c>
      <c r="AD6" s="9" t="s">
        <v>26</v>
      </c>
      <c r="AF6" s="9" t="s">
        <v>25</v>
      </c>
      <c r="AG6" s="20">
        <f>E18/12</f>
        <v>26.738333333333333</v>
      </c>
      <c r="AH6" s="9" t="s">
        <v>26</v>
      </c>
    </row>
    <row r="7" spans="3:34" x14ac:dyDescent="0.25">
      <c r="C7" s="5" t="s">
        <v>27</v>
      </c>
      <c r="D7" s="5">
        <v>17</v>
      </c>
      <c r="E7" s="5">
        <v>25.25</v>
      </c>
      <c r="F7" s="5">
        <v>24.33</v>
      </c>
      <c r="G7" s="5">
        <v>24.33</v>
      </c>
      <c r="H7" s="5">
        <v>28.75</v>
      </c>
      <c r="I7" s="6">
        <v>27.75</v>
      </c>
      <c r="J7" s="7">
        <f>SUM(D7:I7)</f>
        <v>147.41</v>
      </c>
      <c r="K7" s="8">
        <v>7</v>
      </c>
      <c r="L7" s="8" t="s">
        <v>28</v>
      </c>
      <c r="M7" s="8">
        <f>(SUMSQ(D14:E17)/3)-M5</f>
        <v>106.36998333332849</v>
      </c>
      <c r="O7" s="19" t="s">
        <v>29</v>
      </c>
      <c r="P7" s="2">
        <v>1</v>
      </c>
      <c r="Q7" s="1">
        <f>M11</f>
        <v>105.25281666666706</v>
      </c>
      <c r="R7" s="1">
        <f>Q7/P7</f>
        <v>105.25281666666706</v>
      </c>
      <c r="S7" s="1">
        <f>R7/R8</f>
        <v>375.53781046280659</v>
      </c>
      <c r="T7" s="21" t="str">
        <f>IF(S7&lt;U7,"tn",IF(S7&lt;V7,"*","**"))</f>
        <v>**</v>
      </c>
      <c r="U7" s="1">
        <f>FINV(0.05,P7,P8)</f>
        <v>10.127964486013932</v>
      </c>
      <c r="V7" s="1">
        <f>FINV(0.01,P7,P8)</f>
        <v>34.116221564529795</v>
      </c>
      <c r="AB7" s="9" t="s">
        <v>30</v>
      </c>
      <c r="AC7" s="20">
        <f>Y8*Z8</f>
        <v>1.546134386302723</v>
      </c>
      <c r="AD7" s="9"/>
      <c r="AF7" s="9" t="s">
        <v>31</v>
      </c>
      <c r="AG7" s="20">
        <f>X8*Z8</f>
        <v>0.84228721404130535</v>
      </c>
      <c r="AH7" s="9"/>
    </row>
    <row r="8" spans="3:34" x14ac:dyDescent="0.25">
      <c r="C8" s="5" t="s">
        <v>32</v>
      </c>
      <c r="D8" s="5">
        <v>18.55</v>
      </c>
      <c r="E8" s="5">
        <v>25.17</v>
      </c>
      <c r="F8" s="5">
        <v>24.75</v>
      </c>
      <c r="G8" s="5">
        <v>24.75</v>
      </c>
      <c r="H8" s="5">
        <v>28.6</v>
      </c>
      <c r="I8" s="6">
        <v>26.25</v>
      </c>
      <c r="J8" s="7">
        <f t="shared" ref="J8:J10" si="0">SUM(D8:I8)</f>
        <v>148.07</v>
      </c>
      <c r="K8" s="8">
        <v>8</v>
      </c>
      <c r="L8" s="8" t="s">
        <v>33</v>
      </c>
      <c r="M8" s="8">
        <f>(SUMSQ(H14:J17)/2)-M5</f>
        <v>151.63888333333307</v>
      </c>
      <c r="O8" s="22" t="s">
        <v>34</v>
      </c>
      <c r="P8" s="10">
        <v>3</v>
      </c>
      <c r="Q8" s="9">
        <f>M13</f>
        <v>0.84081666666497767</v>
      </c>
      <c r="R8" s="9">
        <f>Q8/P8</f>
        <v>0.28027222222165921</v>
      </c>
      <c r="S8" s="9"/>
      <c r="T8" s="23"/>
      <c r="U8" s="9"/>
      <c r="V8" s="9"/>
      <c r="X8" s="1">
        <v>3.1819999999999999</v>
      </c>
      <c r="Y8" s="1">
        <v>5.8410000000000002</v>
      </c>
      <c r="Z8" s="1">
        <f>SQRT(R8/4)</f>
        <v>0.26470371277225185</v>
      </c>
      <c r="AC8" s="24"/>
      <c r="AG8" s="24"/>
    </row>
    <row r="9" spans="3:34" x14ac:dyDescent="0.25">
      <c r="C9" s="5" t="s">
        <v>35</v>
      </c>
      <c r="D9" s="5">
        <v>17.899999999999999</v>
      </c>
      <c r="E9" s="5">
        <v>25.33</v>
      </c>
      <c r="F9" s="5">
        <v>24.25</v>
      </c>
      <c r="G9" s="5">
        <v>24.25</v>
      </c>
      <c r="H9" s="5">
        <v>28.75</v>
      </c>
      <c r="I9" s="6">
        <v>26.68</v>
      </c>
      <c r="J9" s="7">
        <f t="shared" si="0"/>
        <v>147.16</v>
      </c>
      <c r="K9" s="8">
        <v>9</v>
      </c>
      <c r="L9" s="8" t="s">
        <v>36</v>
      </c>
      <c r="M9" s="8">
        <f>(SUMSQ(H21:I23)/4)-M5</f>
        <v>273.70808333332934</v>
      </c>
      <c r="O9" s="1" t="s">
        <v>37</v>
      </c>
      <c r="P9" s="2"/>
      <c r="T9" s="21"/>
      <c r="AB9" s="4" t="s">
        <v>38</v>
      </c>
      <c r="AC9" s="17">
        <f>H18/8</f>
        <v>21.178750000000001</v>
      </c>
      <c r="AD9" s="4" t="s">
        <v>19</v>
      </c>
      <c r="AF9" s="4" t="s">
        <v>38</v>
      </c>
      <c r="AG9" s="17">
        <f>H18/8</f>
        <v>21.178750000000001</v>
      </c>
      <c r="AH9" s="4" t="s">
        <v>19</v>
      </c>
    </row>
    <row r="10" spans="3:34" x14ac:dyDescent="0.25">
      <c r="C10" s="5" t="s">
        <v>39</v>
      </c>
      <c r="D10" s="5">
        <v>18</v>
      </c>
      <c r="E10" s="5">
        <v>25.42</v>
      </c>
      <c r="F10" s="5">
        <v>24.65</v>
      </c>
      <c r="G10" s="5">
        <v>24.65</v>
      </c>
      <c r="H10" s="5">
        <v>28.55</v>
      </c>
      <c r="I10" s="6">
        <v>27.55</v>
      </c>
      <c r="J10" s="7">
        <f t="shared" si="0"/>
        <v>148.82</v>
      </c>
      <c r="K10" s="8">
        <v>10</v>
      </c>
      <c r="L10" s="8" t="s">
        <v>40</v>
      </c>
      <c r="M10" s="8">
        <f>(SUMSQ(J7:J10)/6)-M5</f>
        <v>0.27634999999645515</v>
      </c>
      <c r="O10" s="19" t="s">
        <v>41</v>
      </c>
      <c r="P10" s="2">
        <v>2</v>
      </c>
      <c r="Q10" s="1">
        <f>M12</f>
        <v>149.88135833332854</v>
      </c>
      <c r="R10" s="1">
        <f t="shared" ref="R10:R13" si="1">Q10/P10</f>
        <v>74.940679166664268</v>
      </c>
      <c r="S10" s="1">
        <f>R10/R11</f>
        <v>303.5725521950701</v>
      </c>
      <c r="T10" s="21" t="str">
        <f>IF(S10&lt;U10,"tn",IF(S10&lt;V10,"*","**"))</f>
        <v>**</v>
      </c>
      <c r="U10" s="1">
        <f>FINV(0.05,P10,P11)</f>
        <v>5.1432528497847176</v>
      </c>
      <c r="V10" s="1">
        <f>FINV(0.01,P10,P11)</f>
        <v>10.924766500838338</v>
      </c>
      <c r="AB10" s="1" t="s">
        <v>42</v>
      </c>
      <c r="AC10" s="24">
        <f>I18/8</f>
        <v>26.977500000000003</v>
      </c>
      <c r="AD10" s="1" t="s">
        <v>26</v>
      </c>
      <c r="AF10" s="1" t="s">
        <v>42</v>
      </c>
      <c r="AG10" s="24">
        <f>I18/8</f>
        <v>26.977500000000003</v>
      </c>
      <c r="AH10" s="1" t="s">
        <v>43</v>
      </c>
    </row>
    <row r="11" spans="3:34" x14ac:dyDescent="0.25">
      <c r="C11" s="8"/>
      <c r="D11" s="8"/>
      <c r="E11" s="8"/>
      <c r="F11" s="8"/>
      <c r="G11" s="8"/>
      <c r="H11" s="8"/>
      <c r="I11" s="8"/>
      <c r="J11" s="25">
        <f>SUM(J7:J10)</f>
        <v>591.46</v>
      </c>
      <c r="K11" s="8">
        <v>11</v>
      </c>
      <c r="L11" s="8" t="s">
        <v>44</v>
      </c>
      <c r="M11" s="8">
        <f>(SUMSQ(D18:E18)/12)-M5</f>
        <v>105.25281666666706</v>
      </c>
      <c r="O11" s="19" t="s">
        <v>45</v>
      </c>
      <c r="P11" s="2">
        <v>6</v>
      </c>
      <c r="Q11" s="1">
        <f>M14</f>
        <v>1.4811750000080792</v>
      </c>
      <c r="R11" s="1">
        <f t="shared" si="1"/>
        <v>0.24686250000134655</v>
      </c>
      <c r="T11" s="21"/>
      <c r="X11" s="1">
        <v>4.3029999999999999</v>
      </c>
      <c r="Y11" s="1">
        <v>9.9250000000000007</v>
      </c>
      <c r="Z11" s="1">
        <f>SQRT(R11/4)</f>
        <v>0.248426296917892</v>
      </c>
      <c r="AB11" s="9" t="s">
        <v>46</v>
      </c>
      <c r="AC11" s="20">
        <f>J18/8</f>
        <v>25.776249999999997</v>
      </c>
      <c r="AD11" s="9" t="s">
        <v>26</v>
      </c>
      <c r="AF11" s="9" t="s">
        <v>46</v>
      </c>
      <c r="AG11" s="20">
        <f>J18/8</f>
        <v>25.776249999999997</v>
      </c>
      <c r="AH11" s="9" t="s">
        <v>26</v>
      </c>
    </row>
    <row r="12" spans="3:34" x14ac:dyDescent="0.25">
      <c r="C12" s="73" t="s">
        <v>47</v>
      </c>
      <c r="D12" s="73"/>
      <c r="E12" s="73"/>
      <c r="F12" s="8"/>
      <c r="G12" s="74" t="s">
        <v>48</v>
      </c>
      <c r="H12" s="75"/>
      <c r="I12" s="75"/>
      <c r="J12" s="76"/>
      <c r="K12" s="8">
        <v>12</v>
      </c>
      <c r="L12" s="8" t="s">
        <v>49</v>
      </c>
      <c r="M12" s="8">
        <f>(SUMSQ(J21:J23)/8)-M5</f>
        <v>149.88135833332854</v>
      </c>
      <c r="O12" s="19" t="s">
        <v>50</v>
      </c>
      <c r="P12" s="2">
        <v>2</v>
      </c>
      <c r="Q12" s="1">
        <f>M15</f>
        <v>18.573908333333748</v>
      </c>
      <c r="R12" s="1">
        <f t="shared" si="1"/>
        <v>9.2869541666668738</v>
      </c>
      <c r="S12" s="1">
        <f>R12/R13</f>
        <v>161.74900941971396</v>
      </c>
      <c r="T12" s="21" t="str">
        <f>IF(S12&lt;U12,"tn",IF(S12&lt;V12,"*","**"))</f>
        <v>**</v>
      </c>
      <c r="U12" s="1">
        <f>FINV(0.05,P12,P13)</f>
        <v>4.1028210151304032</v>
      </c>
      <c r="V12" s="1">
        <f>FINV(0.01,P12,P13)</f>
        <v>7.5594321575479011</v>
      </c>
      <c r="AB12" s="15" t="s">
        <v>51</v>
      </c>
      <c r="AC12" s="26">
        <f>Y11*Z11</f>
        <v>2.4656309969100785</v>
      </c>
      <c r="AD12" s="15"/>
      <c r="AF12" s="15" t="s">
        <v>52</v>
      </c>
      <c r="AG12" s="26">
        <f>X11*Z11</f>
        <v>1.0689783556376893</v>
      </c>
      <c r="AH12" s="15"/>
    </row>
    <row r="13" spans="3:34" x14ac:dyDescent="0.25">
      <c r="C13" s="27" t="s">
        <v>53</v>
      </c>
      <c r="D13" s="5" t="s">
        <v>54</v>
      </c>
      <c r="E13" s="28" t="s">
        <v>55</v>
      </c>
      <c r="F13" s="8"/>
      <c r="G13" s="5" t="s">
        <v>56</v>
      </c>
      <c r="H13" s="5" t="s">
        <v>57</v>
      </c>
      <c r="I13" s="5" t="s">
        <v>58</v>
      </c>
      <c r="J13" s="5" t="s">
        <v>59</v>
      </c>
      <c r="K13" s="8">
        <v>13</v>
      </c>
      <c r="L13" s="8" t="s">
        <v>60</v>
      </c>
      <c r="M13" s="8">
        <f>M7-M10-M11</f>
        <v>0.84081666666497767</v>
      </c>
      <c r="O13" s="22" t="s">
        <v>61</v>
      </c>
      <c r="P13" s="10">
        <v>10</v>
      </c>
      <c r="Q13" s="29">
        <f>M16</f>
        <v>0.57415833333288901</v>
      </c>
      <c r="R13" s="9">
        <f t="shared" si="1"/>
        <v>5.7415833333288903E-2</v>
      </c>
      <c r="S13" s="9"/>
      <c r="T13" s="30"/>
      <c r="U13" s="9"/>
      <c r="V13" s="9"/>
      <c r="X13" s="1">
        <v>2.2280000000000002</v>
      </c>
      <c r="Y13" s="1">
        <v>3.169</v>
      </c>
      <c r="Z13" s="1">
        <f>SQRT(R13/5)</f>
        <v>0.1071595383839338</v>
      </c>
    </row>
    <row r="14" spans="3:34" x14ac:dyDescent="0.25">
      <c r="C14" s="27" t="s">
        <v>27</v>
      </c>
      <c r="D14" s="5">
        <f>SUM(D7:F7)</f>
        <v>66.58</v>
      </c>
      <c r="E14" s="28">
        <f>SUM(G7:I7)</f>
        <v>80.83</v>
      </c>
      <c r="F14" s="8"/>
      <c r="G14" s="5" t="s">
        <v>27</v>
      </c>
      <c r="H14" s="5">
        <f>D7+G7</f>
        <v>41.33</v>
      </c>
      <c r="I14" s="5">
        <f>E7+H7</f>
        <v>54</v>
      </c>
      <c r="J14" s="5">
        <f>F7+I7</f>
        <v>52.08</v>
      </c>
      <c r="K14" s="8">
        <v>14</v>
      </c>
      <c r="L14" s="8" t="s">
        <v>62</v>
      </c>
      <c r="M14" s="8">
        <f>M8-M10-M12</f>
        <v>1.4811750000080792</v>
      </c>
      <c r="O14" s="31" t="s">
        <v>7</v>
      </c>
      <c r="P14" s="15"/>
      <c r="Q14" s="15">
        <f>SUM(Q6:Q13)</f>
        <v>276.88058333333174</v>
      </c>
      <c r="R14" s="15"/>
      <c r="S14" s="15"/>
      <c r="T14" s="15"/>
      <c r="U14" s="15"/>
      <c r="V14" s="15"/>
      <c r="AB14" s="3" t="s">
        <v>63</v>
      </c>
      <c r="AF14" s="3" t="s">
        <v>63</v>
      </c>
    </row>
    <row r="15" spans="3:34" x14ac:dyDescent="0.25">
      <c r="C15" s="27" t="s">
        <v>32</v>
      </c>
      <c r="D15" s="5">
        <f>SUM(D8:F8)</f>
        <v>68.47</v>
      </c>
      <c r="E15" s="28">
        <f t="shared" ref="E15:E17" si="2">SUM(G8:I8)</f>
        <v>79.599999999999994</v>
      </c>
      <c r="F15" s="8"/>
      <c r="G15" s="5" t="s">
        <v>32</v>
      </c>
      <c r="H15" s="5">
        <f t="shared" ref="H15:J17" si="3">D8+G8</f>
        <v>43.3</v>
      </c>
      <c r="I15" s="5">
        <f t="shared" si="3"/>
        <v>53.77</v>
      </c>
      <c r="J15" s="5">
        <f t="shared" si="3"/>
        <v>51</v>
      </c>
      <c r="K15" s="8">
        <v>15</v>
      </c>
      <c r="L15" s="8" t="s">
        <v>64</v>
      </c>
      <c r="M15" s="8">
        <f>M9-M11-M12</f>
        <v>18.573908333333748</v>
      </c>
      <c r="O15" s="19" t="s">
        <v>65</v>
      </c>
      <c r="Q15" s="1">
        <f>M5</f>
        <v>14576.038816666669</v>
      </c>
      <c r="AB15" s="15" t="s">
        <v>15</v>
      </c>
      <c r="AC15" s="15"/>
      <c r="AD15" s="15"/>
      <c r="AF15" s="15" t="s">
        <v>15</v>
      </c>
      <c r="AG15" s="15"/>
      <c r="AH15" s="15"/>
    </row>
    <row r="16" spans="3:34" x14ac:dyDescent="0.25">
      <c r="C16" s="27" t="s">
        <v>35</v>
      </c>
      <c r="D16" s="5">
        <f>SUM(D9:F9)</f>
        <v>67.47999999999999</v>
      </c>
      <c r="E16" s="28">
        <f t="shared" si="2"/>
        <v>79.680000000000007</v>
      </c>
      <c r="F16" s="8"/>
      <c r="G16" s="5" t="s">
        <v>35</v>
      </c>
      <c r="H16" s="5">
        <f t="shared" si="3"/>
        <v>42.15</v>
      </c>
      <c r="I16" s="5">
        <f t="shared" si="3"/>
        <v>54.08</v>
      </c>
      <c r="J16" s="5">
        <f t="shared" si="3"/>
        <v>50.93</v>
      </c>
      <c r="K16" s="8">
        <v>16</v>
      </c>
      <c r="L16" s="8" t="s">
        <v>66</v>
      </c>
      <c r="M16" s="18">
        <f>M6-M10-M11-M12-M13-M14-M15</f>
        <v>0.57415833333288901</v>
      </c>
      <c r="O16" s="1" t="s">
        <v>67</v>
      </c>
      <c r="AB16" s="4" t="s">
        <v>68</v>
      </c>
      <c r="AC16" s="17">
        <f>H21/4</f>
        <v>17.862499999999997</v>
      </c>
      <c r="AD16" s="1" t="s">
        <v>19</v>
      </c>
      <c r="AF16" s="4" t="s">
        <v>68</v>
      </c>
      <c r="AG16" s="17">
        <f>H21/4</f>
        <v>17.862499999999997</v>
      </c>
      <c r="AH16" s="4" t="s">
        <v>19</v>
      </c>
    </row>
    <row r="17" spans="2:34" x14ac:dyDescent="0.25">
      <c r="C17" s="27" t="s">
        <v>39</v>
      </c>
      <c r="D17" s="5">
        <f>SUM(D10:F10)</f>
        <v>68.069999999999993</v>
      </c>
      <c r="E17" s="28">
        <f t="shared" si="2"/>
        <v>80.75</v>
      </c>
      <c r="F17" s="8"/>
      <c r="G17" s="5" t="s">
        <v>39</v>
      </c>
      <c r="H17" s="5">
        <f t="shared" si="3"/>
        <v>42.65</v>
      </c>
      <c r="I17" s="5">
        <f t="shared" si="3"/>
        <v>53.97</v>
      </c>
      <c r="J17" s="5">
        <f t="shared" si="3"/>
        <v>52.2</v>
      </c>
      <c r="K17" s="8"/>
      <c r="L17" s="8"/>
      <c r="M17" s="8"/>
      <c r="O17" s="1" t="s">
        <v>69</v>
      </c>
      <c r="AB17" s="1" t="s">
        <v>70</v>
      </c>
      <c r="AC17" s="24">
        <f>H22/4</f>
        <v>25.2925</v>
      </c>
      <c r="AD17" s="1" t="s">
        <v>43</v>
      </c>
      <c r="AF17" s="1" t="s">
        <v>70</v>
      </c>
      <c r="AG17" s="24">
        <f>H22/4</f>
        <v>25.2925</v>
      </c>
      <c r="AH17" s="1" t="s">
        <v>43</v>
      </c>
    </row>
    <row r="18" spans="2:34" ht="16.5" thickBot="1" x14ac:dyDescent="0.3">
      <c r="C18" s="32"/>
      <c r="D18" s="33">
        <f>SUM(D14:D17)</f>
        <v>270.60000000000002</v>
      </c>
      <c r="E18" s="34">
        <f>SUM(E14:E17)</f>
        <v>320.86</v>
      </c>
      <c r="F18" s="8"/>
      <c r="G18" s="8"/>
      <c r="H18" s="8">
        <f>SUM(H14:H17)</f>
        <v>169.43</v>
      </c>
      <c r="I18" s="8">
        <f t="shared" ref="I18:J18" si="4">SUM(I14:I17)</f>
        <v>215.82000000000002</v>
      </c>
      <c r="J18" s="8">
        <f t="shared" si="4"/>
        <v>206.20999999999998</v>
      </c>
      <c r="K18" s="8"/>
      <c r="L18" s="8"/>
      <c r="M18" s="8"/>
      <c r="O18" s="1" t="s">
        <v>71</v>
      </c>
      <c r="AB18" s="1" t="s">
        <v>72</v>
      </c>
      <c r="AC18" s="24">
        <f>H23/4</f>
        <v>24.494999999999997</v>
      </c>
      <c r="AD18" s="1" t="s">
        <v>26</v>
      </c>
      <c r="AF18" s="1" t="s">
        <v>72</v>
      </c>
      <c r="AG18" s="24">
        <f>H23/4</f>
        <v>24.494999999999997</v>
      </c>
      <c r="AH18" s="1" t="s">
        <v>26</v>
      </c>
    </row>
    <row r="19" spans="2:34" ht="16.5" thickBot="1" x14ac:dyDescent="0.3">
      <c r="C19" s="8"/>
      <c r="D19" s="8"/>
      <c r="E19" s="8"/>
      <c r="F19" s="8"/>
      <c r="G19" s="8"/>
      <c r="H19" s="35" t="s">
        <v>63</v>
      </c>
      <c r="I19" s="8"/>
      <c r="J19" s="8"/>
      <c r="K19" s="8"/>
      <c r="L19" s="8"/>
      <c r="M19" s="8"/>
      <c r="O19" s="1" t="s">
        <v>73</v>
      </c>
      <c r="AB19" s="1" t="s">
        <v>74</v>
      </c>
      <c r="AC19" s="24">
        <f>I21/4</f>
        <v>24.494999999999997</v>
      </c>
      <c r="AD19" s="1" t="s">
        <v>75</v>
      </c>
      <c r="AF19" s="1" t="s">
        <v>74</v>
      </c>
      <c r="AG19" s="24">
        <f>I21/4</f>
        <v>24.494999999999997</v>
      </c>
      <c r="AH19" s="1" t="s">
        <v>75</v>
      </c>
    </row>
    <row r="20" spans="2:34" x14ac:dyDescent="0.25">
      <c r="C20" s="8"/>
      <c r="D20" s="8"/>
      <c r="E20" s="8"/>
      <c r="F20" s="8"/>
      <c r="G20" s="36"/>
      <c r="H20" s="37" t="s">
        <v>5</v>
      </c>
      <c r="I20" s="37" t="s">
        <v>6</v>
      </c>
      <c r="J20" s="38"/>
      <c r="K20" s="8"/>
      <c r="L20" s="8"/>
      <c r="M20" s="8"/>
      <c r="O20" s="1" t="s">
        <v>76</v>
      </c>
      <c r="P20" s="1" t="s">
        <v>77</v>
      </c>
      <c r="AB20" s="1" t="s">
        <v>78</v>
      </c>
      <c r="AC20" s="24">
        <f>I22/4</f>
        <v>28.662499999999998</v>
      </c>
      <c r="AD20" s="1" t="s">
        <v>79</v>
      </c>
      <c r="AF20" s="1" t="s">
        <v>78</v>
      </c>
      <c r="AG20" s="24">
        <f>I22/4</f>
        <v>28.662499999999998</v>
      </c>
      <c r="AH20" s="1" t="s">
        <v>79</v>
      </c>
    </row>
    <row r="21" spans="2:34" x14ac:dyDescent="0.25">
      <c r="C21" s="8"/>
      <c r="D21" s="8"/>
      <c r="E21" s="8"/>
      <c r="F21" s="8"/>
      <c r="G21" s="27" t="s">
        <v>20</v>
      </c>
      <c r="H21" s="5">
        <f>SUM(D7:D10)</f>
        <v>71.449999999999989</v>
      </c>
      <c r="I21" s="5">
        <f>SUM(G7:G10)</f>
        <v>97.97999999999999</v>
      </c>
      <c r="J21" s="28">
        <f>SUM(H21:I21)</f>
        <v>169.42999999999998</v>
      </c>
      <c r="K21" s="8"/>
      <c r="L21" s="8"/>
      <c r="M21" s="8"/>
      <c r="O21" s="1" t="s">
        <v>80</v>
      </c>
      <c r="P21" s="1" t="s">
        <v>81</v>
      </c>
      <c r="AB21" s="1" t="s">
        <v>82</v>
      </c>
      <c r="AC21" s="24">
        <f>I23/4</f>
        <v>27.057500000000001</v>
      </c>
      <c r="AD21" s="1" t="s">
        <v>75</v>
      </c>
      <c r="AF21" s="9" t="s">
        <v>82</v>
      </c>
      <c r="AG21" s="20">
        <f>I23/4</f>
        <v>27.057500000000001</v>
      </c>
      <c r="AH21" s="9" t="s">
        <v>75</v>
      </c>
    </row>
    <row r="22" spans="2:34" x14ac:dyDescent="0.25">
      <c r="C22" s="8"/>
      <c r="D22" s="8"/>
      <c r="E22" s="8"/>
      <c r="F22" s="8"/>
      <c r="G22" s="27" t="s">
        <v>21</v>
      </c>
      <c r="H22" s="5">
        <f>SUM(E7:E10)</f>
        <v>101.17</v>
      </c>
      <c r="I22" s="5">
        <f>SUM(H7:H10)</f>
        <v>114.64999999999999</v>
      </c>
      <c r="J22" s="28">
        <f t="shared" ref="J22:J23" si="5">SUM(H22:I22)</f>
        <v>215.82</v>
      </c>
      <c r="K22" s="8"/>
      <c r="L22" s="8"/>
      <c r="M22" s="8"/>
      <c r="O22" s="1" t="s">
        <v>83</v>
      </c>
      <c r="P22" s="1" t="s">
        <v>84</v>
      </c>
      <c r="AB22" s="15" t="s">
        <v>51</v>
      </c>
      <c r="AC22" s="26">
        <f>Y13*Z13</f>
        <v>0.33958857713868623</v>
      </c>
      <c r="AD22" s="15"/>
      <c r="AF22" s="15" t="s">
        <v>52</v>
      </c>
      <c r="AG22" s="26">
        <f>X13*Z13</f>
        <v>0.23875145151940452</v>
      </c>
      <c r="AH22" s="15"/>
    </row>
    <row r="23" spans="2:34" ht="16.5" thickBot="1" x14ac:dyDescent="0.3">
      <c r="C23" s="8"/>
      <c r="D23" s="8"/>
      <c r="E23" s="8"/>
      <c r="F23" s="8"/>
      <c r="G23" s="32" t="s">
        <v>22</v>
      </c>
      <c r="H23" s="33">
        <f>SUM(F7:F10)</f>
        <v>97.97999999999999</v>
      </c>
      <c r="I23" s="33">
        <f>SUM(I7:I10)</f>
        <v>108.23</v>
      </c>
      <c r="J23" s="34">
        <f t="shared" si="5"/>
        <v>206.20999999999998</v>
      </c>
      <c r="K23" s="8"/>
      <c r="L23" s="8"/>
      <c r="M23" s="8"/>
    </row>
    <row r="24" spans="2:34" x14ac:dyDescent="0.25">
      <c r="B24" s="70"/>
      <c r="C24" s="70"/>
      <c r="D24" s="70"/>
      <c r="E24" s="70"/>
      <c r="F24" s="70"/>
    </row>
    <row r="25" spans="2:34" x14ac:dyDescent="0.25">
      <c r="B25" s="70"/>
      <c r="C25" s="70"/>
      <c r="D25" s="70"/>
      <c r="E25" s="70"/>
      <c r="F25" s="70"/>
      <c r="G25" s="70"/>
      <c r="H25" s="70"/>
      <c r="I25" s="70"/>
    </row>
    <row r="26" spans="2:34" x14ac:dyDescent="0.25">
      <c r="B26" s="70"/>
      <c r="C26" s="70"/>
      <c r="D26" s="70"/>
      <c r="E26" s="70"/>
      <c r="F26" s="70"/>
      <c r="I26" s="70"/>
    </row>
    <row r="42" spans="6:13" x14ac:dyDescent="0.25">
      <c r="F42" s="39"/>
      <c r="G42" s="40"/>
      <c r="H42" s="39"/>
      <c r="I42" s="39"/>
      <c r="J42" s="39"/>
      <c r="K42" s="39"/>
      <c r="L42" s="41"/>
      <c r="M42" s="8"/>
    </row>
    <row r="43" spans="6:13" x14ac:dyDescent="0.25">
      <c r="F43" s="39"/>
      <c r="G43" s="40"/>
      <c r="H43" s="8"/>
      <c r="I43" s="8"/>
      <c r="J43" s="8"/>
      <c r="K43" s="8"/>
      <c r="L43" s="8"/>
      <c r="M43" s="8"/>
    </row>
    <row r="44" spans="6:13" x14ac:dyDescent="0.25">
      <c r="F44" s="39"/>
      <c r="G44" s="8"/>
      <c r="H44" s="8"/>
      <c r="I44" s="8"/>
      <c r="J44" s="8"/>
      <c r="K44" s="8"/>
      <c r="L44" s="8"/>
    </row>
    <row r="45" spans="6:13" x14ac:dyDescent="0.25">
      <c r="F45" s="39"/>
      <c r="G45" s="8"/>
      <c r="H45" s="8"/>
      <c r="I45" s="8"/>
      <c r="J45" s="8"/>
      <c r="K45" s="8"/>
      <c r="L45" s="8"/>
    </row>
    <row r="46" spans="6:13" x14ac:dyDescent="0.25">
      <c r="F46" s="39"/>
      <c r="G46" s="8"/>
      <c r="H46" s="8"/>
      <c r="I46" s="8"/>
      <c r="J46" s="8"/>
      <c r="K46" s="8"/>
      <c r="L46" s="8"/>
    </row>
    <row r="47" spans="6:13" x14ac:dyDescent="0.25">
      <c r="F47" s="8"/>
      <c r="G47" s="2"/>
      <c r="H47" s="42"/>
      <c r="I47" s="42"/>
      <c r="J47" s="42"/>
      <c r="K47" s="42"/>
      <c r="L47" s="42"/>
    </row>
    <row r="48" spans="6:13" x14ac:dyDescent="0.25">
      <c r="F48" s="39"/>
      <c r="G48" s="8"/>
      <c r="H48" s="2"/>
      <c r="I48" s="2"/>
      <c r="J48" s="2"/>
      <c r="K48" s="2"/>
    </row>
    <row r="49" spans="6:11" x14ac:dyDescent="0.25">
      <c r="F49" s="39"/>
      <c r="G49" s="8"/>
      <c r="H49" s="2"/>
      <c r="I49" s="2"/>
      <c r="J49" s="2"/>
      <c r="K49" s="2"/>
    </row>
    <row r="50" spans="6:11" x14ac:dyDescent="0.25">
      <c r="F50" s="39"/>
      <c r="G50" s="8"/>
      <c r="H50" s="2"/>
      <c r="I50" s="2"/>
      <c r="J50" s="2"/>
      <c r="K50" s="2"/>
    </row>
    <row r="51" spans="6:11" x14ac:dyDescent="0.25">
      <c r="F51" s="2"/>
    </row>
    <row r="52" spans="6:11" x14ac:dyDescent="0.25">
      <c r="F52" s="43"/>
    </row>
  </sheetData>
  <mergeCells count="19">
    <mergeCell ref="G25:H25"/>
    <mergeCell ref="I25:I26"/>
    <mergeCell ref="B24:F24"/>
    <mergeCell ref="B25:B26"/>
    <mergeCell ref="C25:C26"/>
    <mergeCell ref="D25:D26"/>
    <mergeCell ref="E25:E26"/>
    <mergeCell ref="F25:F26"/>
    <mergeCell ref="C12:E12"/>
    <mergeCell ref="G12:J12"/>
    <mergeCell ref="C4:C6"/>
    <mergeCell ref="D4:F5"/>
    <mergeCell ref="G4:I5"/>
    <mergeCell ref="J4:J6"/>
    <mergeCell ref="D1:G1"/>
    <mergeCell ref="D2:G2"/>
    <mergeCell ref="U3:V3"/>
    <mergeCell ref="X3:Y3"/>
    <mergeCell ref="AB3:AC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44944-74AB-4826-8F6D-9D63987703F1}">
  <dimension ref="B1:AH52"/>
  <sheetViews>
    <sheetView topLeftCell="P10" workbookViewId="0">
      <selection activeCell="AC16" sqref="AC16:AD22"/>
    </sheetView>
  </sheetViews>
  <sheetFormatPr defaultRowHeight="15.75" x14ac:dyDescent="0.25"/>
  <cols>
    <col min="1" max="1" width="9.140625" style="1"/>
    <col min="2" max="2" width="11.42578125" style="1" customWidth="1"/>
    <col min="3" max="4" width="9.140625" style="1"/>
    <col min="5" max="5" width="9.7109375" style="1" bestFit="1" customWidth="1"/>
    <col min="6" max="8" width="9.140625" style="1"/>
    <col min="9" max="9" width="9.140625" style="1" customWidth="1"/>
    <col min="10" max="11" width="9.140625" style="1"/>
    <col min="12" max="12" width="10.7109375" style="1" customWidth="1"/>
    <col min="13" max="13" width="10.140625" style="1" bestFit="1" customWidth="1"/>
    <col min="14" max="14" width="9.140625" style="1"/>
    <col min="15" max="15" width="19.28515625" style="1" customWidth="1"/>
    <col min="16" max="16" width="5.28515625" style="1" customWidth="1"/>
    <col min="17" max="19" width="9.140625" style="1"/>
    <col min="20" max="20" width="3.28515625" style="1" customWidth="1"/>
    <col min="21" max="26" width="9.140625" style="1"/>
    <col min="27" max="27" width="3.140625" style="1" customWidth="1"/>
    <col min="28" max="28" width="27.140625" style="1" customWidth="1"/>
    <col min="29" max="29" width="8.140625" style="1" customWidth="1"/>
    <col min="30" max="30" width="3.140625" style="1" customWidth="1"/>
    <col min="31" max="31" width="2.7109375" style="1" customWidth="1"/>
    <col min="32" max="32" width="28.28515625" style="1" customWidth="1"/>
    <col min="33" max="33" width="7.85546875" style="1" customWidth="1"/>
    <col min="34" max="34" width="3.140625" style="1" customWidth="1"/>
    <col min="35" max="16384" width="9.140625" style="1"/>
  </cols>
  <sheetData>
    <row r="1" spans="3:34" x14ac:dyDescent="0.25">
      <c r="D1" s="70" t="s">
        <v>0</v>
      </c>
      <c r="E1" s="70"/>
      <c r="F1" s="70"/>
      <c r="G1" s="70"/>
    </row>
    <row r="2" spans="3:34" x14ac:dyDescent="0.25">
      <c r="D2" s="71" t="s">
        <v>87</v>
      </c>
      <c r="E2" s="71"/>
      <c r="F2" s="71"/>
      <c r="G2" s="71"/>
      <c r="O2" s="1" t="s">
        <v>1</v>
      </c>
    </row>
    <row r="3" spans="3:34" x14ac:dyDescent="0.25">
      <c r="O3" s="4"/>
      <c r="P3" s="4"/>
      <c r="Q3" s="4"/>
      <c r="R3" s="4"/>
      <c r="S3" s="4"/>
      <c r="T3" s="4"/>
      <c r="U3" s="72" t="s">
        <v>2</v>
      </c>
      <c r="V3" s="72"/>
      <c r="X3" s="72" t="s">
        <v>3</v>
      </c>
      <c r="Y3" s="72"/>
      <c r="AB3" s="70"/>
      <c r="AC3" s="70"/>
    </row>
    <row r="4" spans="3:34" ht="31.5" customHeight="1" x14ac:dyDescent="0.25">
      <c r="C4" s="77" t="s">
        <v>4</v>
      </c>
      <c r="D4" s="73" t="s">
        <v>5</v>
      </c>
      <c r="E4" s="73"/>
      <c r="F4" s="73"/>
      <c r="G4" s="73" t="s">
        <v>6</v>
      </c>
      <c r="H4" s="73"/>
      <c r="I4" s="74"/>
      <c r="J4" s="78" t="s">
        <v>7</v>
      </c>
      <c r="K4" s="8">
        <v>4</v>
      </c>
      <c r="L4" s="8" t="s">
        <v>8</v>
      </c>
      <c r="M4" s="8">
        <f>SUMSQ(D7:I10)</f>
        <v>53937.297000000006</v>
      </c>
      <c r="O4" s="9" t="s">
        <v>9</v>
      </c>
      <c r="P4" s="10" t="s">
        <v>10</v>
      </c>
      <c r="Q4" s="9" t="s">
        <v>11</v>
      </c>
      <c r="R4" s="9" t="s">
        <v>12</v>
      </c>
      <c r="S4" s="9" t="s">
        <v>13</v>
      </c>
      <c r="T4" s="9"/>
      <c r="U4" s="11">
        <v>0.05</v>
      </c>
      <c r="V4" s="11">
        <v>0.01</v>
      </c>
      <c r="X4" s="12">
        <v>0.05</v>
      </c>
      <c r="Y4" s="12">
        <v>0.01</v>
      </c>
      <c r="Z4" s="13" t="s">
        <v>14</v>
      </c>
      <c r="AA4" s="13"/>
      <c r="AB4" s="14" t="s">
        <v>15</v>
      </c>
      <c r="AC4" s="14"/>
      <c r="AD4" s="15"/>
      <c r="AF4" s="14" t="s">
        <v>15</v>
      </c>
      <c r="AG4" s="14"/>
      <c r="AH4" s="15"/>
    </row>
    <row r="5" spans="3:34" x14ac:dyDescent="0.25">
      <c r="C5" s="77"/>
      <c r="D5" s="73"/>
      <c r="E5" s="73"/>
      <c r="F5" s="73"/>
      <c r="G5" s="73"/>
      <c r="H5" s="73"/>
      <c r="I5" s="74"/>
      <c r="J5" s="78"/>
      <c r="K5" s="8">
        <v>5</v>
      </c>
      <c r="L5" s="8" t="s">
        <v>16</v>
      </c>
      <c r="M5" s="8">
        <f>(J11^2)/24</f>
        <v>53804.752066666675</v>
      </c>
      <c r="O5" s="1" t="s">
        <v>17</v>
      </c>
      <c r="T5" s="16"/>
      <c r="AB5" s="4" t="s">
        <v>18</v>
      </c>
      <c r="AC5" s="17">
        <f>D18/12</f>
        <v>45.684166666666663</v>
      </c>
      <c r="AD5" s="4" t="s">
        <v>19</v>
      </c>
      <c r="AF5" s="4" t="s">
        <v>18</v>
      </c>
      <c r="AG5" s="17">
        <f>D18/12</f>
        <v>45.684166666666663</v>
      </c>
      <c r="AH5" s="4" t="s">
        <v>19</v>
      </c>
    </row>
    <row r="6" spans="3:34" x14ac:dyDescent="0.25">
      <c r="C6" s="77"/>
      <c r="D6" s="5" t="s">
        <v>20</v>
      </c>
      <c r="E6" s="5" t="s">
        <v>21</v>
      </c>
      <c r="F6" s="5" t="s">
        <v>22</v>
      </c>
      <c r="G6" s="5" t="s">
        <v>20</v>
      </c>
      <c r="H6" s="5" t="s">
        <v>21</v>
      </c>
      <c r="I6" s="6" t="s">
        <v>22</v>
      </c>
      <c r="J6" s="78"/>
      <c r="K6" s="8">
        <v>6</v>
      </c>
      <c r="L6" s="8" t="s">
        <v>23</v>
      </c>
      <c r="M6" s="18">
        <f>SUMSQ(D7:I10)-M5</f>
        <v>132.54493333333085</v>
      </c>
      <c r="N6" s="2"/>
      <c r="O6" s="19" t="s">
        <v>24</v>
      </c>
      <c r="P6" s="2">
        <v>3</v>
      </c>
      <c r="Q6" s="1">
        <f>M10</f>
        <v>5.1865333333189483</v>
      </c>
      <c r="R6" s="1">
        <f>Q6/P6</f>
        <v>1.7288444444396494</v>
      </c>
      <c r="T6" s="16"/>
      <c r="AB6" s="9" t="s">
        <v>25</v>
      </c>
      <c r="AC6" s="20">
        <f>E18/12</f>
        <v>49.01250000000001</v>
      </c>
      <c r="AD6" s="9" t="s">
        <v>26</v>
      </c>
      <c r="AF6" s="9" t="s">
        <v>25</v>
      </c>
      <c r="AG6" s="20">
        <f>E18/12</f>
        <v>49.01250000000001</v>
      </c>
      <c r="AH6" s="9" t="s">
        <v>26</v>
      </c>
    </row>
    <row r="7" spans="3:34" x14ac:dyDescent="0.25">
      <c r="C7" s="5" t="s">
        <v>27</v>
      </c>
      <c r="D7" s="5">
        <v>40</v>
      </c>
      <c r="E7" s="5">
        <v>46</v>
      </c>
      <c r="F7" s="5">
        <v>45.66</v>
      </c>
      <c r="G7" s="5">
        <v>47.89</v>
      </c>
      <c r="H7" s="5">
        <v>50.5</v>
      </c>
      <c r="I7" s="6">
        <v>49.6</v>
      </c>
      <c r="J7" s="7">
        <f>SUM(D7:I7)</f>
        <v>279.65000000000003</v>
      </c>
      <c r="K7" s="8">
        <v>7</v>
      </c>
      <c r="L7" s="8" t="s">
        <v>28</v>
      </c>
      <c r="M7" s="8">
        <f>(SUMSQ(D14:E17)/3)-M5</f>
        <v>80.808733333324199</v>
      </c>
      <c r="O7" s="19" t="s">
        <v>29</v>
      </c>
      <c r="P7" s="2">
        <v>1</v>
      </c>
      <c r="Q7" s="1">
        <f>M11</f>
        <v>66.466816666667</v>
      </c>
      <c r="R7" s="1">
        <f>Q7/P7</f>
        <v>66.466816666667</v>
      </c>
      <c r="S7" s="1">
        <f>R7/R8</f>
        <v>21.77958505286259</v>
      </c>
      <c r="T7" s="21" t="str">
        <f>IF(S7&lt;U7,"tn",IF(S7&lt;V7,"*","**"))</f>
        <v>*</v>
      </c>
      <c r="U7" s="1">
        <f>FINV(0.05,P7,P8)</f>
        <v>10.127964486013932</v>
      </c>
      <c r="V7" s="1">
        <f>FINV(0.01,P7,P8)</f>
        <v>34.116221564529795</v>
      </c>
      <c r="AB7" s="9" t="s">
        <v>30</v>
      </c>
      <c r="AC7" s="20">
        <f>Y8*Z8</f>
        <v>5.1019341581258653</v>
      </c>
      <c r="AD7" s="9"/>
      <c r="AF7" s="9" t="s">
        <v>31</v>
      </c>
      <c r="AG7" s="20">
        <f>X8*Z8</f>
        <v>2.7793792999754325</v>
      </c>
      <c r="AH7" s="9"/>
    </row>
    <row r="8" spans="3:34" x14ac:dyDescent="0.25">
      <c r="C8" s="5" t="s">
        <v>32</v>
      </c>
      <c r="D8" s="5">
        <v>43.45</v>
      </c>
      <c r="E8" s="5">
        <v>47.8</v>
      </c>
      <c r="F8" s="5">
        <v>46.89</v>
      </c>
      <c r="G8" s="5">
        <v>47.8</v>
      </c>
      <c r="H8" s="5">
        <v>49.6</v>
      </c>
      <c r="I8" s="6">
        <v>48.55</v>
      </c>
      <c r="J8" s="7">
        <f t="shared" ref="J8:J10" si="0">SUM(D8:I8)</f>
        <v>284.08999999999997</v>
      </c>
      <c r="K8" s="8">
        <v>8</v>
      </c>
      <c r="L8" s="8" t="s">
        <v>33</v>
      </c>
      <c r="M8" s="8">
        <f>(SUMSQ(H14:J17)/2)-M5</f>
        <v>49.283333333325572</v>
      </c>
      <c r="O8" s="22" t="s">
        <v>34</v>
      </c>
      <c r="P8" s="10">
        <v>3</v>
      </c>
      <c r="Q8" s="9">
        <f>M13</f>
        <v>9.1553833333382499</v>
      </c>
      <c r="R8" s="9">
        <f>Q8/P8</f>
        <v>3.0517944444460832</v>
      </c>
      <c r="S8" s="9"/>
      <c r="T8" s="23"/>
      <c r="U8" s="9"/>
      <c r="V8" s="9"/>
      <c r="X8" s="1">
        <v>3.1819999999999999</v>
      </c>
      <c r="Y8" s="1">
        <v>5.8410000000000002</v>
      </c>
      <c r="Z8" s="1">
        <f>SQRT(R8/4)</f>
        <v>0.87346929603250556</v>
      </c>
      <c r="AC8" s="24"/>
      <c r="AG8" s="24"/>
    </row>
    <row r="9" spans="3:34" x14ac:dyDescent="0.25">
      <c r="C9" s="5" t="s">
        <v>35</v>
      </c>
      <c r="D9" s="5">
        <v>44.42</v>
      </c>
      <c r="E9" s="5">
        <v>47.75</v>
      </c>
      <c r="F9" s="5">
        <v>46.99</v>
      </c>
      <c r="G9" s="5">
        <v>47.75</v>
      </c>
      <c r="H9" s="5">
        <v>49.77</v>
      </c>
      <c r="I9" s="6">
        <v>48.75</v>
      </c>
      <c r="J9" s="7">
        <f t="shared" si="0"/>
        <v>285.43</v>
      </c>
      <c r="K9" s="8">
        <v>9</v>
      </c>
      <c r="L9" s="8" t="s">
        <v>36</v>
      </c>
      <c r="M9" s="8">
        <f>(SUMSQ(H21:I23)/4)-M5</f>
        <v>109.53378333332512</v>
      </c>
      <c r="O9" s="1" t="s">
        <v>37</v>
      </c>
      <c r="P9" s="2"/>
      <c r="T9" s="21"/>
      <c r="AB9" s="4" t="s">
        <v>38</v>
      </c>
      <c r="AC9" s="17">
        <f>H18/8</f>
        <v>45.695</v>
      </c>
      <c r="AD9" s="4" t="s">
        <v>19</v>
      </c>
      <c r="AF9" s="4" t="s">
        <v>38</v>
      </c>
      <c r="AG9" s="17">
        <f>H18/8</f>
        <v>45.695</v>
      </c>
      <c r="AH9" s="4" t="s">
        <v>19</v>
      </c>
    </row>
    <row r="10" spans="3:34" x14ac:dyDescent="0.25">
      <c r="C10" s="5" t="s">
        <v>39</v>
      </c>
      <c r="D10" s="5">
        <v>45.57</v>
      </c>
      <c r="E10" s="5">
        <v>47.68</v>
      </c>
      <c r="F10" s="5">
        <v>46</v>
      </c>
      <c r="G10" s="5">
        <v>48.68</v>
      </c>
      <c r="H10" s="5">
        <v>50.66</v>
      </c>
      <c r="I10" s="6">
        <v>48.6</v>
      </c>
      <c r="J10" s="7">
        <f t="shared" si="0"/>
        <v>287.19</v>
      </c>
      <c r="K10" s="8">
        <v>10</v>
      </c>
      <c r="L10" s="8" t="s">
        <v>40</v>
      </c>
      <c r="M10" s="8">
        <f>(SUMSQ(J7:J10)/6)-M5</f>
        <v>5.1865333333189483</v>
      </c>
      <c r="O10" s="19" t="s">
        <v>41</v>
      </c>
      <c r="P10" s="2">
        <v>2</v>
      </c>
      <c r="Q10" s="1">
        <f>M12</f>
        <v>37.55453333332116</v>
      </c>
      <c r="R10" s="1">
        <f t="shared" ref="R10:R13" si="1">Q10/P10</f>
        <v>18.77726666666058</v>
      </c>
      <c r="S10" s="1">
        <f>R10/R11</f>
        <v>17.220881651564152</v>
      </c>
      <c r="T10" s="21" t="str">
        <f>IF(S10&lt;U10,"tn",IF(S10&lt;V10,"*","**"))</f>
        <v>**</v>
      </c>
      <c r="U10" s="1">
        <f>FINV(0.05,P10,P11)</f>
        <v>5.1432528497847176</v>
      </c>
      <c r="V10" s="1">
        <f>FINV(0.01,P10,P11)</f>
        <v>10.924766500838338</v>
      </c>
      <c r="AB10" s="1" t="s">
        <v>42</v>
      </c>
      <c r="AC10" s="24">
        <f>I18/8</f>
        <v>48.72</v>
      </c>
      <c r="AD10" s="1" t="s">
        <v>26</v>
      </c>
      <c r="AF10" s="1" t="s">
        <v>42</v>
      </c>
      <c r="AG10" s="24">
        <f>I18/8</f>
        <v>48.72</v>
      </c>
      <c r="AH10" s="1" t="s">
        <v>43</v>
      </c>
    </row>
    <row r="11" spans="3:34" x14ac:dyDescent="0.25">
      <c r="C11" s="8"/>
      <c r="D11" s="8"/>
      <c r="E11" s="8"/>
      <c r="F11" s="8"/>
      <c r="G11" s="8"/>
      <c r="H11" s="8"/>
      <c r="I11" s="8"/>
      <c r="J11" s="25">
        <f>SUM(J7:J10)</f>
        <v>1136.3600000000001</v>
      </c>
      <c r="K11" s="8">
        <v>11</v>
      </c>
      <c r="L11" s="8" t="s">
        <v>44</v>
      </c>
      <c r="M11" s="8">
        <f>(SUMSQ(D18:E18)/12)-M5</f>
        <v>66.466816666667</v>
      </c>
      <c r="O11" s="19" t="s">
        <v>45</v>
      </c>
      <c r="P11" s="2">
        <v>6</v>
      </c>
      <c r="Q11" s="1">
        <f>M14</f>
        <v>6.5422666666854639</v>
      </c>
      <c r="R11" s="1">
        <f t="shared" si="1"/>
        <v>1.0903777777809107</v>
      </c>
      <c r="T11" s="21"/>
      <c r="X11" s="1">
        <v>4.3029999999999999</v>
      </c>
      <c r="Y11" s="1">
        <v>9.9250000000000007</v>
      </c>
      <c r="Z11" s="1">
        <f>SQRT(R11/4)</f>
        <v>0.52210577898087629</v>
      </c>
      <c r="AB11" s="9" t="s">
        <v>46</v>
      </c>
      <c r="AC11" s="20">
        <f>J18/8</f>
        <v>47.629999999999995</v>
      </c>
      <c r="AD11" s="9" t="s">
        <v>26</v>
      </c>
      <c r="AF11" s="9" t="s">
        <v>46</v>
      </c>
      <c r="AG11" s="20">
        <f>J18/8</f>
        <v>47.629999999999995</v>
      </c>
      <c r="AH11" s="9" t="s">
        <v>26</v>
      </c>
    </row>
    <row r="12" spans="3:34" x14ac:dyDescent="0.25">
      <c r="C12" s="73" t="s">
        <v>47</v>
      </c>
      <c r="D12" s="73"/>
      <c r="E12" s="73"/>
      <c r="F12" s="8"/>
      <c r="G12" s="74" t="s">
        <v>48</v>
      </c>
      <c r="H12" s="75"/>
      <c r="I12" s="75"/>
      <c r="J12" s="76"/>
      <c r="K12" s="8">
        <v>12</v>
      </c>
      <c r="L12" s="8" t="s">
        <v>49</v>
      </c>
      <c r="M12" s="8">
        <f>(SUMSQ(J21:J23)/8)-M5</f>
        <v>37.55453333332116</v>
      </c>
      <c r="O12" s="19" t="s">
        <v>50</v>
      </c>
      <c r="P12" s="2">
        <v>2</v>
      </c>
      <c r="Q12" s="1">
        <f>M15</f>
        <v>5.5124333333369577</v>
      </c>
      <c r="R12" s="1">
        <f t="shared" si="1"/>
        <v>2.7562166666684789</v>
      </c>
      <c r="S12" s="1">
        <f>R12/R13</f>
        <v>12.958438464823828</v>
      </c>
      <c r="T12" s="21" t="str">
        <f>IF(S12&lt;U12,"tn",IF(S12&lt;V12,"*","**"))</f>
        <v>**</v>
      </c>
      <c r="U12" s="1">
        <f>FINV(0.05,P12,P13)</f>
        <v>4.1028210151304032</v>
      </c>
      <c r="V12" s="1">
        <f>FINV(0.01,P12,P13)</f>
        <v>7.5594321575479011</v>
      </c>
      <c r="AB12" s="15" t="s">
        <v>51</v>
      </c>
      <c r="AC12" s="26">
        <f>Y11*Z11</f>
        <v>5.1818998563851979</v>
      </c>
      <c r="AD12" s="15"/>
      <c r="AF12" s="15" t="s">
        <v>52</v>
      </c>
      <c r="AG12" s="26">
        <f>X11*Z11</f>
        <v>2.2466211669547107</v>
      </c>
      <c r="AH12" s="15"/>
    </row>
    <row r="13" spans="3:34" x14ac:dyDescent="0.25">
      <c r="C13" s="27" t="s">
        <v>53</v>
      </c>
      <c r="D13" s="5" t="s">
        <v>54</v>
      </c>
      <c r="E13" s="28" t="s">
        <v>55</v>
      </c>
      <c r="F13" s="8"/>
      <c r="G13" s="5" t="s">
        <v>56</v>
      </c>
      <c r="H13" s="5" t="s">
        <v>57</v>
      </c>
      <c r="I13" s="5" t="s">
        <v>58</v>
      </c>
      <c r="J13" s="5" t="s">
        <v>59</v>
      </c>
      <c r="K13" s="8">
        <v>13</v>
      </c>
      <c r="L13" s="8" t="s">
        <v>60</v>
      </c>
      <c r="M13" s="8">
        <f>M7-M10-M11</f>
        <v>9.1553833333382499</v>
      </c>
      <c r="O13" s="22" t="s">
        <v>61</v>
      </c>
      <c r="P13" s="10">
        <v>10</v>
      </c>
      <c r="Q13" s="29">
        <f>M16</f>
        <v>2.1269666666630656</v>
      </c>
      <c r="R13" s="9">
        <f t="shared" si="1"/>
        <v>0.21269666666630654</v>
      </c>
      <c r="S13" s="9"/>
      <c r="T13" s="30"/>
      <c r="U13" s="9"/>
      <c r="V13" s="9"/>
      <c r="X13" s="1">
        <v>2.2280000000000002</v>
      </c>
      <c r="Y13" s="1">
        <v>3.169</v>
      </c>
      <c r="Z13" s="1">
        <f>SQRT(R13/5)</f>
        <v>0.20625065656443692</v>
      </c>
    </row>
    <row r="14" spans="3:34" x14ac:dyDescent="0.25">
      <c r="C14" s="27" t="s">
        <v>27</v>
      </c>
      <c r="D14" s="5">
        <f>SUM(D7:F7)</f>
        <v>131.66</v>
      </c>
      <c r="E14" s="28">
        <f>SUM(G7:I7)</f>
        <v>147.99</v>
      </c>
      <c r="F14" s="8"/>
      <c r="G14" s="5" t="s">
        <v>27</v>
      </c>
      <c r="H14" s="5">
        <f>D7+G7</f>
        <v>87.89</v>
      </c>
      <c r="I14" s="5">
        <f>E7+H7</f>
        <v>96.5</v>
      </c>
      <c r="J14" s="5">
        <f>F7+I7</f>
        <v>95.259999999999991</v>
      </c>
      <c r="K14" s="8">
        <v>14</v>
      </c>
      <c r="L14" s="8" t="s">
        <v>62</v>
      </c>
      <c r="M14" s="8">
        <f>M8-M10-M12</f>
        <v>6.5422666666854639</v>
      </c>
      <c r="O14" s="31" t="s">
        <v>7</v>
      </c>
      <c r="P14" s="15"/>
      <c r="Q14" s="15">
        <f>SUM(Q6:Q13)</f>
        <v>132.54493333333085</v>
      </c>
      <c r="R14" s="15"/>
      <c r="S14" s="15"/>
      <c r="T14" s="15"/>
      <c r="U14" s="15"/>
      <c r="V14" s="15"/>
      <c r="AB14" s="3" t="s">
        <v>63</v>
      </c>
      <c r="AF14" s="3" t="s">
        <v>63</v>
      </c>
    </row>
    <row r="15" spans="3:34" x14ac:dyDescent="0.25">
      <c r="C15" s="27" t="s">
        <v>32</v>
      </c>
      <c r="D15" s="5">
        <f>SUM(D8:F8)</f>
        <v>138.13999999999999</v>
      </c>
      <c r="E15" s="28">
        <f t="shared" ref="E15:E17" si="2">SUM(G8:I8)</f>
        <v>145.94999999999999</v>
      </c>
      <c r="F15" s="8"/>
      <c r="G15" s="5" t="s">
        <v>32</v>
      </c>
      <c r="H15" s="5">
        <f t="shared" ref="H15:J17" si="3">D8+G8</f>
        <v>91.25</v>
      </c>
      <c r="I15" s="5">
        <f t="shared" si="3"/>
        <v>97.4</v>
      </c>
      <c r="J15" s="5">
        <f t="shared" si="3"/>
        <v>95.44</v>
      </c>
      <c r="K15" s="8">
        <v>15</v>
      </c>
      <c r="L15" s="8" t="s">
        <v>64</v>
      </c>
      <c r="M15" s="8">
        <f>M9-M11-M12</f>
        <v>5.5124333333369577</v>
      </c>
      <c r="O15" s="19" t="s">
        <v>65</v>
      </c>
      <c r="Q15" s="1">
        <f>M5</f>
        <v>53804.752066666675</v>
      </c>
      <c r="AB15" s="15" t="s">
        <v>15</v>
      </c>
      <c r="AC15" s="15"/>
      <c r="AD15" s="15"/>
      <c r="AF15" s="15" t="s">
        <v>15</v>
      </c>
      <c r="AG15" s="15"/>
      <c r="AH15" s="15"/>
    </row>
    <row r="16" spans="3:34" x14ac:dyDescent="0.25">
      <c r="C16" s="27" t="s">
        <v>35</v>
      </c>
      <c r="D16" s="5">
        <f>SUM(D9:F9)</f>
        <v>139.16</v>
      </c>
      <c r="E16" s="28">
        <f t="shared" si="2"/>
        <v>146.27000000000001</v>
      </c>
      <c r="F16" s="8"/>
      <c r="G16" s="5" t="s">
        <v>35</v>
      </c>
      <c r="H16" s="5">
        <f t="shared" si="3"/>
        <v>92.17</v>
      </c>
      <c r="I16" s="5">
        <f t="shared" si="3"/>
        <v>97.52000000000001</v>
      </c>
      <c r="J16" s="5">
        <f t="shared" si="3"/>
        <v>95.740000000000009</v>
      </c>
      <c r="K16" s="8">
        <v>16</v>
      </c>
      <c r="L16" s="8" t="s">
        <v>66</v>
      </c>
      <c r="M16" s="18">
        <f>M6-M10-M11-M12-M13-M14-M15</f>
        <v>2.1269666666630656</v>
      </c>
      <c r="O16" s="1" t="s">
        <v>67</v>
      </c>
      <c r="AB16" s="4" t="s">
        <v>68</v>
      </c>
      <c r="AC16" s="17">
        <f>H21/4</f>
        <v>43.36</v>
      </c>
      <c r="AD16" s="1" t="s">
        <v>19</v>
      </c>
      <c r="AF16" s="4" t="s">
        <v>68</v>
      </c>
      <c r="AG16" s="17">
        <f>H21/4</f>
        <v>43.36</v>
      </c>
      <c r="AH16" s="4" t="s">
        <v>19</v>
      </c>
    </row>
    <row r="17" spans="2:34" x14ac:dyDescent="0.25">
      <c r="C17" s="27" t="s">
        <v>39</v>
      </c>
      <c r="D17" s="5">
        <f>SUM(D10:F10)</f>
        <v>139.25</v>
      </c>
      <c r="E17" s="28">
        <f t="shared" si="2"/>
        <v>147.94</v>
      </c>
      <c r="F17" s="8"/>
      <c r="G17" s="5" t="s">
        <v>39</v>
      </c>
      <c r="H17" s="5">
        <f t="shared" si="3"/>
        <v>94.25</v>
      </c>
      <c r="I17" s="5">
        <f t="shared" si="3"/>
        <v>98.34</v>
      </c>
      <c r="J17" s="5">
        <f t="shared" si="3"/>
        <v>94.6</v>
      </c>
      <c r="K17" s="8"/>
      <c r="L17" s="8"/>
      <c r="M17" s="8"/>
      <c r="O17" s="1" t="s">
        <v>69</v>
      </c>
      <c r="AB17" s="1" t="s">
        <v>70</v>
      </c>
      <c r="AC17" s="24">
        <f>H22/4</f>
        <v>47.307500000000005</v>
      </c>
      <c r="AD17" s="1" t="s">
        <v>43</v>
      </c>
      <c r="AF17" s="1" t="s">
        <v>70</v>
      </c>
      <c r="AG17" s="24">
        <f>H22/4</f>
        <v>47.307500000000005</v>
      </c>
      <c r="AH17" s="1" t="s">
        <v>43</v>
      </c>
    </row>
    <row r="18" spans="2:34" ht="16.5" thickBot="1" x14ac:dyDescent="0.3">
      <c r="C18" s="32"/>
      <c r="D18" s="33">
        <f>SUM(D14:D17)</f>
        <v>548.20999999999992</v>
      </c>
      <c r="E18" s="34">
        <f>SUM(E14:E17)</f>
        <v>588.15000000000009</v>
      </c>
      <c r="F18" s="8"/>
      <c r="G18" s="8"/>
      <c r="H18" s="8">
        <f>SUM(H14:H17)</f>
        <v>365.56</v>
      </c>
      <c r="I18" s="8">
        <f t="shared" ref="I18:J18" si="4">SUM(I14:I17)</f>
        <v>389.76</v>
      </c>
      <c r="J18" s="8">
        <f t="shared" si="4"/>
        <v>381.03999999999996</v>
      </c>
      <c r="K18" s="8"/>
      <c r="L18" s="8"/>
      <c r="M18" s="8"/>
      <c r="O18" s="1" t="s">
        <v>71</v>
      </c>
      <c r="AB18" s="1" t="s">
        <v>72</v>
      </c>
      <c r="AC18" s="24">
        <f>H23/4</f>
        <v>46.384999999999998</v>
      </c>
      <c r="AD18" s="1" t="s">
        <v>26</v>
      </c>
      <c r="AF18" s="1" t="s">
        <v>72</v>
      </c>
      <c r="AG18" s="24">
        <f>H23/4</f>
        <v>46.384999999999998</v>
      </c>
      <c r="AH18" s="1" t="s">
        <v>26</v>
      </c>
    </row>
    <row r="19" spans="2:34" ht="16.5" thickBot="1" x14ac:dyDescent="0.3">
      <c r="C19" s="8"/>
      <c r="D19" s="8"/>
      <c r="E19" s="8"/>
      <c r="F19" s="8"/>
      <c r="G19" s="8"/>
      <c r="H19" s="35" t="s">
        <v>63</v>
      </c>
      <c r="I19" s="8"/>
      <c r="J19" s="8"/>
      <c r="K19" s="8"/>
      <c r="L19" s="8"/>
      <c r="M19" s="8"/>
      <c r="O19" s="1" t="s">
        <v>73</v>
      </c>
      <c r="AB19" s="1" t="s">
        <v>74</v>
      </c>
      <c r="AC19" s="24">
        <f>I21/4</f>
        <v>48.03</v>
      </c>
      <c r="AD19" s="1" t="s">
        <v>75</v>
      </c>
      <c r="AF19" s="1" t="s">
        <v>74</v>
      </c>
      <c r="AG19" s="24">
        <f>I21/4</f>
        <v>48.03</v>
      </c>
      <c r="AH19" s="1" t="s">
        <v>75</v>
      </c>
    </row>
    <row r="20" spans="2:34" x14ac:dyDescent="0.25">
      <c r="C20" s="8"/>
      <c r="D20" s="8"/>
      <c r="E20" s="8"/>
      <c r="F20" s="8"/>
      <c r="G20" s="36"/>
      <c r="H20" s="37" t="s">
        <v>5</v>
      </c>
      <c r="I20" s="37" t="s">
        <v>6</v>
      </c>
      <c r="J20" s="38"/>
      <c r="K20" s="8"/>
      <c r="L20" s="8"/>
      <c r="M20" s="8"/>
      <c r="O20" s="1" t="s">
        <v>76</v>
      </c>
      <c r="P20" s="1" t="s">
        <v>77</v>
      </c>
      <c r="AB20" s="1" t="s">
        <v>78</v>
      </c>
      <c r="AC20" s="24">
        <f>I22/4</f>
        <v>50.1325</v>
      </c>
      <c r="AD20" s="1" t="s">
        <v>79</v>
      </c>
      <c r="AF20" s="1" t="s">
        <v>78</v>
      </c>
      <c r="AG20" s="24">
        <f>I22/4</f>
        <v>50.1325</v>
      </c>
      <c r="AH20" s="1" t="s">
        <v>79</v>
      </c>
    </row>
    <row r="21" spans="2:34" x14ac:dyDescent="0.25">
      <c r="C21" s="8"/>
      <c r="D21" s="8"/>
      <c r="E21" s="8"/>
      <c r="F21" s="8"/>
      <c r="G21" s="27" t="s">
        <v>20</v>
      </c>
      <c r="H21" s="5">
        <f>SUM(D7:D10)</f>
        <v>173.44</v>
      </c>
      <c r="I21" s="5">
        <f>SUM(G7:G10)</f>
        <v>192.12</v>
      </c>
      <c r="J21" s="28">
        <f>SUM(H21:I21)</f>
        <v>365.56</v>
      </c>
      <c r="K21" s="8"/>
      <c r="L21" s="8"/>
      <c r="M21" s="8"/>
      <c r="O21" s="1" t="s">
        <v>80</v>
      </c>
      <c r="P21" s="1" t="s">
        <v>81</v>
      </c>
      <c r="AB21" s="1" t="s">
        <v>82</v>
      </c>
      <c r="AC21" s="24">
        <f>I23/4</f>
        <v>48.875</v>
      </c>
      <c r="AD21" s="1" t="s">
        <v>75</v>
      </c>
      <c r="AF21" s="9" t="s">
        <v>82</v>
      </c>
      <c r="AG21" s="20">
        <f>I23/4</f>
        <v>48.875</v>
      </c>
      <c r="AH21" s="9" t="s">
        <v>75</v>
      </c>
    </row>
    <row r="22" spans="2:34" x14ac:dyDescent="0.25">
      <c r="C22" s="8"/>
      <c r="D22" s="8"/>
      <c r="E22" s="8"/>
      <c r="F22" s="8"/>
      <c r="G22" s="27" t="s">
        <v>21</v>
      </c>
      <c r="H22" s="5">
        <f>SUM(E7:E10)</f>
        <v>189.23000000000002</v>
      </c>
      <c r="I22" s="5">
        <f>SUM(H7:H10)</f>
        <v>200.53</v>
      </c>
      <c r="J22" s="28">
        <f t="shared" ref="J22:J23" si="5">SUM(H22:I22)</f>
        <v>389.76</v>
      </c>
      <c r="K22" s="8"/>
      <c r="L22" s="8"/>
      <c r="M22" s="8"/>
      <c r="O22" s="1" t="s">
        <v>83</v>
      </c>
      <c r="P22" s="1" t="s">
        <v>84</v>
      </c>
      <c r="AB22" s="15" t="s">
        <v>51</v>
      </c>
      <c r="AC22" s="26">
        <f>Y13*Z13</f>
        <v>0.65360833065270063</v>
      </c>
      <c r="AD22" s="15"/>
      <c r="AF22" s="15" t="s">
        <v>52</v>
      </c>
      <c r="AG22" s="26">
        <f>X13*Z13</f>
        <v>0.45952646282556547</v>
      </c>
      <c r="AH22" s="15"/>
    </row>
    <row r="23" spans="2:34" ht="16.5" thickBot="1" x14ac:dyDescent="0.3">
      <c r="C23" s="8"/>
      <c r="D23" s="8"/>
      <c r="E23" s="8"/>
      <c r="F23" s="8"/>
      <c r="G23" s="32" t="s">
        <v>22</v>
      </c>
      <c r="H23" s="33">
        <f>SUM(F7:F10)</f>
        <v>185.54</v>
      </c>
      <c r="I23" s="33">
        <f>SUM(I7:I10)</f>
        <v>195.5</v>
      </c>
      <c r="J23" s="34">
        <f t="shared" si="5"/>
        <v>381.03999999999996</v>
      </c>
      <c r="K23" s="8"/>
      <c r="L23" s="8"/>
      <c r="M23" s="8"/>
    </row>
    <row r="24" spans="2:34" x14ac:dyDescent="0.25">
      <c r="B24" s="70"/>
      <c r="C24" s="70"/>
      <c r="D24" s="70"/>
      <c r="E24" s="70"/>
      <c r="F24" s="70"/>
    </row>
    <row r="25" spans="2:34" x14ac:dyDescent="0.25">
      <c r="B25" s="70"/>
      <c r="C25" s="70"/>
      <c r="D25" s="70"/>
      <c r="E25" s="70"/>
      <c r="F25" s="70"/>
      <c r="G25" s="70"/>
      <c r="H25" s="70"/>
      <c r="I25" s="70"/>
    </row>
    <row r="26" spans="2:34" x14ac:dyDescent="0.25">
      <c r="B26" s="70"/>
      <c r="C26" s="70"/>
      <c r="D26" s="70"/>
      <c r="E26" s="70"/>
      <c r="F26" s="70"/>
      <c r="I26" s="70"/>
    </row>
    <row r="42" spans="6:13" x14ac:dyDescent="0.25">
      <c r="F42" s="39"/>
      <c r="G42" s="40"/>
      <c r="H42" s="39"/>
      <c r="I42" s="39"/>
      <c r="J42" s="39"/>
      <c r="K42" s="39"/>
      <c r="L42" s="41"/>
      <c r="M42" s="8"/>
    </row>
    <row r="43" spans="6:13" x14ac:dyDescent="0.25">
      <c r="F43" s="39"/>
      <c r="G43" s="40"/>
      <c r="H43" s="8"/>
      <c r="I43" s="8"/>
      <c r="J43" s="8"/>
      <c r="K43" s="8"/>
      <c r="L43" s="8"/>
      <c r="M43" s="8"/>
    </row>
    <row r="44" spans="6:13" x14ac:dyDescent="0.25">
      <c r="F44" s="39"/>
      <c r="G44" s="8"/>
      <c r="H44" s="8"/>
      <c r="I44" s="8"/>
      <c r="J44" s="8"/>
      <c r="K44" s="8"/>
      <c r="L44" s="8"/>
    </row>
    <row r="45" spans="6:13" x14ac:dyDescent="0.25">
      <c r="F45" s="39"/>
      <c r="G45" s="8"/>
      <c r="H45" s="8"/>
      <c r="I45" s="8"/>
      <c r="J45" s="8"/>
      <c r="K45" s="8"/>
      <c r="L45" s="8"/>
    </row>
    <row r="46" spans="6:13" x14ac:dyDescent="0.25">
      <c r="F46" s="39"/>
      <c r="G46" s="8"/>
      <c r="H46" s="8"/>
      <c r="I46" s="8"/>
      <c r="J46" s="8"/>
      <c r="K46" s="8"/>
      <c r="L46" s="8"/>
    </row>
    <row r="47" spans="6:13" x14ac:dyDescent="0.25">
      <c r="F47" s="8"/>
      <c r="G47" s="2"/>
      <c r="H47" s="42"/>
      <c r="I47" s="42"/>
      <c r="J47" s="42"/>
      <c r="K47" s="42"/>
      <c r="L47" s="42"/>
    </row>
    <row r="48" spans="6:13" x14ac:dyDescent="0.25">
      <c r="F48" s="39"/>
      <c r="G48" s="8"/>
      <c r="H48" s="2"/>
      <c r="I48" s="2"/>
      <c r="J48" s="2"/>
      <c r="K48" s="2"/>
    </row>
    <row r="49" spans="6:11" x14ac:dyDescent="0.25">
      <c r="F49" s="39"/>
      <c r="G49" s="8"/>
      <c r="H49" s="2"/>
      <c r="I49" s="2"/>
      <c r="J49" s="2"/>
      <c r="K49" s="2"/>
    </row>
    <row r="50" spans="6:11" x14ac:dyDescent="0.25">
      <c r="F50" s="39"/>
      <c r="G50" s="8"/>
      <c r="H50" s="2"/>
      <c r="I50" s="2"/>
      <c r="J50" s="2"/>
      <c r="K50" s="2"/>
    </row>
    <row r="51" spans="6:11" x14ac:dyDescent="0.25">
      <c r="F51" s="2"/>
    </row>
    <row r="52" spans="6:11" x14ac:dyDescent="0.25">
      <c r="F52" s="43"/>
    </row>
  </sheetData>
  <mergeCells count="19">
    <mergeCell ref="G25:H25"/>
    <mergeCell ref="I25:I26"/>
    <mergeCell ref="B24:F24"/>
    <mergeCell ref="B25:B26"/>
    <mergeCell ref="C25:C26"/>
    <mergeCell ref="D25:D26"/>
    <mergeCell ref="E25:E26"/>
    <mergeCell ref="F25:F26"/>
    <mergeCell ref="C12:E12"/>
    <mergeCell ref="G12:J12"/>
    <mergeCell ref="C4:C6"/>
    <mergeCell ref="D4:F5"/>
    <mergeCell ref="G4:I5"/>
    <mergeCell ref="J4:J6"/>
    <mergeCell ref="D1:G1"/>
    <mergeCell ref="D2:G2"/>
    <mergeCell ref="U3:V3"/>
    <mergeCell ref="X3:Y3"/>
    <mergeCell ref="AB3:AC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591CB1-A80D-4E96-8680-6D2452BA1B55}">
  <dimension ref="B1:AH52"/>
  <sheetViews>
    <sheetView topLeftCell="P7" workbookViewId="0">
      <selection activeCell="AC16" sqref="AC16:AD22"/>
    </sheetView>
  </sheetViews>
  <sheetFormatPr defaultRowHeight="15.75" x14ac:dyDescent="0.25"/>
  <cols>
    <col min="1" max="1" width="9.140625" style="1"/>
    <col min="2" max="2" width="11.42578125" style="1" customWidth="1"/>
    <col min="3" max="4" width="9.140625" style="1"/>
    <col min="5" max="5" width="9.7109375" style="1" bestFit="1" customWidth="1"/>
    <col min="6" max="8" width="9.140625" style="1"/>
    <col min="9" max="9" width="9.140625" style="1" customWidth="1"/>
    <col min="10" max="11" width="9.140625" style="1"/>
    <col min="12" max="12" width="10.7109375" style="1" customWidth="1"/>
    <col min="13" max="13" width="10.140625" style="1" bestFit="1" customWidth="1"/>
    <col min="14" max="14" width="9.140625" style="1"/>
    <col min="15" max="15" width="19.28515625" style="1" customWidth="1"/>
    <col min="16" max="16" width="5.28515625" style="1" customWidth="1"/>
    <col min="17" max="19" width="9.140625" style="1"/>
    <col min="20" max="20" width="3.28515625" style="1" customWidth="1"/>
    <col min="21" max="26" width="9.140625" style="1"/>
    <col min="27" max="27" width="3.140625" style="1" customWidth="1"/>
    <col min="28" max="28" width="27.140625" style="1" customWidth="1"/>
    <col min="29" max="29" width="8.140625" style="1" customWidth="1"/>
    <col min="30" max="30" width="3.140625" style="1" customWidth="1"/>
    <col min="31" max="31" width="2.7109375" style="1" customWidth="1"/>
    <col min="32" max="32" width="28.28515625" style="1" customWidth="1"/>
    <col min="33" max="33" width="7.85546875" style="1" customWidth="1"/>
    <col min="34" max="34" width="3.140625" style="1" customWidth="1"/>
    <col min="35" max="16384" width="9.140625" style="1"/>
  </cols>
  <sheetData>
    <row r="1" spans="3:34" x14ac:dyDescent="0.25">
      <c r="D1" s="70" t="s">
        <v>0</v>
      </c>
      <c r="E1" s="70"/>
      <c r="F1" s="70"/>
      <c r="G1" s="70"/>
    </row>
    <row r="2" spans="3:34" x14ac:dyDescent="0.25">
      <c r="D2" s="71" t="s">
        <v>88</v>
      </c>
      <c r="E2" s="71"/>
      <c r="F2" s="71"/>
      <c r="G2" s="71"/>
      <c r="O2" s="1" t="s">
        <v>1</v>
      </c>
    </row>
    <row r="3" spans="3:34" x14ac:dyDescent="0.25">
      <c r="O3" s="4"/>
      <c r="P3" s="4"/>
      <c r="Q3" s="4"/>
      <c r="R3" s="4"/>
      <c r="S3" s="4"/>
      <c r="T3" s="4"/>
      <c r="U3" s="72" t="s">
        <v>2</v>
      </c>
      <c r="V3" s="72"/>
      <c r="X3" s="72" t="s">
        <v>3</v>
      </c>
      <c r="Y3" s="72"/>
      <c r="AB3" s="70"/>
      <c r="AC3" s="70"/>
    </row>
    <row r="4" spans="3:34" ht="31.5" customHeight="1" x14ac:dyDescent="0.25">
      <c r="C4" s="77" t="s">
        <v>4</v>
      </c>
      <c r="D4" s="73" t="s">
        <v>5</v>
      </c>
      <c r="E4" s="73"/>
      <c r="F4" s="73"/>
      <c r="G4" s="73" t="s">
        <v>6</v>
      </c>
      <c r="H4" s="73"/>
      <c r="I4" s="74"/>
      <c r="J4" s="78" t="s">
        <v>7</v>
      </c>
      <c r="K4" s="8">
        <v>4</v>
      </c>
      <c r="L4" s="8" t="s">
        <v>8</v>
      </c>
      <c r="M4" s="8">
        <f>SUMSQ(D7:I10)</f>
        <v>88298.494500000015</v>
      </c>
      <c r="O4" s="9" t="s">
        <v>9</v>
      </c>
      <c r="P4" s="10" t="s">
        <v>10</v>
      </c>
      <c r="Q4" s="9" t="s">
        <v>11</v>
      </c>
      <c r="R4" s="9" t="s">
        <v>12</v>
      </c>
      <c r="S4" s="9" t="s">
        <v>13</v>
      </c>
      <c r="T4" s="9"/>
      <c r="U4" s="11">
        <v>0.05</v>
      </c>
      <c r="V4" s="11">
        <v>0.01</v>
      </c>
      <c r="X4" s="12">
        <v>0.05</v>
      </c>
      <c r="Y4" s="12">
        <v>0.01</v>
      </c>
      <c r="Z4" s="13" t="s">
        <v>14</v>
      </c>
      <c r="AA4" s="13"/>
      <c r="AB4" s="14" t="s">
        <v>15</v>
      </c>
      <c r="AC4" s="14"/>
      <c r="AD4" s="15"/>
      <c r="AF4" s="14" t="s">
        <v>15</v>
      </c>
      <c r="AG4" s="14"/>
      <c r="AH4" s="15"/>
    </row>
    <row r="5" spans="3:34" x14ac:dyDescent="0.25">
      <c r="C5" s="77"/>
      <c r="D5" s="73"/>
      <c r="E5" s="73"/>
      <c r="F5" s="73"/>
      <c r="G5" s="73"/>
      <c r="H5" s="73"/>
      <c r="I5" s="74"/>
      <c r="J5" s="78"/>
      <c r="K5" s="8">
        <v>5</v>
      </c>
      <c r="L5" s="8" t="s">
        <v>16</v>
      </c>
      <c r="M5" s="8">
        <f>(J11^2)/24</f>
        <v>87968.252504166667</v>
      </c>
      <c r="O5" s="1" t="s">
        <v>17</v>
      </c>
      <c r="T5" s="16"/>
      <c r="AB5" s="4" t="s">
        <v>18</v>
      </c>
      <c r="AC5" s="17">
        <f>D18/12</f>
        <v>57.825833333333343</v>
      </c>
      <c r="AD5" s="4" t="s">
        <v>19</v>
      </c>
      <c r="AF5" s="4" t="s">
        <v>18</v>
      </c>
      <c r="AG5" s="17">
        <f>D18/12</f>
        <v>57.825833333333343</v>
      </c>
      <c r="AH5" s="4" t="s">
        <v>19</v>
      </c>
    </row>
    <row r="6" spans="3:34" x14ac:dyDescent="0.25">
      <c r="C6" s="77"/>
      <c r="D6" s="5" t="s">
        <v>20</v>
      </c>
      <c r="E6" s="5" t="s">
        <v>21</v>
      </c>
      <c r="F6" s="5" t="s">
        <v>22</v>
      </c>
      <c r="G6" s="5" t="s">
        <v>20</v>
      </c>
      <c r="H6" s="5" t="s">
        <v>21</v>
      </c>
      <c r="I6" s="6" t="s">
        <v>22</v>
      </c>
      <c r="J6" s="78"/>
      <c r="K6" s="8">
        <v>6</v>
      </c>
      <c r="L6" s="8" t="s">
        <v>23</v>
      </c>
      <c r="M6" s="18">
        <f>SUMSQ(D7:I10)-M5</f>
        <v>330.24199583334848</v>
      </c>
      <c r="N6" s="2"/>
      <c r="O6" s="19" t="s">
        <v>24</v>
      </c>
      <c r="P6" s="2">
        <v>3</v>
      </c>
      <c r="Q6" s="1">
        <f>M10</f>
        <v>16.625079166668002</v>
      </c>
      <c r="R6" s="1">
        <f>Q6/P6</f>
        <v>5.5416930555560002</v>
      </c>
      <c r="T6" s="16"/>
      <c r="AB6" s="9" t="s">
        <v>25</v>
      </c>
      <c r="AC6" s="20">
        <f>E18/12</f>
        <v>63.258333333333326</v>
      </c>
      <c r="AD6" s="9" t="s">
        <v>26</v>
      </c>
      <c r="AF6" s="9" t="s">
        <v>25</v>
      </c>
      <c r="AG6" s="20">
        <f>E18/12</f>
        <v>63.258333333333326</v>
      </c>
      <c r="AH6" s="9" t="s">
        <v>26</v>
      </c>
    </row>
    <row r="7" spans="3:34" x14ac:dyDescent="0.25">
      <c r="C7" s="5" t="s">
        <v>27</v>
      </c>
      <c r="D7" s="5">
        <v>57.89</v>
      </c>
      <c r="E7" s="6">
        <v>58.75</v>
      </c>
      <c r="F7" s="6">
        <v>58</v>
      </c>
      <c r="G7" s="6">
        <v>60</v>
      </c>
      <c r="H7" s="5">
        <v>66.5</v>
      </c>
      <c r="I7" s="6">
        <v>65.89</v>
      </c>
      <c r="J7" s="7">
        <f>SUM(D7:I7)</f>
        <v>367.03</v>
      </c>
      <c r="K7" s="8">
        <v>7</v>
      </c>
      <c r="L7" s="8" t="s">
        <v>28</v>
      </c>
      <c r="M7" s="8">
        <f>(SUMSQ(D14:E17)/3)-M5</f>
        <v>200.27279583332711</v>
      </c>
      <c r="O7" s="19" t="s">
        <v>29</v>
      </c>
      <c r="P7" s="2">
        <v>1</v>
      </c>
      <c r="Q7" s="1">
        <f>M11</f>
        <v>177.07233749999432</v>
      </c>
      <c r="R7" s="1">
        <f>Q7/P7</f>
        <v>177.07233749999432</v>
      </c>
      <c r="S7" s="1">
        <f>R7/R8</f>
        <v>80.788803053836773</v>
      </c>
      <c r="T7" s="21" t="str">
        <f>IF(S7&lt;U7,"tn",IF(S7&lt;V7,"*","**"))</f>
        <v>**</v>
      </c>
      <c r="U7" s="1">
        <f>FINV(0.05,P7,P8)</f>
        <v>10.127964486013932</v>
      </c>
      <c r="V7" s="1">
        <f>FINV(0.01,P7,P8)</f>
        <v>34.116221564529795</v>
      </c>
      <c r="AB7" s="9" t="s">
        <v>30</v>
      </c>
      <c r="AC7" s="20">
        <f>Y8*Z8</f>
        <v>4.3237142473287982</v>
      </c>
      <c r="AD7" s="9"/>
      <c r="AF7" s="9" t="s">
        <v>31</v>
      </c>
      <c r="AG7" s="20">
        <f>X8*Z8</f>
        <v>2.3554286483479259</v>
      </c>
      <c r="AH7" s="9"/>
    </row>
    <row r="8" spans="3:34" x14ac:dyDescent="0.25">
      <c r="C8" s="5" t="s">
        <v>32</v>
      </c>
      <c r="D8" s="5">
        <v>57.8</v>
      </c>
      <c r="E8" s="5">
        <v>59.6</v>
      </c>
      <c r="F8" s="6">
        <v>58.5</v>
      </c>
      <c r="G8" s="6">
        <v>59.55</v>
      </c>
      <c r="H8" s="5">
        <v>65.05</v>
      </c>
      <c r="I8" s="6">
        <v>64.989999999999995</v>
      </c>
      <c r="J8" s="7">
        <f t="shared" ref="J8:J10" si="0">SUM(D8:I8)</f>
        <v>365.49</v>
      </c>
      <c r="K8" s="8">
        <v>8</v>
      </c>
      <c r="L8" s="8" t="s">
        <v>33</v>
      </c>
      <c r="M8" s="8">
        <f>(SUMSQ(H14:J17)/2)-M5</f>
        <v>124.2031458333513</v>
      </c>
      <c r="O8" s="22" t="s">
        <v>34</v>
      </c>
      <c r="P8" s="10">
        <v>3</v>
      </c>
      <c r="Q8" s="9">
        <f>M13</f>
        <v>6.5753791666647885</v>
      </c>
      <c r="R8" s="9">
        <f>Q8/P8</f>
        <v>2.1917930555549296</v>
      </c>
      <c r="S8" s="9"/>
      <c r="T8" s="23"/>
      <c r="U8" s="9"/>
      <c r="V8" s="9"/>
      <c r="X8" s="1">
        <v>3.1819999999999999</v>
      </c>
      <c r="Y8" s="1">
        <v>5.8410000000000002</v>
      </c>
      <c r="Z8" s="1">
        <f>SQRT(R8/4)</f>
        <v>0.7402352760364318</v>
      </c>
      <c r="AC8" s="24"/>
      <c r="AG8" s="24"/>
    </row>
    <row r="9" spans="3:34" x14ac:dyDescent="0.25">
      <c r="C9" s="5" t="s">
        <v>35</v>
      </c>
      <c r="D9" s="5">
        <v>57.75</v>
      </c>
      <c r="E9" s="5">
        <v>59.77</v>
      </c>
      <c r="F9" s="6">
        <v>58.89</v>
      </c>
      <c r="G9" s="6">
        <v>59.75</v>
      </c>
      <c r="H9" s="5">
        <v>65.77</v>
      </c>
      <c r="I9" s="6">
        <v>63.9</v>
      </c>
      <c r="J9" s="7">
        <f t="shared" si="0"/>
        <v>365.83</v>
      </c>
      <c r="K9" s="8">
        <v>9</v>
      </c>
      <c r="L9" s="8" t="s">
        <v>36</v>
      </c>
      <c r="M9" s="8">
        <f>(SUMSQ(H21:I23)/4)-M5</f>
        <v>283.5200708333432</v>
      </c>
      <c r="O9" s="1" t="s">
        <v>37</v>
      </c>
      <c r="P9" s="2"/>
      <c r="T9" s="21"/>
      <c r="AB9" s="4" t="s">
        <v>38</v>
      </c>
      <c r="AC9" s="17">
        <f>H18/8</f>
        <v>57.752499999999998</v>
      </c>
      <c r="AD9" s="4" t="s">
        <v>19</v>
      </c>
      <c r="AF9" s="4" t="s">
        <v>38</v>
      </c>
      <c r="AG9" s="17">
        <f>H18/8</f>
        <v>57.752499999999998</v>
      </c>
      <c r="AH9" s="4" t="s">
        <v>19</v>
      </c>
    </row>
    <row r="10" spans="3:34" x14ac:dyDescent="0.25">
      <c r="C10" s="5" t="s">
        <v>39</v>
      </c>
      <c r="D10" s="5">
        <v>50.68</v>
      </c>
      <c r="E10" s="5">
        <v>57.68</v>
      </c>
      <c r="F10" s="6">
        <v>58.6</v>
      </c>
      <c r="G10" s="6">
        <v>58.6</v>
      </c>
      <c r="H10" s="5">
        <v>64.55</v>
      </c>
      <c r="I10" s="6">
        <v>64.55</v>
      </c>
      <c r="J10" s="7">
        <f t="shared" si="0"/>
        <v>354.66</v>
      </c>
      <c r="K10" s="8">
        <v>10</v>
      </c>
      <c r="L10" s="8" t="s">
        <v>40</v>
      </c>
      <c r="M10" s="8">
        <f>(SUMSQ(J7:J10)/6)-M5</f>
        <v>16.625079166668002</v>
      </c>
      <c r="O10" s="19" t="s">
        <v>41</v>
      </c>
      <c r="P10" s="2">
        <v>2</v>
      </c>
      <c r="Q10" s="1">
        <f>M12</f>
        <v>94.56395833332499</v>
      </c>
      <c r="R10" s="1">
        <f t="shared" ref="R10:R13" si="1">Q10/P10</f>
        <v>47.281979166662495</v>
      </c>
      <c r="S10" s="1">
        <f>R10/R11</f>
        <v>21.798794641412663</v>
      </c>
      <c r="T10" s="21" t="str">
        <f>IF(S10&lt;U10,"tn",IF(S10&lt;V10,"*","**"))</f>
        <v>**</v>
      </c>
      <c r="U10" s="1">
        <f>FINV(0.05,P10,P11)</f>
        <v>5.1432528497847176</v>
      </c>
      <c r="V10" s="1">
        <f>FINV(0.01,P10,P11)</f>
        <v>10.924766500838338</v>
      </c>
      <c r="AB10" s="1" t="s">
        <v>42</v>
      </c>
      <c r="AC10" s="24">
        <f>I18/8</f>
        <v>62.208749999999995</v>
      </c>
      <c r="AD10" s="1" t="s">
        <v>26</v>
      </c>
      <c r="AF10" s="1" t="s">
        <v>42</v>
      </c>
      <c r="AG10" s="24">
        <f>I18/8</f>
        <v>62.208749999999995</v>
      </c>
      <c r="AH10" s="1" t="s">
        <v>43</v>
      </c>
    </row>
    <row r="11" spans="3:34" x14ac:dyDescent="0.25">
      <c r="C11" s="8"/>
      <c r="D11" s="8"/>
      <c r="E11" s="8"/>
      <c r="F11" s="8"/>
      <c r="G11" s="8"/>
      <c r="H11" s="8"/>
      <c r="I11" s="8"/>
      <c r="J11" s="25">
        <f>SUM(J7:J10)</f>
        <v>1453.01</v>
      </c>
      <c r="K11" s="8">
        <v>11</v>
      </c>
      <c r="L11" s="8" t="s">
        <v>44</v>
      </c>
      <c r="M11" s="8">
        <f>(SUMSQ(D18:E18)/12)-M5</f>
        <v>177.07233749999432</v>
      </c>
      <c r="O11" s="19" t="s">
        <v>45</v>
      </c>
      <c r="P11" s="2">
        <v>6</v>
      </c>
      <c r="Q11" s="1">
        <f>M14</f>
        <v>13.014108333358308</v>
      </c>
      <c r="R11" s="1">
        <f t="shared" si="1"/>
        <v>2.1690180555597181</v>
      </c>
      <c r="T11" s="21"/>
      <c r="X11" s="1">
        <v>4.3029999999999999</v>
      </c>
      <c r="Y11" s="1">
        <v>9.9250000000000007</v>
      </c>
      <c r="Z11" s="1">
        <f>SQRT(R11/4)</f>
        <v>0.73637932744607215</v>
      </c>
      <c r="AB11" s="9" t="s">
        <v>46</v>
      </c>
      <c r="AC11" s="20">
        <f>J18/8</f>
        <v>61.664999999999992</v>
      </c>
      <c r="AD11" s="9" t="s">
        <v>26</v>
      </c>
      <c r="AF11" s="9" t="s">
        <v>46</v>
      </c>
      <c r="AG11" s="20">
        <f>J18/8</f>
        <v>61.664999999999992</v>
      </c>
      <c r="AH11" s="9" t="s">
        <v>26</v>
      </c>
    </row>
    <row r="12" spans="3:34" x14ac:dyDescent="0.25">
      <c r="C12" s="73" t="s">
        <v>47</v>
      </c>
      <c r="D12" s="73"/>
      <c r="E12" s="73"/>
      <c r="F12" s="8"/>
      <c r="G12" s="74" t="s">
        <v>48</v>
      </c>
      <c r="H12" s="75"/>
      <c r="I12" s="75"/>
      <c r="J12" s="76"/>
      <c r="K12" s="8">
        <v>12</v>
      </c>
      <c r="L12" s="8" t="s">
        <v>49</v>
      </c>
      <c r="M12" s="8">
        <f>(SUMSQ(J21:J23)/8)-M5</f>
        <v>94.56395833332499</v>
      </c>
      <c r="O12" s="19" t="s">
        <v>50</v>
      </c>
      <c r="P12" s="2">
        <v>2</v>
      </c>
      <c r="Q12" s="1">
        <f>M15</f>
        <v>11.883775000023888</v>
      </c>
      <c r="R12" s="1">
        <f t="shared" si="1"/>
        <v>5.9418875000119442</v>
      </c>
      <c r="S12" s="1">
        <f>R12/R13</f>
        <v>5.654977503882062</v>
      </c>
      <c r="T12" s="21" t="str">
        <f>IF(S12&lt;U12,"tn",IF(S12&lt;V12,"*","**"))</f>
        <v>*</v>
      </c>
      <c r="U12" s="1">
        <f>FINV(0.05,P12,P13)</f>
        <v>4.1028210151304032</v>
      </c>
      <c r="V12" s="1">
        <f>FINV(0.01,P12,P13)</f>
        <v>7.5594321575479011</v>
      </c>
      <c r="AB12" s="15" t="s">
        <v>51</v>
      </c>
      <c r="AC12" s="26">
        <f>Y11*Z11</f>
        <v>7.308564824902267</v>
      </c>
      <c r="AD12" s="15"/>
      <c r="AF12" s="15" t="s">
        <v>52</v>
      </c>
      <c r="AG12" s="26">
        <f>X11*Z11</f>
        <v>3.1686402460004484</v>
      </c>
      <c r="AH12" s="15"/>
    </row>
    <row r="13" spans="3:34" x14ac:dyDescent="0.25">
      <c r="C13" s="27" t="s">
        <v>53</v>
      </c>
      <c r="D13" s="5" t="s">
        <v>54</v>
      </c>
      <c r="E13" s="28" t="s">
        <v>55</v>
      </c>
      <c r="F13" s="8"/>
      <c r="G13" s="5" t="s">
        <v>56</v>
      </c>
      <c r="H13" s="5" t="s">
        <v>57</v>
      </c>
      <c r="I13" s="5" t="s">
        <v>58</v>
      </c>
      <c r="J13" s="5" t="s">
        <v>59</v>
      </c>
      <c r="K13" s="8">
        <v>13</v>
      </c>
      <c r="L13" s="8" t="s">
        <v>60</v>
      </c>
      <c r="M13" s="8">
        <f>M7-M10-M11</f>
        <v>6.5753791666647885</v>
      </c>
      <c r="O13" s="22" t="s">
        <v>61</v>
      </c>
      <c r="P13" s="10">
        <v>10</v>
      </c>
      <c r="Q13" s="29">
        <f>M16</f>
        <v>10.507358333314187</v>
      </c>
      <c r="R13" s="9">
        <f t="shared" si="1"/>
        <v>1.0507358333314187</v>
      </c>
      <c r="S13" s="9"/>
      <c r="T13" s="30"/>
      <c r="U13" s="9"/>
      <c r="V13" s="9"/>
      <c r="X13" s="1">
        <v>2.2280000000000002</v>
      </c>
      <c r="Y13" s="1">
        <v>3.169</v>
      </c>
      <c r="Z13" s="1">
        <f>SQRT(R13/5)</f>
        <v>0.4584181133706256</v>
      </c>
    </row>
    <row r="14" spans="3:34" x14ac:dyDescent="0.25">
      <c r="C14" s="27" t="s">
        <v>27</v>
      </c>
      <c r="D14" s="5">
        <f>SUM(D7:F7)</f>
        <v>174.64</v>
      </c>
      <c r="E14" s="28">
        <f>SUM(G7:I7)</f>
        <v>192.39</v>
      </c>
      <c r="F14" s="8"/>
      <c r="G14" s="5" t="s">
        <v>27</v>
      </c>
      <c r="H14" s="5">
        <f>D7+G7</f>
        <v>117.89</v>
      </c>
      <c r="I14" s="5">
        <f>E7+H7</f>
        <v>125.25</v>
      </c>
      <c r="J14" s="5">
        <f>F7+I7</f>
        <v>123.89</v>
      </c>
      <c r="K14" s="8">
        <v>14</v>
      </c>
      <c r="L14" s="8" t="s">
        <v>62</v>
      </c>
      <c r="M14" s="8">
        <f>M8-M10-M12</f>
        <v>13.014108333358308</v>
      </c>
      <c r="O14" s="31" t="s">
        <v>7</v>
      </c>
      <c r="P14" s="15"/>
      <c r="Q14" s="15">
        <f>SUM(Q6:Q13)</f>
        <v>330.24199583334848</v>
      </c>
      <c r="R14" s="15"/>
      <c r="S14" s="15"/>
      <c r="T14" s="15"/>
      <c r="U14" s="15"/>
      <c r="V14" s="15"/>
      <c r="AB14" s="3" t="s">
        <v>63</v>
      </c>
      <c r="AF14" s="3" t="s">
        <v>63</v>
      </c>
    </row>
    <row r="15" spans="3:34" x14ac:dyDescent="0.25">
      <c r="C15" s="27" t="s">
        <v>32</v>
      </c>
      <c r="D15" s="5">
        <f>SUM(D8:F8)</f>
        <v>175.9</v>
      </c>
      <c r="E15" s="28">
        <f t="shared" ref="E15:E17" si="2">SUM(G8:I8)</f>
        <v>189.58999999999997</v>
      </c>
      <c r="F15" s="8"/>
      <c r="G15" s="5" t="s">
        <v>32</v>
      </c>
      <c r="H15" s="5">
        <f t="shared" ref="H15:J17" si="3">D8+G8</f>
        <v>117.35</v>
      </c>
      <c r="I15" s="5">
        <f t="shared" si="3"/>
        <v>124.65</v>
      </c>
      <c r="J15" s="5">
        <f t="shared" si="3"/>
        <v>123.49</v>
      </c>
      <c r="K15" s="8">
        <v>15</v>
      </c>
      <c r="L15" s="8" t="s">
        <v>64</v>
      </c>
      <c r="M15" s="8">
        <f>M9-M11-M12</f>
        <v>11.883775000023888</v>
      </c>
      <c r="O15" s="19" t="s">
        <v>65</v>
      </c>
      <c r="Q15" s="1">
        <f>M5</f>
        <v>87968.252504166667</v>
      </c>
      <c r="AB15" s="15" t="s">
        <v>15</v>
      </c>
      <c r="AC15" s="15"/>
      <c r="AD15" s="15"/>
      <c r="AF15" s="15" t="s">
        <v>15</v>
      </c>
      <c r="AG15" s="15"/>
      <c r="AH15" s="15"/>
    </row>
    <row r="16" spans="3:34" x14ac:dyDescent="0.25">
      <c r="C16" s="27" t="s">
        <v>35</v>
      </c>
      <c r="D16" s="5">
        <f>SUM(D9:F9)</f>
        <v>176.41000000000003</v>
      </c>
      <c r="E16" s="28">
        <f t="shared" si="2"/>
        <v>189.42</v>
      </c>
      <c r="F16" s="8"/>
      <c r="G16" s="5" t="s">
        <v>35</v>
      </c>
      <c r="H16" s="5">
        <f t="shared" si="3"/>
        <v>117.5</v>
      </c>
      <c r="I16" s="5">
        <f t="shared" si="3"/>
        <v>125.53999999999999</v>
      </c>
      <c r="J16" s="5">
        <f t="shared" si="3"/>
        <v>122.78999999999999</v>
      </c>
      <c r="K16" s="8">
        <v>16</v>
      </c>
      <c r="L16" s="8" t="s">
        <v>66</v>
      </c>
      <c r="M16" s="18">
        <f>M6-M10-M11-M12-M13-M14-M15</f>
        <v>10.507358333314187</v>
      </c>
      <c r="O16" s="1" t="s">
        <v>67</v>
      </c>
      <c r="AB16" s="4" t="s">
        <v>68</v>
      </c>
      <c r="AC16" s="17">
        <f>H21/4</f>
        <v>56.03</v>
      </c>
      <c r="AD16" s="1" t="s">
        <v>19</v>
      </c>
      <c r="AF16" s="4" t="s">
        <v>68</v>
      </c>
      <c r="AG16" s="17">
        <f>H21/4</f>
        <v>56.03</v>
      </c>
      <c r="AH16" s="4" t="s">
        <v>19</v>
      </c>
    </row>
    <row r="17" spans="2:34" x14ac:dyDescent="0.25">
      <c r="C17" s="27" t="s">
        <v>39</v>
      </c>
      <c r="D17" s="5">
        <f>SUM(D10:F10)</f>
        <v>166.96</v>
      </c>
      <c r="E17" s="28">
        <f t="shared" si="2"/>
        <v>187.7</v>
      </c>
      <c r="F17" s="8"/>
      <c r="G17" s="5" t="s">
        <v>39</v>
      </c>
      <c r="H17" s="5">
        <f t="shared" si="3"/>
        <v>109.28</v>
      </c>
      <c r="I17" s="5">
        <f t="shared" si="3"/>
        <v>122.22999999999999</v>
      </c>
      <c r="J17" s="5">
        <f t="shared" si="3"/>
        <v>123.15</v>
      </c>
      <c r="K17" s="8"/>
      <c r="L17" s="8"/>
      <c r="M17" s="8"/>
      <c r="O17" s="1" t="s">
        <v>69</v>
      </c>
      <c r="AB17" s="1" t="s">
        <v>70</v>
      </c>
      <c r="AC17" s="24">
        <f>H22/4</f>
        <v>58.95</v>
      </c>
      <c r="AD17" s="1" t="s">
        <v>43</v>
      </c>
      <c r="AF17" s="1" t="s">
        <v>70</v>
      </c>
      <c r="AG17" s="24">
        <f>H22/4</f>
        <v>58.95</v>
      </c>
      <c r="AH17" s="1" t="s">
        <v>43</v>
      </c>
    </row>
    <row r="18" spans="2:34" ht="16.5" thickBot="1" x14ac:dyDescent="0.3">
      <c r="C18" s="32"/>
      <c r="D18" s="33">
        <f>SUM(D14:D17)</f>
        <v>693.91000000000008</v>
      </c>
      <c r="E18" s="34">
        <f>SUM(E14:E17)</f>
        <v>759.09999999999991</v>
      </c>
      <c r="F18" s="8"/>
      <c r="G18" s="8"/>
      <c r="H18" s="8">
        <f>SUM(H14:H17)</f>
        <v>462.02</v>
      </c>
      <c r="I18" s="8">
        <f t="shared" ref="I18:J18" si="4">SUM(I14:I17)</f>
        <v>497.66999999999996</v>
      </c>
      <c r="J18" s="8">
        <f t="shared" si="4"/>
        <v>493.31999999999994</v>
      </c>
      <c r="K18" s="8"/>
      <c r="L18" s="8"/>
      <c r="M18" s="8"/>
      <c r="O18" s="1" t="s">
        <v>71</v>
      </c>
      <c r="AB18" s="1" t="s">
        <v>72</v>
      </c>
      <c r="AC18" s="24">
        <f>H23/4</f>
        <v>58.497499999999995</v>
      </c>
      <c r="AD18" s="1" t="s">
        <v>26</v>
      </c>
      <c r="AF18" s="1" t="s">
        <v>72</v>
      </c>
      <c r="AG18" s="24">
        <f>H23/4</f>
        <v>58.497499999999995</v>
      </c>
      <c r="AH18" s="1" t="s">
        <v>26</v>
      </c>
    </row>
    <row r="19" spans="2:34" ht="16.5" thickBot="1" x14ac:dyDescent="0.3">
      <c r="C19" s="8"/>
      <c r="D19" s="8"/>
      <c r="E19" s="8"/>
      <c r="F19" s="8"/>
      <c r="G19" s="8"/>
      <c r="H19" s="35" t="s">
        <v>63</v>
      </c>
      <c r="I19" s="8"/>
      <c r="J19" s="8"/>
      <c r="K19" s="8"/>
      <c r="L19" s="8"/>
      <c r="M19" s="8"/>
      <c r="O19" s="1" t="s">
        <v>73</v>
      </c>
      <c r="AB19" s="1" t="s">
        <v>74</v>
      </c>
      <c r="AC19" s="24">
        <f>I21/4</f>
        <v>59.475000000000001</v>
      </c>
      <c r="AD19" s="1" t="s">
        <v>75</v>
      </c>
      <c r="AF19" s="1" t="s">
        <v>74</v>
      </c>
      <c r="AG19" s="24">
        <f>I21/4</f>
        <v>59.475000000000001</v>
      </c>
      <c r="AH19" s="1" t="s">
        <v>75</v>
      </c>
    </row>
    <row r="20" spans="2:34" x14ac:dyDescent="0.25">
      <c r="C20" s="8"/>
      <c r="D20" s="8"/>
      <c r="E20" s="8"/>
      <c r="F20" s="8"/>
      <c r="G20" s="36"/>
      <c r="H20" s="37" t="s">
        <v>5</v>
      </c>
      <c r="I20" s="37" t="s">
        <v>6</v>
      </c>
      <c r="J20" s="38"/>
      <c r="K20" s="8"/>
      <c r="L20" s="8"/>
      <c r="M20" s="8"/>
      <c r="O20" s="1" t="s">
        <v>76</v>
      </c>
      <c r="P20" s="1" t="s">
        <v>77</v>
      </c>
      <c r="AB20" s="1" t="s">
        <v>78</v>
      </c>
      <c r="AC20" s="24">
        <f>I22/4</f>
        <v>65.467500000000001</v>
      </c>
      <c r="AD20" s="1" t="s">
        <v>79</v>
      </c>
      <c r="AF20" s="1" t="s">
        <v>78</v>
      </c>
      <c r="AG20" s="24">
        <f>I22/4</f>
        <v>65.467500000000001</v>
      </c>
      <c r="AH20" s="1" t="s">
        <v>79</v>
      </c>
    </row>
    <row r="21" spans="2:34" x14ac:dyDescent="0.25">
      <c r="C21" s="8"/>
      <c r="D21" s="8"/>
      <c r="E21" s="8"/>
      <c r="F21" s="8"/>
      <c r="G21" s="27" t="s">
        <v>20</v>
      </c>
      <c r="H21" s="5">
        <f>SUM(D7:D10)</f>
        <v>224.12</v>
      </c>
      <c r="I21" s="5">
        <f>SUM(G7:G10)</f>
        <v>237.9</v>
      </c>
      <c r="J21" s="28">
        <f>SUM(H21:I21)</f>
        <v>462.02</v>
      </c>
      <c r="K21" s="8"/>
      <c r="L21" s="8"/>
      <c r="M21" s="8"/>
      <c r="O21" s="1" t="s">
        <v>80</v>
      </c>
      <c r="P21" s="1" t="s">
        <v>81</v>
      </c>
      <c r="AB21" s="1" t="s">
        <v>82</v>
      </c>
      <c r="AC21" s="24">
        <f>I23/4</f>
        <v>64.832499999999996</v>
      </c>
      <c r="AD21" s="1" t="s">
        <v>75</v>
      </c>
      <c r="AF21" s="9" t="s">
        <v>82</v>
      </c>
      <c r="AG21" s="20">
        <f>I23/4</f>
        <v>64.832499999999996</v>
      </c>
      <c r="AH21" s="9" t="s">
        <v>75</v>
      </c>
    </row>
    <row r="22" spans="2:34" x14ac:dyDescent="0.25">
      <c r="C22" s="8"/>
      <c r="D22" s="8"/>
      <c r="E22" s="8"/>
      <c r="F22" s="8"/>
      <c r="G22" s="27" t="s">
        <v>21</v>
      </c>
      <c r="H22" s="5">
        <f>SUM(E7:E10)</f>
        <v>235.8</v>
      </c>
      <c r="I22" s="5">
        <f>SUM(H7:H10)</f>
        <v>261.87</v>
      </c>
      <c r="J22" s="28">
        <f t="shared" ref="J22:J23" si="5">SUM(H22:I22)</f>
        <v>497.67</v>
      </c>
      <c r="K22" s="8"/>
      <c r="L22" s="8"/>
      <c r="M22" s="8"/>
      <c r="O22" s="1" t="s">
        <v>83</v>
      </c>
      <c r="P22" s="1" t="s">
        <v>84</v>
      </c>
      <c r="AB22" s="15" t="s">
        <v>51</v>
      </c>
      <c r="AC22" s="26">
        <f>Y13*Z13</f>
        <v>1.4527270012715126</v>
      </c>
      <c r="AD22" s="15"/>
      <c r="AF22" s="15" t="s">
        <v>52</v>
      </c>
      <c r="AG22" s="26">
        <f>X13*Z13</f>
        <v>1.0213555565897539</v>
      </c>
      <c r="AH22" s="15"/>
    </row>
    <row r="23" spans="2:34" ht="16.5" thickBot="1" x14ac:dyDescent="0.3">
      <c r="C23" s="8"/>
      <c r="D23" s="8"/>
      <c r="E23" s="8"/>
      <c r="F23" s="8"/>
      <c r="G23" s="32" t="s">
        <v>22</v>
      </c>
      <c r="H23" s="33">
        <f>SUM(F7:F10)</f>
        <v>233.98999999999998</v>
      </c>
      <c r="I23" s="33">
        <f>SUM(I7:I10)</f>
        <v>259.33</v>
      </c>
      <c r="J23" s="34">
        <f t="shared" si="5"/>
        <v>493.31999999999994</v>
      </c>
      <c r="K23" s="8"/>
      <c r="L23" s="8"/>
      <c r="M23" s="8"/>
    </row>
    <row r="24" spans="2:34" x14ac:dyDescent="0.25">
      <c r="B24" s="70"/>
      <c r="C24" s="70"/>
      <c r="D24" s="70"/>
      <c r="E24" s="70"/>
      <c r="F24" s="70"/>
    </row>
    <row r="25" spans="2:34" x14ac:dyDescent="0.25">
      <c r="B25" s="70"/>
      <c r="C25" s="70"/>
      <c r="D25" s="70"/>
      <c r="E25" s="70"/>
      <c r="F25" s="70"/>
      <c r="G25" s="70"/>
      <c r="H25" s="70"/>
      <c r="I25" s="70"/>
    </row>
    <row r="26" spans="2:34" x14ac:dyDescent="0.25">
      <c r="B26" s="70"/>
      <c r="C26" s="70"/>
      <c r="D26" s="70"/>
      <c r="E26" s="70"/>
      <c r="F26" s="70"/>
      <c r="I26" s="70"/>
    </row>
    <row r="42" spans="6:13" x14ac:dyDescent="0.25">
      <c r="F42" s="39"/>
      <c r="G42" s="40"/>
      <c r="H42" s="39"/>
      <c r="I42" s="39"/>
      <c r="J42" s="39"/>
      <c r="K42" s="39"/>
      <c r="L42" s="41"/>
      <c r="M42" s="8"/>
    </row>
    <row r="43" spans="6:13" x14ac:dyDescent="0.25">
      <c r="F43" s="39"/>
      <c r="G43" s="40"/>
      <c r="H43" s="8"/>
      <c r="I43" s="8"/>
      <c r="J43" s="8"/>
      <c r="K43" s="8"/>
      <c r="L43" s="8"/>
      <c r="M43" s="8"/>
    </row>
    <row r="44" spans="6:13" x14ac:dyDescent="0.25">
      <c r="F44" s="39"/>
      <c r="G44" s="8"/>
      <c r="H44" s="8"/>
      <c r="I44" s="8"/>
      <c r="J44" s="8"/>
      <c r="K44" s="8"/>
      <c r="L44" s="8"/>
    </row>
    <row r="45" spans="6:13" x14ac:dyDescent="0.25">
      <c r="F45" s="39"/>
      <c r="G45" s="8"/>
      <c r="H45" s="8"/>
      <c r="I45" s="8"/>
      <c r="J45" s="8"/>
      <c r="K45" s="8"/>
      <c r="L45" s="8"/>
    </row>
    <row r="46" spans="6:13" x14ac:dyDescent="0.25">
      <c r="F46" s="39"/>
      <c r="G46" s="8"/>
      <c r="H46" s="8"/>
      <c r="I46" s="8"/>
      <c r="J46" s="8"/>
      <c r="K46" s="8"/>
      <c r="L46" s="8"/>
    </row>
    <row r="47" spans="6:13" x14ac:dyDescent="0.25">
      <c r="F47" s="8"/>
      <c r="G47" s="2"/>
      <c r="H47" s="42"/>
      <c r="I47" s="42"/>
      <c r="J47" s="42"/>
      <c r="K47" s="42"/>
      <c r="L47" s="42"/>
    </row>
    <row r="48" spans="6:13" x14ac:dyDescent="0.25">
      <c r="F48" s="39"/>
      <c r="G48" s="8"/>
      <c r="H48" s="2"/>
      <c r="I48" s="2"/>
      <c r="J48" s="2"/>
      <c r="K48" s="2"/>
    </row>
    <row r="49" spans="6:11" x14ac:dyDescent="0.25">
      <c r="F49" s="39"/>
      <c r="G49" s="8"/>
      <c r="H49" s="2"/>
      <c r="I49" s="2"/>
      <c r="J49" s="2"/>
      <c r="K49" s="2"/>
    </row>
    <row r="50" spans="6:11" x14ac:dyDescent="0.25">
      <c r="F50" s="39"/>
      <c r="G50" s="8"/>
      <c r="H50" s="2"/>
      <c r="I50" s="2"/>
      <c r="J50" s="2"/>
      <c r="K50" s="2"/>
    </row>
    <row r="51" spans="6:11" x14ac:dyDescent="0.25">
      <c r="F51" s="2"/>
    </row>
    <row r="52" spans="6:11" x14ac:dyDescent="0.25">
      <c r="F52" s="43"/>
    </row>
  </sheetData>
  <mergeCells count="19">
    <mergeCell ref="G25:H25"/>
    <mergeCell ref="I25:I26"/>
    <mergeCell ref="B24:F24"/>
    <mergeCell ref="B25:B26"/>
    <mergeCell ref="C25:C26"/>
    <mergeCell ref="D25:D26"/>
    <mergeCell ref="E25:E26"/>
    <mergeCell ref="F25:F26"/>
    <mergeCell ref="C12:E12"/>
    <mergeCell ref="G12:J12"/>
    <mergeCell ref="C4:C6"/>
    <mergeCell ref="D4:F5"/>
    <mergeCell ref="G4:I5"/>
    <mergeCell ref="J4:J6"/>
    <mergeCell ref="D1:G1"/>
    <mergeCell ref="D2:G2"/>
    <mergeCell ref="U3:V3"/>
    <mergeCell ref="X3:Y3"/>
    <mergeCell ref="AB3:AC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77B54-4875-4F0C-A498-79BBA0B4EFAE}">
  <dimension ref="B2:J12"/>
  <sheetViews>
    <sheetView workbookViewId="0">
      <selection activeCell="L12" sqref="L12"/>
    </sheetView>
  </sheetViews>
  <sheetFormatPr defaultRowHeight="15" x14ac:dyDescent="0.25"/>
  <cols>
    <col min="2" max="2" width="23.5703125" customWidth="1"/>
    <col min="4" max="4" width="2.28515625" customWidth="1"/>
    <col min="6" max="6" width="2.85546875" customWidth="1"/>
    <col min="8" max="8" width="2.140625" customWidth="1"/>
    <col min="10" max="10" width="2.140625" customWidth="1"/>
  </cols>
  <sheetData>
    <row r="2" spans="2:10" x14ac:dyDescent="0.25">
      <c r="B2" s="79" t="s">
        <v>15</v>
      </c>
      <c r="C2" s="81" t="s">
        <v>89</v>
      </c>
      <c r="D2" s="81"/>
      <c r="E2" s="81"/>
      <c r="F2" s="81"/>
      <c r="G2" s="81"/>
      <c r="H2" s="81"/>
      <c r="I2" s="81"/>
      <c r="J2" s="82"/>
    </row>
    <row r="3" spans="2:10" x14ac:dyDescent="0.25">
      <c r="B3" s="80"/>
      <c r="C3" s="44" t="s">
        <v>90</v>
      </c>
      <c r="D3" s="45"/>
      <c r="E3" s="45" t="s">
        <v>91</v>
      </c>
      <c r="F3" s="45"/>
      <c r="G3" s="46" t="s">
        <v>92</v>
      </c>
      <c r="H3" s="46"/>
      <c r="I3" s="46" t="s">
        <v>93</v>
      </c>
      <c r="J3" s="47"/>
    </row>
    <row r="4" spans="2:10" x14ac:dyDescent="0.25">
      <c r="B4" s="48" t="s">
        <v>47</v>
      </c>
      <c r="C4" s="49"/>
      <c r="D4" s="49"/>
      <c r="E4" s="49"/>
      <c r="F4" s="49"/>
      <c r="G4" s="49"/>
      <c r="H4" s="49"/>
      <c r="I4" s="49"/>
      <c r="J4" s="50"/>
    </row>
    <row r="5" spans="2:10" x14ac:dyDescent="0.25">
      <c r="B5" s="51" t="s">
        <v>94</v>
      </c>
      <c r="C5" s="49">
        <v>7.8075000000000001</v>
      </c>
      <c r="D5" s="52" t="s">
        <v>19</v>
      </c>
      <c r="E5" s="52">
        <v>22.55</v>
      </c>
      <c r="F5" s="52" t="s">
        <v>19</v>
      </c>
      <c r="G5" s="49">
        <v>45.684166666666663</v>
      </c>
      <c r="H5" s="49" t="s">
        <v>19</v>
      </c>
      <c r="I5" s="49">
        <v>57.825833333333343</v>
      </c>
      <c r="J5" s="50" t="s">
        <v>19</v>
      </c>
    </row>
    <row r="6" spans="2:10" ht="15.75" thickBot="1" x14ac:dyDescent="0.3">
      <c r="B6" s="51" t="s">
        <v>95</v>
      </c>
      <c r="C6" s="53">
        <v>9.9308333333333323</v>
      </c>
      <c r="D6" s="53" t="s">
        <v>26</v>
      </c>
      <c r="E6" s="52">
        <v>26.738333333333333</v>
      </c>
      <c r="F6" s="52" t="s">
        <v>26</v>
      </c>
      <c r="G6" s="49">
        <v>49.01250000000001</v>
      </c>
      <c r="H6" s="49" t="s">
        <v>26</v>
      </c>
      <c r="I6" s="49">
        <v>63.258333333333326</v>
      </c>
      <c r="J6" s="50" t="s">
        <v>26</v>
      </c>
    </row>
    <row r="7" spans="2:10" ht="15.75" thickBot="1" x14ac:dyDescent="0.3">
      <c r="B7" s="54" t="s">
        <v>52</v>
      </c>
      <c r="C7" s="55">
        <v>0.73923977338601499</v>
      </c>
      <c r="D7" s="56"/>
      <c r="E7" s="56">
        <v>0.84228721404130535</v>
      </c>
      <c r="F7" s="56"/>
      <c r="G7" s="57">
        <v>2.7793792999754325</v>
      </c>
      <c r="H7" s="57"/>
      <c r="I7" s="57">
        <v>2.3554286483479259</v>
      </c>
      <c r="J7" s="58"/>
    </row>
    <row r="8" spans="2:10" ht="15.75" x14ac:dyDescent="0.25">
      <c r="B8" s="59" t="s">
        <v>96</v>
      </c>
      <c r="C8" s="53"/>
      <c r="D8" s="52"/>
      <c r="E8" s="52"/>
      <c r="F8" s="8"/>
      <c r="G8" s="49"/>
      <c r="H8" s="49"/>
      <c r="I8" s="8"/>
      <c r="J8" s="50"/>
    </row>
    <row r="9" spans="2:10" ht="15.75" x14ac:dyDescent="0.25">
      <c r="B9" s="51" t="s">
        <v>38</v>
      </c>
      <c r="C9" s="53">
        <v>7.3737500000000002</v>
      </c>
      <c r="D9" s="52" t="s">
        <v>19</v>
      </c>
      <c r="E9" s="52">
        <v>21.178750000000001</v>
      </c>
      <c r="F9" s="8" t="s">
        <v>19</v>
      </c>
      <c r="G9" s="49">
        <v>45.695</v>
      </c>
      <c r="H9" s="49" t="s">
        <v>19</v>
      </c>
      <c r="I9" s="8">
        <v>57.752499999999998</v>
      </c>
      <c r="J9" s="50" t="s">
        <v>19</v>
      </c>
    </row>
    <row r="10" spans="2:10" ht="15.75" x14ac:dyDescent="0.25">
      <c r="B10" s="51" t="s">
        <v>97</v>
      </c>
      <c r="C10" s="53">
        <v>9.9149999999999991</v>
      </c>
      <c r="D10" s="52" t="s">
        <v>43</v>
      </c>
      <c r="E10" s="52">
        <v>26.977500000000003</v>
      </c>
      <c r="F10" s="8" t="s">
        <v>43</v>
      </c>
      <c r="G10" s="49">
        <v>48.72</v>
      </c>
      <c r="H10" s="49" t="s">
        <v>43</v>
      </c>
      <c r="I10" s="8">
        <v>62.208749999999995</v>
      </c>
      <c r="J10" s="50" t="s">
        <v>43</v>
      </c>
    </row>
    <row r="11" spans="2:10" ht="16.5" thickBot="1" x14ac:dyDescent="0.3">
      <c r="B11" s="51" t="s">
        <v>98</v>
      </c>
      <c r="C11" s="53">
        <v>9.3187500000000014</v>
      </c>
      <c r="D11" s="52" t="s">
        <v>26</v>
      </c>
      <c r="E11" s="52">
        <v>25.776249999999997</v>
      </c>
      <c r="F11" s="8" t="s">
        <v>26</v>
      </c>
      <c r="G11" s="49">
        <v>47.629999999999995</v>
      </c>
      <c r="H11" s="49" t="s">
        <v>26</v>
      </c>
      <c r="I11" s="8">
        <v>61.664999999999992</v>
      </c>
      <c r="J11" s="50" t="s">
        <v>26</v>
      </c>
    </row>
    <row r="12" spans="2:10" x14ac:dyDescent="0.25">
      <c r="B12" s="60" t="s">
        <v>52</v>
      </c>
      <c r="C12" s="61">
        <v>0.8968992823866796</v>
      </c>
      <c r="D12" s="62"/>
      <c r="E12" s="62">
        <v>1.0689783556376893</v>
      </c>
      <c r="F12" s="62"/>
      <c r="G12" s="63">
        <v>2.2466211669547107</v>
      </c>
      <c r="H12" s="63"/>
      <c r="I12" s="63">
        <v>3.1686402460004484</v>
      </c>
      <c r="J12" s="64"/>
    </row>
  </sheetData>
  <mergeCells count="2">
    <mergeCell ref="B2:B3"/>
    <mergeCell ref="C2:J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25ECD-AFAA-4CE8-A2B1-83281BB4E15D}">
  <dimension ref="B1:S11"/>
  <sheetViews>
    <sheetView workbookViewId="0">
      <selection activeCell="N19" sqref="N19"/>
    </sheetView>
  </sheetViews>
  <sheetFormatPr defaultRowHeight="15" x14ac:dyDescent="0.25"/>
  <cols>
    <col min="3" max="3" width="7.28515625" customWidth="1"/>
    <col min="4" max="4" width="2.42578125" customWidth="1"/>
    <col min="5" max="5" width="7.5703125" customWidth="1"/>
    <col min="6" max="6" width="2.85546875" customWidth="1"/>
    <col min="7" max="7" width="7" customWidth="1"/>
    <col min="8" max="8" width="3.5703125" customWidth="1"/>
    <col min="9" max="9" width="7.85546875" customWidth="1"/>
    <col min="10" max="10" width="2.5703125" customWidth="1"/>
  </cols>
  <sheetData>
    <row r="1" spans="2:19" ht="15.75" thickBot="1" x14ac:dyDescent="0.3"/>
    <row r="2" spans="2:19" x14ac:dyDescent="0.25">
      <c r="B2" s="67" t="s">
        <v>15</v>
      </c>
      <c r="C2" s="67" t="s">
        <v>90</v>
      </c>
      <c r="D2" s="67"/>
      <c r="E2" s="83" t="s">
        <v>91</v>
      </c>
      <c r="F2" s="83"/>
      <c r="G2" s="83" t="s">
        <v>92</v>
      </c>
      <c r="H2" s="83"/>
      <c r="I2" s="83" t="s">
        <v>93</v>
      </c>
      <c r="J2" s="83"/>
    </row>
    <row r="3" spans="2:19" x14ac:dyDescent="0.25">
      <c r="B3" s="65" t="s">
        <v>68</v>
      </c>
      <c r="C3" s="66">
        <v>6.7099999999999991</v>
      </c>
      <c r="D3" s="65" t="s">
        <v>19</v>
      </c>
      <c r="E3" s="66">
        <v>17.862499999999997</v>
      </c>
      <c r="F3" s="65" t="s">
        <v>19</v>
      </c>
      <c r="G3" s="66">
        <v>43.36</v>
      </c>
      <c r="H3" s="65" t="s">
        <v>19</v>
      </c>
      <c r="I3" s="66">
        <v>56.03</v>
      </c>
      <c r="J3" s="65" t="s">
        <v>19</v>
      </c>
    </row>
    <row r="4" spans="2:19" x14ac:dyDescent="0.25">
      <c r="B4" s="65" t="s">
        <v>99</v>
      </c>
      <c r="C4" s="66">
        <v>8.5075000000000003</v>
      </c>
      <c r="D4" s="65" t="s">
        <v>43</v>
      </c>
      <c r="E4" s="66">
        <v>25.2925</v>
      </c>
      <c r="F4" s="65" t="s">
        <v>43</v>
      </c>
      <c r="G4" s="66">
        <v>47.307500000000005</v>
      </c>
      <c r="H4" s="65" t="s">
        <v>43</v>
      </c>
      <c r="I4" s="66">
        <v>58.95</v>
      </c>
      <c r="J4" s="65" t="s">
        <v>43</v>
      </c>
      <c r="M4" s="84" t="s">
        <v>101</v>
      </c>
      <c r="N4" s="84" t="s">
        <v>48</v>
      </c>
      <c r="O4" s="91" t="s">
        <v>102</v>
      </c>
      <c r="P4" s="91"/>
      <c r="Q4" s="91"/>
      <c r="R4" s="91"/>
      <c r="S4" s="84" t="s">
        <v>7</v>
      </c>
    </row>
    <row r="5" spans="2:19" x14ac:dyDescent="0.25">
      <c r="B5" s="65" t="s">
        <v>100</v>
      </c>
      <c r="C5" s="66">
        <v>8.2050000000000001</v>
      </c>
      <c r="D5" s="65" t="s">
        <v>26</v>
      </c>
      <c r="E5" s="66">
        <v>24.494999999999997</v>
      </c>
      <c r="F5" s="65" t="s">
        <v>26</v>
      </c>
      <c r="G5" s="66">
        <v>46.384999999999998</v>
      </c>
      <c r="H5" s="65" t="s">
        <v>26</v>
      </c>
      <c r="I5" s="66">
        <v>58.497499999999995</v>
      </c>
      <c r="J5" s="65" t="s">
        <v>26</v>
      </c>
      <c r="M5" s="89"/>
      <c r="N5" s="89"/>
      <c r="O5" s="90" t="s">
        <v>27</v>
      </c>
      <c r="P5" s="90" t="s">
        <v>32</v>
      </c>
      <c r="Q5" s="90" t="s">
        <v>35</v>
      </c>
      <c r="R5" s="90" t="s">
        <v>39</v>
      </c>
      <c r="S5" s="89"/>
    </row>
    <row r="6" spans="2:19" x14ac:dyDescent="0.25">
      <c r="B6" s="65" t="s">
        <v>74</v>
      </c>
      <c r="C6" s="66">
        <v>8.0374999999999996</v>
      </c>
      <c r="D6" s="65" t="s">
        <v>75</v>
      </c>
      <c r="E6" s="66">
        <v>24.494999999999997</v>
      </c>
      <c r="F6" s="65" t="s">
        <v>75</v>
      </c>
      <c r="G6" s="66">
        <v>48.03</v>
      </c>
      <c r="H6" s="65" t="s">
        <v>75</v>
      </c>
      <c r="I6" s="66">
        <v>59.475000000000001</v>
      </c>
      <c r="J6" s="65" t="s">
        <v>75</v>
      </c>
      <c r="M6" s="85" t="s">
        <v>5</v>
      </c>
      <c r="N6" s="85" t="s">
        <v>20</v>
      </c>
      <c r="O6" s="94">
        <v>7.42</v>
      </c>
      <c r="P6" s="94">
        <v>6.92</v>
      </c>
      <c r="Q6" s="94">
        <v>6.42</v>
      </c>
      <c r="R6" s="94">
        <v>6.08</v>
      </c>
      <c r="S6" s="92">
        <f>SUM(O6:R6)</f>
        <v>26.839999999999996</v>
      </c>
    </row>
    <row r="7" spans="2:19" x14ac:dyDescent="0.25">
      <c r="B7" s="65" t="s">
        <v>78</v>
      </c>
      <c r="C7" s="66">
        <v>11.3225</v>
      </c>
      <c r="D7" s="65" t="s">
        <v>79</v>
      </c>
      <c r="E7" s="66">
        <v>28.662499999999998</v>
      </c>
      <c r="F7" s="65" t="s">
        <v>79</v>
      </c>
      <c r="G7" s="66">
        <v>50.1325</v>
      </c>
      <c r="H7" s="65" t="s">
        <v>79</v>
      </c>
      <c r="I7" s="66">
        <v>65.467500000000001</v>
      </c>
      <c r="J7" s="65" t="s">
        <v>79</v>
      </c>
      <c r="M7" s="93"/>
      <c r="N7" s="85" t="s">
        <v>21</v>
      </c>
      <c r="O7" s="94">
        <v>8.5</v>
      </c>
      <c r="P7" s="94">
        <v>8.33</v>
      </c>
      <c r="Q7" s="94">
        <v>8.6999999999999993</v>
      </c>
      <c r="R7" s="94">
        <v>8.5</v>
      </c>
      <c r="S7" s="86">
        <f t="shared" ref="S7:S11" si="0">SUM(O7:R7)</f>
        <v>34.03</v>
      </c>
    </row>
    <row r="8" spans="2:19" x14ac:dyDescent="0.25">
      <c r="B8" s="65" t="s">
        <v>82</v>
      </c>
      <c r="C8" s="66">
        <v>10.432499999999999</v>
      </c>
      <c r="D8" s="65" t="s">
        <v>75</v>
      </c>
      <c r="E8" s="66">
        <v>27.057500000000001</v>
      </c>
      <c r="F8" s="65" t="s">
        <v>75</v>
      </c>
      <c r="G8" s="66">
        <v>48.875</v>
      </c>
      <c r="H8" s="65" t="s">
        <v>75</v>
      </c>
      <c r="I8" s="66">
        <v>64.832499999999996</v>
      </c>
      <c r="J8" s="65" t="s">
        <v>75</v>
      </c>
      <c r="M8" s="93"/>
      <c r="N8" s="85" t="s">
        <v>22</v>
      </c>
      <c r="O8" s="94">
        <v>8.2200000000000006</v>
      </c>
      <c r="P8" s="94">
        <v>8.08</v>
      </c>
      <c r="Q8" s="94">
        <v>8.3000000000000007</v>
      </c>
      <c r="R8" s="94">
        <v>8.2200000000000006</v>
      </c>
      <c r="S8" s="86">
        <f t="shared" si="0"/>
        <v>32.82</v>
      </c>
    </row>
    <row r="9" spans="2:19" ht="15.75" thickBot="1" x14ac:dyDescent="0.3">
      <c r="B9" s="68" t="s">
        <v>51</v>
      </c>
      <c r="C9" s="69">
        <v>0.30496857408781153</v>
      </c>
      <c r="D9" s="68"/>
      <c r="E9" s="69">
        <v>0.33958857713868623</v>
      </c>
      <c r="F9" s="68"/>
      <c r="G9" s="69">
        <v>0.65360833065270063</v>
      </c>
      <c r="H9" s="68"/>
      <c r="I9" s="69">
        <v>1.4527270012715126</v>
      </c>
      <c r="J9" s="68"/>
      <c r="M9" s="85" t="s">
        <v>6</v>
      </c>
      <c r="N9" s="85" t="s">
        <v>20</v>
      </c>
      <c r="O9" s="94">
        <v>7.99</v>
      </c>
      <c r="P9" s="94">
        <v>8.1999999999999993</v>
      </c>
      <c r="Q9" s="94">
        <v>7.98</v>
      </c>
      <c r="R9" s="94">
        <v>7.98</v>
      </c>
      <c r="S9" s="86">
        <f t="shared" si="0"/>
        <v>32.15</v>
      </c>
    </row>
    <row r="10" spans="2:19" x14ac:dyDescent="0.25">
      <c r="M10" s="93"/>
      <c r="N10" s="85" t="s">
        <v>21</v>
      </c>
      <c r="O10" s="94">
        <v>11.17</v>
      </c>
      <c r="P10" s="94">
        <v>11.05</v>
      </c>
      <c r="Q10" s="94">
        <v>11.17</v>
      </c>
      <c r="R10" s="94">
        <v>11.9</v>
      </c>
      <c r="S10" s="86">
        <f t="shared" si="0"/>
        <v>45.29</v>
      </c>
    </row>
    <row r="11" spans="2:19" x14ac:dyDescent="0.25">
      <c r="M11" s="87"/>
      <c r="N11" s="87" t="s">
        <v>22</v>
      </c>
      <c r="O11" s="95">
        <v>9.92</v>
      </c>
      <c r="P11" s="95">
        <v>10.98</v>
      </c>
      <c r="Q11" s="95">
        <v>10.33</v>
      </c>
      <c r="R11" s="95">
        <v>10.5</v>
      </c>
      <c r="S11" s="88">
        <f t="shared" si="0"/>
        <v>41.73</v>
      </c>
    </row>
  </sheetData>
  <mergeCells count="7">
    <mergeCell ref="O4:R4"/>
    <mergeCell ref="S4:S5"/>
    <mergeCell ref="E2:F2"/>
    <mergeCell ref="G2:H2"/>
    <mergeCell ref="I2:J2"/>
    <mergeCell ref="M4:M5"/>
    <mergeCell ref="N4:N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14 HST</vt:lpstr>
      <vt:lpstr>28 HST</vt:lpstr>
      <vt:lpstr>42 HST</vt:lpstr>
      <vt:lpstr>56 HST</vt:lpstr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 10</dc:creator>
  <cp:lastModifiedBy>win 10</cp:lastModifiedBy>
  <dcterms:created xsi:type="dcterms:W3CDTF">2023-01-25T15:33:17Z</dcterms:created>
  <dcterms:modified xsi:type="dcterms:W3CDTF">2023-03-09T13:50:54Z</dcterms:modified>
</cp:coreProperties>
</file>