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ERHITUNGAN ARTIKEL SKRIPSI\"/>
    </mc:Choice>
  </mc:AlternateContent>
  <xr:revisionPtr revIDLastSave="0" documentId="13_ncr:1_{1AF211A6-E673-4F29-AEDE-022E7124C0BE}" xr6:coauthVersionLast="47" xr6:coauthVersionMax="47" xr10:uidLastSave="{00000000-0000-0000-0000-000000000000}"/>
  <bookViews>
    <workbookView xWindow="-120" yWindow="-120" windowWidth="20730" windowHeight="11160" tabRatio="594" xr2:uid="{6913B8DF-FEAD-4928-A9F1-D1F466D1719B}"/>
  </bookViews>
  <sheets>
    <sheet name="ISS 14 HST" sheetId="3" r:id="rId1"/>
    <sheet name="ISS 14-28 HST" sheetId="2" r:id="rId2"/>
    <sheet name="Sheet1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4" l="1"/>
  <c r="N17" i="4"/>
  <c r="N18" i="4"/>
  <c r="N19" i="4"/>
  <c r="N20" i="4"/>
  <c r="N15" i="4"/>
  <c r="M20" i="4"/>
  <c r="L20" i="4"/>
  <c r="K20" i="4"/>
  <c r="J20" i="4"/>
  <c r="M19" i="4"/>
  <c r="L19" i="4"/>
  <c r="K19" i="4"/>
  <c r="J19" i="4"/>
  <c r="M18" i="4"/>
  <c r="L18" i="4"/>
  <c r="K18" i="4"/>
  <c r="J18" i="4"/>
  <c r="M17" i="4"/>
  <c r="L17" i="4"/>
  <c r="K17" i="4"/>
  <c r="J17" i="4"/>
  <c r="M16" i="4"/>
  <c r="L16" i="4"/>
  <c r="K16" i="4"/>
  <c r="J16" i="4"/>
  <c r="M15" i="4"/>
  <c r="L15" i="4"/>
  <c r="K15" i="4"/>
  <c r="J15" i="4"/>
  <c r="H5" i="4"/>
  <c r="H6" i="4"/>
  <c r="H7" i="4"/>
  <c r="H8" i="4"/>
  <c r="H9" i="4"/>
  <c r="H4" i="4"/>
  <c r="G9" i="4"/>
  <c r="F9" i="4"/>
  <c r="E9" i="4"/>
  <c r="D9" i="4"/>
  <c r="G8" i="4"/>
  <c r="F8" i="4"/>
  <c r="E8" i="4"/>
  <c r="D8" i="4"/>
  <c r="G7" i="4"/>
  <c r="F7" i="4"/>
  <c r="E7" i="4"/>
  <c r="D7" i="4"/>
  <c r="G7" i="3"/>
  <c r="G6" i="4"/>
  <c r="F6" i="4"/>
  <c r="E6" i="4"/>
  <c r="D6" i="4"/>
  <c r="G5" i="4"/>
  <c r="F5" i="4"/>
  <c r="E5" i="4"/>
  <c r="D5" i="4"/>
  <c r="G4" i="4"/>
  <c r="F4" i="4"/>
  <c r="E4" i="4"/>
  <c r="D4" i="4"/>
  <c r="F10" i="2" l="1"/>
  <c r="F9" i="2"/>
  <c r="F7" i="2"/>
  <c r="E9" i="2"/>
  <c r="D8" i="2"/>
  <c r="D7" i="2"/>
  <c r="D9" i="2"/>
  <c r="D10" i="2"/>
  <c r="F10" i="3"/>
  <c r="E10" i="3"/>
  <c r="E8" i="3"/>
  <c r="E9" i="3"/>
  <c r="E7" i="3"/>
  <c r="D10" i="3"/>
  <c r="D9" i="3"/>
  <c r="D8" i="3"/>
  <c r="D7" i="3"/>
  <c r="F7" i="3"/>
  <c r="I8" i="2"/>
  <c r="I9" i="2"/>
  <c r="I10" i="2"/>
  <c r="I7" i="2"/>
  <c r="H7" i="2"/>
  <c r="G8" i="2"/>
  <c r="G9" i="2"/>
  <c r="G10" i="2"/>
  <c r="H10" i="2"/>
  <c r="H8" i="2"/>
  <c r="H9" i="2"/>
  <c r="G7" i="2"/>
  <c r="F8" i="2"/>
  <c r="E10" i="2"/>
  <c r="E8" i="2"/>
  <c r="E7" i="2"/>
  <c r="H8" i="3"/>
  <c r="I10" i="3"/>
  <c r="I9" i="3"/>
  <c r="I8" i="3"/>
  <c r="I7" i="3"/>
  <c r="H9" i="3"/>
  <c r="G9" i="3"/>
  <c r="G8" i="3"/>
  <c r="G10" i="3"/>
  <c r="H10" i="3"/>
  <c r="H7" i="3"/>
  <c r="F9" i="3"/>
  <c r="F8" i="3"/>
  <c r="D27" i="2"/>
  <c r="D32" i="2"/>
  <c r="D31" i="2"/>
  <c r="D30" i="2"/>
  <c r="D29" i="2"/>
  <c r="D28" i="2"/>
  <c r="D32" i="3" l="1"/>
  <c r="D31" i="3"/>
  <c r="D30" i="3"/>
  <c r="D29" i="3"/>
  <c r="D28" i="3"/>
  <c r="D27" i="3"/>
  <c r="I16" i="3"/>
  <c r="H15" i="3"/>
  <c r="V12" i="3"/>
  <c r="U12" i="3"/>
  <c r="V10" i="3"/>
  <c r="U10" i="3"/>
  <c r="E17" i="3"/>
  <c r="J17" i="3"/>
  <c r="I17" i="3"/>
  <c r="D17" i="3"/>
  <c r="E16" i="3"/>
  <c r="J16" i="3"/>
  <c r="D16" i="3"/>
  <c r="E15" i="3"/>
  <c r="J15" i="3"/>
  <c r="I15" i="3"/>
  <c r="D15" i="3"/>
  <c r="V7" i="3"/>
  <c r="U7" i="3"/>
  <c r="I23" i="3"/>
  <c r="I22" i="3"/>
  <c r="I21" i="3"/>
  <c r="H23" i="3"/>
  <c r="I14" i="3"/>
  <c r="H14" i="3"/>
  <c r="J8" i="2"/>
  <c r="J9" i="2"/>
  <c r="J10" i="2"/>
  <c r="I18" i="3" l="1"/>
  <c r="AG19" i="3"/>
  <c r="AC19" i="3"/>
  <c r="AC20" i="3"/>
  <c r="AG20" i="3"/>
  <c r="AG21" i="3"/>
  <c r="AC21" i="3"/>
  <c r="AC18" i="3"/>
  <c r="J23" i="3"/>
  <c r="AG18" i="3"/>
  <c r="D14" i="3"/>
  <c r="D18" i="3" s="1"/>
  <c r="J14" i="3"/>
  <c r="J18" i="3" s="1"/>
  <c r="H16" i="3"/>
  <c r="H17" i="3"/>
  <c r="H21" i="3"/>
  <c r="J9" i="3"/>
  <c r="J7" i="3"/>
  <c r="J8" i="3"/>
  <c r="E14" i="3"/>
  <c r="E18" i="3" s="1"/>
  <c r="M4" i="3"/>
  <c r="J10" i="3"/>
  <c r="H22" i="3"/>
  <c r="H18" i="3" l="1"/>
  <c r="AC9" i="3" s="1"/>
  <c r="AC11" i="3"/>
  <c r="AG11" i="3"/>
  <c r="AG10" i="3"/>
  <c r="AC10" i="3"/>
  <c r="AG6" i="3"/>
  <c r="AC6" i="3"/>
  <c r="J21" i="3"/>
  <c r="AG16" i="3"/>
  <c r="AC16" i="3"/>
  <c r="AG5" i="3"/>
  <c r="AC5" i="3"/>
  <c r="J11" i="3"/>
  <c r="M5" i="3" s="1"/>
  <c r="AC17" i="3"/>
  <c r="J22" i="3"/>
  <c r="AG17" i="3"/>
  <c r="I23" i="2"/>
  <c r="H23" i="2"/>
  <c r="I22" i="2"/>
  <c r="H22" i="2"/>
  <c r="I21" i="2"/>
  <c r="H21" i="2"/>
  <c r="J17" i="2"/>
  <c r="I17" i="2"/>
  <c r="H17" i="2"/>
  <c r="E17" i="2"/>
  <c r="D17" i="2"/>
  <c r="J16" i="2"/>
  <c r="I16" i="2"/>
  <c r="H16" i="2"/>
  <c r="E16" i="2"/>
  <c r="D16" i="2"/>
  <c r="J15" i="2"/>
  <c r="I15" i="2"/>
  <c r="H15" i="2"/>
  <c r="E15" i="2"/>
  <c r="D15" i="2"/>
  <c r="J14" i="2"/>
  <c r="I14" i="2"/>
  <c r="H14" i="2"/>
  <c r="E14" i="2"/>
  <c r="D14" i="2"/>
  <c r="V12" i="2"/>
  <c r="U12" i="2"/>
  <c r="V10" i="2"/>
  <c r="U10" i="2"/>
  <c r="V7" i="2"/>
  <c r="U7" i="2"/>
  <c r="J7" i="2"/>
  <c r="J11" i="2" s="1"/>
  <c r="M4" i="2"/>
  <c r="AG9" i="3" l="1"/>
  <c r="J18" i="2"/>
  <c r="AC11" i="2" s="1"/>
  <c r="I18" i="2"/>
  <c r="AG10" i="2" s="1"/>
  <c r="AG17" i="2"/>
  <c r="AC17" i="2"/>
  <c r="H18" i="2"/>
  <c r="AC9" i="2" s="1"/>
  <c r="AG16" i="2"/>
  <c r="AC16" i="2"/>
  <c r="AG18" i="2"/>
  <c r="AC18" i="2"/>
  <c r="AG19" i="2"/>
  <c r="AC19" i="2"/>
  <c r="J21" i="2"/>
  <c r="AG21" i="2"/>
  <c r="AC21" i="2"/>
  <c r="J23" i="2"/>
  <c r="E18" i="2"/>
  <c r="J22" i="2"/>
  <c r="AC20" i="2"/>
  <c r="AG20" i="2"/>
  <c r="M12" i="3"/>
  <c r="Q10" i="3" s="1"/>
  <c r="R10" i="3" s="1"/>
  <c r="M10" i="3"/>
  <c r="Q6" i="3" s="1"/>
  <c r="M8" i="3"/>
  <c r="M7" i="3"/>
  <c r="M6" i="3"/>
  <c r="Q15" i="3"/>
  <c r="M11" i="3"/>
  <c r="Q7" i="3" s="1"/>
  <c r="R7" i="3" s="1"/>
  <c r="M9" i="3"/>
  <c r="M5" i="2"/>
  <c r="M8" i="2" s="1"/>
  <c r="D18" i="2"/>
  <c r="AG11" i="2" l="1"/>
  <c r="AC10" i="2"/>
  <c r="AG9" i="2"/>
  <c r="M15" i="3"/>
  <c r="Q12" i="3" s="1"/>
  <c r="R12" i="3" s="1"/>
  <c r="M13" i="3"/>
  <c r="Q8" i="3" s="1"/>
  <c r="R8" i="3" s="1"/>
  <c r="Z8" i="3" s="1"/>
  <c r="AG7" i="3" s="1"/>
  <c r="M14" i="3"/>
  <c r="Q11" i="3" s="1"/>
  <c r="R11" i="3" s="1"/>
  <c r="Z11" i="3" s="1"/>
  <c r="AC12" i="3" s="1"/>
  <c r="AC5" i="2"/>
  <c r="AG5" i="2"/>
  <c r="M10" i="2"/>
  <c r="Q6" i="2" s="1"/>
  <c r="R6" i="2" s="1"/>
  <c r="AG6" i="2"/>
  <c r="AC6" i="2"/>
  <c r="M11" i="2"/>
  <c r="Q7" i="2" s="1"/>
  <c r="R7" i="2" s="1"/>
  <c r="M9" i="2"/>
  <c r="Q15" i="2"/>
  <c r="M6" i="2"/>
  <c r="M12" i="2"/>
  <c r="Q10" i="2" s="1"/>
  <c r="R10" i="2" s="1"/>
  <c r="M7" i="2"/>
  <c r="R6" i="3"/>
  <c r="S7" i="3" l="1"/>
  <c r="T7" i="3" s="1"/>
  <c r="S10" i="3"/>
  <c r="T10" i="3" s="1"/>
  <c r="M16" i="3"/>
  <c r="Q13" i="3" s="1"/>
  <c r="R13" i="3" s="1"/>
  <c r="Z13" i="3" s="1"/>
  <c r="AG22" i="3" s="1"/>
  <c r="AC7" i="3"/>
  <c r="AG12" i="3"/>
  <c r="M13" i="2"/>
  <c r="Q8" i="2" s="1"/>
  <c r="R8" i="2" s="1"/>
  <c r="S7" i="2" s="1"/>
  <c r="T7" i="2" s="1"/>
  <c r="M15" i="2"/>
  <c r="Q12" i="2" s="1"/>
  <c r="R12" i="2" s="1"/>
  <c r="M14" i="2"/>
  <c r="Q11" i="2" s="1"/>
  <c r="R11" i="2" s="1"/>
  <c r="Z11" i="2" s="1"/>
  <c r="AG12" i="2" s="1"/>
  <c r="Z8" i="2" l="1"/>
  <c r="AG7" i="2" s="1"/>
  <c r="S12" i="3"/>
  <c r="T12" i="3" s="1"/>
  <c r="Q14" i="3"/>
  <c r="AC22" i="3"/>
  <c r="S10" i="2"/>
  <c r="T10" i="2" s="1"/>
  <c r="M16" i="2"/>
  <c r="Q13" i="2" s="1"/>
  <c r="R13" i="2" s="1"/>
  <c r="S12" i="2" s="1"/>
  <c r="T12" i="2" s="1"/>
  <c r="AC12" i="2"/>
  <c r="AC7" i="2" l="1"/>
  <c r="Q14" i="2"/>
  <c r="Z13" i="2"/>
  <c r="AC22" i="2" s="1"/>
  <c r="AG22" i="2" l="1"/>
</calcChain>
</file>

<file path=xl/sharedStrings.xml><?xml version="1.0" encoding="utf-8"?>
<sst xmlns="http://schemas.openxmlformats.org/spreadsheetml/2006/main" count="321" uniqueCount="94">
  <si>
    <t>Split Plot RAK 2 Faktor</t>
  </si>
  <si>
    <t>ANOVA</t>
  </si>
  <si>
    <t>F Tabel</t>
  </si>
  <si>
    <t>Petak Anakan</t>
  </si>
  <si>
    <t>T0</t>
  </si>
  <si>
    <t>T1</t>
  </si>
  <si>
    <t>Total</t>
  </si>
  <si>
    <t>EY2</t>
  </si>
  <si>
    <t>Sumber Keragaman</t>
  </si>
  <si>
    <t>dB</t>
  </si>
  <si>
    <t>JK</t>
  </si>
  <si>
    <t>KT</t>
  </si>
  <si>
    <t>Fhitung</t>
  </si>
  <si>
    <t>FK</t>
  </si>
  <si>
    <t xml:space="preserve">Petak utama </t>
  </si>
  <si>
    <t>E0</t>
  </si>
  <si>
    <t>EB</t>
  </si>
  <si>
    <t>EM</t>
  </si>
  <si>
    <t>Jijk (Total)</t>
  </si>
  <si>
    <t>(Ulangan) Ri</t>
  </si>
  <si>
    <t>I</t>
  </si>
  <si>
    <t>Jij</t>
  </si>
  <si>
    <t>(Soil treatment) Aj</t>
  </si>
  <si>
    <t>II</t>
  </si>
  <si>
    <t>Jik</t>
  </si>
  <si>
    <t>(Galat A) RAij</t>
  </si>
  <si>
    <t>III</t>
  </si>
  <si>
    <t>Jjk</t>
  </si>
  <si>
    <t>Anak petak</t>
  </si>
  <si>
    <t>IV</t>
  </si>
  <si>
    <t>Ry</t>
  </si>
  <si>
    <t>(Penyemprotan)    Pk</t>
  </si>
  <si>
    <t>Ay</t>
  </si>
  <si>
    <t>(Galat P)           RPik</t>
  </si>
  <si>
    <t>Petak Utama</t>
  </si>
  <si>
    <t>Anak Petak</t>
  </si>
  <si>
    <t>Py</t>
  </si>
  <si>
    <t>(Interaksi AxP) APjk</t>
  </si>
  <si>
    <t>ulangan</t>
  </si>
  <si>
    <t>A0</t>
  </si>
  <si>
    <t>A1</t>
  </si>
  <si>
    <t>Ulangan</t>
  </si>
  <si>
    <t>P0</t>
  </si>
  <si>
    <t>P1</t>
  </si>
  <si>
    <t>P2</t>
  </si>
  <si>
    <t>RAy</t>
  </si>
  <si>
    <t>RAPijk</t>
  </si>
  <si>
    <t>RPy</t>
  </si>
  <si>
    <t>APy</t>
  </si>
  <si>
    <t>Faktor koreksi</t>
  </si>
  <si>
    <t>RAPy</t>
  </si>
  <si>
    <t>Keterangan</t>
  </si>
  <si>
    <t>R = ulangan</t>
  </si>
  <si>
    <t>A= soil treatment</t>
  </si>
  <si>
    <t>Interaksi</t>
  </si>
  <si>
    <t>P=penyemprotan tajuk</t>
  </si>
  <si>
    <t>tn</t>
  </si>
  <si>
    <t>Berbeda/Berpengaruh Tidak Nyata</t>
  </si>
  <si>
    <t>*</t>
  </si>
  <si>
    <t>Berbeda/Berpengaruh Nyata</t>
  </si>
  <si>
    <t>**</t>
  </si>
  <si>
    <t>Berbeda/Berpengaruh Sangat Nyata</t>
  </si>
  <si>
    <t xml:space="preserve">INTENSITAS SERANGAN HAMA ORONG-ORONG </t>
  </si>
  <si>
    <t xml:space="preserve">T0EB </t>
  </si>
  <si>
    <t>T0EM</t>
  </si>
  <si>
    <t xml:space="preserve">T0E0 </t>
  </si>
  <si>
    <t>SKOR ISH</t>
  </si>
  <si>
    <t>T1E0</t>
  </si>
  <si>
    <t>T1EB</t>
  </si>
  <si>
    <t>T1EM</t>
  </si>
  <si>
    <t>BNT tabel</t>
  </si>
  <si>
    <r>
      <rPr>
        <sz val="12"/>
        <color theme="1"/>
        <rFont val="Calibri"/>
        <family val="2"/>
      </rPr>
      <t>√</t>
    </r>
    <r>
      <rPr>
        <sz val="12"/>
        <color theme="1"/>
        <rFont val="Times New Roman"/>
        <family val="1"/>
      </rPr>
      <t>(KTG/n)</t>
    </r>
  </si>
  <si>
    <t>Perlakuan</t>
  </si>
  <si>
    <t>a</t>
  </si>
  <si>
    <t>b</t>
  </si>
  <si>
    <t>BNT  1%</t>
  </si>
  <si>
    <t>BNT  5%</t>
  </si>
  <si>
    <t>Tanpa Entomopatogen (E0)</t>
  </si>
  <si>
    <t>Beuveria bausiana (EB)</t>
  </si>
  <si>
    <t>c</t>
  </si>
  <si>
    <t>Metharrhizium anipsoliae (EM)</t>
  </si>
  <si>
    <t>BNT 1%</t>
  </si>
  <si>
    <t>BNT 5%</t>
  </si>
  <si>
    <t>T0E0</t>
  </si>
  <si>
    <t>T0E1</t>
  </si>
  <si>
    <t>T0E2</t>
  </si>
  <si>
    <t>d</t>
  </si>
  <si>
    <t>e</t>
  </si>
  <si>
    <t>Tanpa Trichoderma (T0)</t>
  </si>
  <si>
    <t>Dengan Trichoderma (T1)</t>
  </si>
  <si>
    <t>Intensitas Serangan Penggerek batang padi putih (Scirpophaga innotata)</t>
  </si>
  <si>
    <t>Beuveria bassiana (EB)</t>
  </si>
  <si>
    <t xml:space="preserve">Petak Utama </t>
  </si>
  <si>
    <t xml:space="preserve">Ulangan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</si>
</sst>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1"/>
      <name val="Times New Roman"/>
      <family val="1"/>
    </font>
    <font>
      <sz val="20"/>
      <color theme="1"/>
      <name val="Times New Roman"/>
      <family val="1"/>
    </font>
    <font>
      <sz val="12"/>
      <color theme="1"/>
      <name val="Times New Roman"/>
      <family val="2"/>
    </font>
    <font>
      <sz val="12"/>
      <color theme="1"/>
      <name val="Calibri"/>
      <family val="2"/>
    </font>
    <font>
      <b/>
      <sz val="18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9" fontId="2" fillId="0" borderId="4" xfId="1" applyFont="1" applyBorder="1" applyAlignment="1">
      <alignment horizontal="center"/>
    </xf>
    <xf numFmtId="0" fontId="2" fillId="3" borderId="0" xfId="0" applyFont="1" applyFill="1"/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3" borderId="0" xfId="0" applyFont="1" applyFill="1" applyAlignment="1">
      <alignment horizontal="center"/>
    </xf>
    <xf numFmtId="0" fontId="2" fillId="0" borderId="4" xfId="0" applyFont="1" applyBorder="1" applyAlignment="1">
      <alignment horizontal="right"/>
    </xf>
    <xf numFmtId="0" fontId="2" fillId="3" borderId="4" xfId="0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2" fillId="0" borderId="4" xfId="0" applyNumberFormat="1" applyFont="1" applyBorder="1"/>
    <xf numFmtId="0" fontId="2" fillId="3" borderId="4" xfId="0" applyFont="1" applyFill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2" fillId="0" borderId="2" xfId="0" applyFont="1" applyBorder="1"/>
    <xf numFmtId="9" fontId="2" fillId="0" borderId="0" xfId="0" applyNumberFormat="1" applyFont="1"/>
    <xf numFmtId="0" fontId="7" fillId="0" borderId="0" xfId="0" applyFont="1"/>
    <xf numFmtId="9" fontId="2" fillId="0" borderId="5" xfId="0" applyNumberFormat="1" applyFont="1" applyBorder="1"/>
    <xf numFmtId="2" fontId="2" fillId="0" borderId="1" xfId="0" applyNumberFormat="1" applyFont="1" applyBorder="1"/>
    <xf numFmtId="2" fontId="2" fillId="0" borderId="4" xfId="0" applyNumberFormat="1" applyFont="1" applyBorder="1"/>
    <xf numFmtId="2" fontId="2" fillId="0" borderId="0" xfId="0" applyNumberFormat="1" applyFont="1"/>
    <xf numFmtId="2" fontId="2" fillId="0" borderId="5" xfId="0" applyNumberFormat="1" applyFont="1" applyBorder="1"/>
    <xf numFmtId="2" fontId="2" fillId="2" borderId="15" xfId="0" applyNumberFormat="1" applyFont="1" applyFill="1" applyBorder="1" applyAlignment="1">
      <alignment horizontal="center" vertical="center"/>
    </xf>
    <xf numFmtId="0" fontId="9" fillId="0" borderId="0" xfId="0" applyFont="1"/>
    <xf numFmtId="0" fontId="2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right" vertical="center"/>
    </xf>
    <xf numFmtId="2" fontId="2" fillId="0" borderId="6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70690-7DDD-4CD0-A025-3B1B2F2C02D0}">
  <dimension ref="B1:AH52"/>
  <sheetViews>
    <sheetView tabSelected="1" topLeftCell="Q10" workbookViewId="0">
      <selection activeCell="AD18" sqref="AD18"/>
    </sheetView>
  </sheetViews>
  <sheetFormatPr defaultRowHeight="15.75" x14ac:dyDescent="0.25"/>
  <cols>
    <col min="1" max="1" width="9.140625" style="1"/>
    <col min="2" max="2" width="11.42578125" style="1" customWidth="1"/>
    <col min="3" max="3" width="11.5703125" style="1" customWidth="1"/>
    <col min="4" max="4" width="9.28515625" style="1" customWidth="1"/>
    <col min="5" max="5" width="9.7109375" style="1" bestFit="1" customWidth="1"/>
    <col min="6" max="8" width="9.140625" style="1"/>
    <col min="9" max="9" width="9.140625" style="1" customWidth="1"/>
    <col min="10" max="10" width="9.7109375" style="1" bestFit="1" customWidth="1"/>
    <col min="11" max="11" width="9.140625" style="1"/>
    <col min="12" max="12" width="10.7109375" style="1" customWidth="1"/>
    <col min="13" max="13" width="11.7109375" style="1" customWidth="1"/>
    <col min="14" max="14" width="9.140625" style="1"/>
    <col min="15" max="15" width="19.28515625" style="1" customWidth="1"/>
    <col min="16" max="16" width="5.28515625" style="1" customWidth="1"/>
    <col min="17" max="17" width="11" style="1" customWidth="1"/>
    <col min="18" max="19" width="9.140625" style="1"/>
    <col min="20" max="20" width="3.28515625" style="1" customWidth="1"/>
    <col min="21" max="27" width="9.140625" style="1"/>
    <col min="28" max="28" width="24" style="1" customWidth="1"/>
    <col min="29" max="29" width="9.140625" style="1"/>
    <col min="30" max="30" width="3.42578125" style="1" customWidth="1"/>
    <col min="31" max="31" width="9.140625" style="1"/>
    <col min="32" max="32" width="26.7109375" style="1" customWidth="1"/>
    <col min="33" max="16384" width="9.140625" style="1"/>
  </cols>
  <sheetData>
    <row r="1" spans="3:34" x14ac:dyDescent="0.25">
      <c r="D1" s="60" t="s">
        <v>0</v>
      </c>
      <c r="E1" s="60"/>
      <c r="F1" s="60"/>
      <c r="G1" s="60"/>
    </row>
    <row r="2" spans="3:34" ht="26.25" x14ac:dyDescent="0.4">
      <c r="D2" s="36" t="s">
        <v>62</v>
      </c>
      <c r="E2" s="36"/>
      <c r="F2" s="36"/>
      <c r="G2" s="36"/>
      <c r="H2" s="37"/>
      <c r="I2" s="37"/>
      <c r="J2" s="37"/>
      <c r="O2" s="1" t="s">
        <v>1</v>
      </c>
    </row>
    <row r="3" spans="3:34" x14ac:dyDescent="0.25">
      <c r="O3" s="4"/>
      <c r="P3" s="4"/>
      <c r="Q3" s="4"/>
      <c r="R3" s="4"/>
      <c r="S3" s="4"/>
      <c r="T3" s="4"/>
      <c r="U3" s="61" t="s">
        <v>2</v>
      </c>
      <c r="V3" s="61"/>
      <c r="X3" s="61" t="s">
        <v>70</v>
      </c>
      <c r="Y3" s="61"/>
      <c r="AB3" s="60"/>
      <c r="AC3" s="60"/>
    </row>
    <row r="4" spans="3:34" ht="31.5" customHeight="1" x14ac:dyDescent="0.25">
      <c r="C4" s="62" t="s">
        <v>3</v>
      </c>
      <c r="D4" s="63" t="s">
        <v>4</v>
      </c>
      <c r="E4" s="63"/>
      <c r="F4" s="63"/>
      <c r="G4" s="63" t="s">
        <v>5</v>
      </c>
      <c r="H4" s="63"/>
      <c r="I4" s="63"/>
      <c r="J4" s="64" t="s">
        <v>6</v>
      </c>
      <c r="K4" s="6">
        <v>4</v>
      </c>
      <c r="L4" s="6" t="s">
        <v>7</v>
      </c>
      <c r="M4" s="6">
        <f>SUMSQ(D7:I10)</f>
        <v>11059.027777777779</v>
      </c>
      <c r="O4" s="7" t="s">
        <v>8</v>
      </c>
      <c r="P4" s="8" t="s">
        <v>9</v>
      </c>
      <c r="Q4" s="7" t="s">
        <v>10</v>
      </c>
      <c r="R4" s="7" t="s">
        <v>11</v>
      </c>
      <c r="S4" s="7" t="s">
        <v>12</v>
      </c>
      <c r="T4" s="7"/>
      <c r="U4" s="9">
        <v>0.05</v>
      </c>
      <c r="V4" s="9">
        <v>0.01</v>
      </c>
      <c r="X4" s="39">
        <v>0.05</v>
      </c>
      <c r="Y4" s="39">
        <v>0.01</v>
      </c>
      <c r="Z4" s="40" t="s">
        <v>71</v>
      </c>
      <c r="AA4" s="40"/>
      <c r="AB4" s="41" t="s">
        <v>72</v>
      </c>
      <c r="AC4" s="41"/>
      <c r="AD4" s="21"/>
      <c r="AF4" s="41" t="s">
        <v>72</v>
      </c>
      <c r="AG4" s="41"/>
      <c r="AH4" s="21"/>
    </row>
    <row r="5" spans="3:34" x14ac:dyDescent="0.25">
      <c r="C5" s="62"/>
      <c r="D5" s="63"/>
      <c r="E5" s="63"/>
      <c r="F5" s="63"/>
      <c r="G5" s="63"/>
      <c r="H5" s="63"/>
      <c r="I5" s="63"/>
      <c r="J5" s="64"/>
      <c r="K5" s="6">
        <v>5</v>
      </c>
      <c r="L5" s="6" t="s">
        <v>13</v>
      </c>
      <c r="M5" s="6">
        <f>(J11^2)/24</f>
        <v>7379.1956018518531</v>
      </c>
      <c r="O5" s="1" t="s">
        <v>14</v>
      </c>
      <c r="T5" s="10"/>
      <c r="AB5" s="4" t="s">
        <v>88</v>
      </c>
      <c r="AC5" s="42">
        <f>D18/12</f>
        <v>26.736111111111111</v>
      </c>
      <c r="AD5" s="4" t="s">
        <v>73</v>
      </c>
      <c r="AF5" s="4" t="s">
        <v>88</v>
      </c>
      <c r="AG5" s="42">
        <f>D18/12</f>
        <v>26.736111111111111</v>
      </c>
      <c r="AH5" s="4" t="s">
        <v>73</v>
      </c>
    </row>
    <row r="6" spans="3:34" x14ac:dyDescent="0.25">
      <c r="C6" s="62"/>
      <c r="D6" s="53" t="s">
        <v>15</v>
      </c>
      <c r="E6" s="53" t="s">
        <v>16</v>
      </c>
      <c r="F6" s="53" t="s">
        <v>17</v>
      </c>
      <c r="G6" s="53" t="s">
        <v>15</v>
      </c>
      <c r="H6" s="53" t="s">
        <v>16</v>
      </c>
      <c r="I6" s="53" t="s">
        <v>17</v>
      </c>
      <c r="J6" s="64"/>
      <c r="K6" s="6">
        <v>6</v>
      </c>
      <c r="L6" s="6" t="s">
        <v>18</v>
      </c>
      <c r="M6" s="11">
        <f>SUMSQ(D7:I10)-M5</f>
        <v>3679.8321759259261</v>
      </c>
      <c r="N6" s="2"/>
      <c r="O6" s="12" t="s">
        <v>19</v>
      </c>
      <c r="P6" s="2">
        <v>3</v>
      </c>
      <c r="Q6" s="1">
        <f>M10</f>
        <v>19.531249999998181</v>
      </c>
      <c r="R6" s="1">
        <f>Q6/P6</f>
        <v>6.5104166666660603</v>
      </c>
      <c r="T6" s="10"/>
      <c r="AB6" s="4" t="s">
        <v>89</v>
      </c>
      <c r="AC6" s="43">
        <f>E18/12</f>
        <v>8.3333333333333321</v>
      </c>
      <c r="AD6" s="7" t="s">
        <v>74</v>
      </c>
      <c r="AF6" s="4" t="s">
        <v>89</v>
      </c>
      <c r="AG6" s="43">
        <f>E18/12</f>
        <v>8.3333333333333321</v>
      </c>
      <c r="AH6" s="7" t="s">
        <v>74</v>
      </c>
    </row>
    <row r="7" spans="3:34" x14ac:dyDescent="0.25">
      <c r="C7" s="48" t="s">
        <v>20</v>
      </c>
      <c r="D7" s="6">
        <f>((0*3)+(1*0)+(2*0)+(3*1)+(4*2))/(4*6)*100</f>
        <v>45.833333333333329</v>
      </c>
      <c r="E7" s="6">
        <f>((0*3)+(1*3)+(2*0)+(3*0)+(4*0))/(4*6)*100</f>
        <v>12.5</v>
      </c>
      <c r="F7" s="6">
        <f>((0*3)+(1*0)+(2*3)+(3*0)+(4*0))/(4*6)*100</f>
        <v>25</v>
      </c>
      <c r="G7" s="6">
        <f>((0*3)+(1*3)+(2*0)+(3*0)+(4*0))/(4*6)*100</f>
        <v>12.5</v>
      </c>
      <c r="H7" s="34">
        <f>((0*5)+(1*1)+(2*0)+(3*0)+(4*0))/(4*6)*100</f>
        <v>4.1666666666666661</v>
      </c>
      <c r="I7" s="34">
        <f>((0*4)+(1*2)+(2*0)+(3*0)+(4*0))/(4*6)*100</f>
        <v>8.3333333333333321</v>
      </c>
      <c r="J7" s="52">
        <f>SUM(D7:I7)</f>
        <v>108.33333333333333</v>
      </c>
      <c r="K7" s="34"/>
      <c r="L7" s="6" t="s">
        <v>21</v>
      </c>
      <c r="M7" s="6">
        <f>(SUMSQ(D14:E17)/3)-M5</f>
        <v>2094.1840277777765</v>
      </c>
      <c r="O7" s="12" t="s">
        <v>22</v>
      </c>
      <c r="P7" s="2">
        <v>1</v>
      </c>
      <c r="Q7" s="1">
        <f>M11</f>
        <v>2031.9733796296268</v>
      </c>
      <c r="R7" s="1">
        <f>Q7/P7</f>
        <v>2031.9733796296268</v>
      </c>
      <c r="S7" s="1">
        <f>R7/R8</f>
        <v>142.83050847456502</v>
      </c>
      <c r="T7" s="13" t="str">
        <f>IF(S7&lt;U7,"tn",IF(S7&lt;V7,"*","**"))</f>
        <v>**</v>
      </c>
      <c r="U7" s="1">
        <f>FINV(0.05,P7,P8)</f>
        <v>10.127964486013932</v>
      </c>
      <c r="V7" s="1">
        <f>FINV(0.01,P7,P8)</f>
        <v>34.116221564529795</v>
      </c>
      <c r="AB7" s="7" t="s">
        <v>75</v>
      </c>
      <c r="AC7" s="43">
        <f>Y8*Z8</f>
        <v>11.015538341858147</v>
      </c>
      <c r="AD7" s="7"/>
      <c r="AF7" s="7" t="s">
        <v>76</v>
      </c>
      <c r="AG7" s="43">
        <f>X8*Z8</f>
        <v>6.0009318616320177</v>
      </c>
      <c r="AH7" s="7"/>
    </row>
    <row r="8" spans="3:34" x14ac:dyDescent="0.25">
      <c r="C8" s="48" t="s">
        <v>23</v>
      </c>
      <c r="D8" s="6">
        <f>((0*3)+(1*2)+(2*0)+(3*0)+(4*1))/(4*6)*100</f>
        <v>25</v>
      </c>
      <c r="E8" s="6">
        <f t="shared" ref="E8:E9" si="0">((0*3)+(1*3)+(2*0)+(3*0)+(4*0))/(4*6)*100</f>
        <v>12.5</v>
      </c>
      <c r="F8" s="6">
        <f>((0*0)+(1*4)+(2*2)+(3*0)+(4*0))/(4*6)*100</f>
        <v>33.333333333333329</v>
      </c>
      <c r="G8" s="6">
        <f t="shared" ref="G8:G10" si="1">((0*3)+(1*3)+(2*0)+(3*0)+(4*0))/(4*6)*100</f>
        <v>12.5</v>
      </c>
      <c r="H8" s="34">
        <f>((0*5)+(1*1)+(2*0)+(3*0)+(4*0))/(4*6)*100</f>
        <v>4.1666666666666661</v>
      </c>
      <c r="I8" s="34">
        <f>((0*4)+(1*2)+(2*0)+(3*0)+(4*0))/(4*6)*100</f>
        <v>8.3333333333333321</v>
      </c>
      <c r="J8" s="52">
        <f t="shared" ref="J8:J10" si="2">SUM(D8:I8)</f>
        <v>95.833333333333329</v>
      </c>
      <c r="K8" s="34"/>
      <c r="L8" s="6" t="s">
        <v>24</v>
      </c>
      <c r="M8" s="6">
        <f>(SUMSQ(H14:J17)/2)-M5</f>
        <v>1136.4293981481469</v>
      </c>
      <c r="O8" s="14" t="s">
        <v>25</v>
      </c>
      <c r="P8" s="8">
        <v>3</v>
      </c>
      <c r="Q8" s="7">
        <f>M13</f>
        <v>42.679398148151449</v>
      </c>
      <c r="R8" s="7">
        <f>Q8/P8</f>
        <v>14.226466049383816</v>
      </c>
      <c r="S8" s="7"/>
      <c r="T8" s="15"/>
      <c r="U8" s="7"/>
      <c r="V8" s="7"/>
      <c r="X8" s="1">
        <v>3.1819999999999999</v>
      </c>
      <c r="Y8" s="1">
        <v>5.8410000000000002</v>
      </c>
      <c r="Z8" s="1">
        <f>SQRT(R8/4)</f>
        <v>1.8858993908334438</v>
      </c>
      <c r="AC8" s="44"/>
      <c r="AG8" s="44"/>
    </row>
    <row r="9" spans="3:34" x14ac:dyDescent="0.25">
      <c r="C9" s="48" t="s">
        <v>26</v>
      </c>
      <c r="D9" s="6">
        <f>((0*4)+(1*0)+(2*0)+(3*0)+(4*2))/(4*6)*100</f>
        <v>33.333333333333329</v>
      </c>
      <c r="E9" s="6">
        <f t="shared" si="0"/>
        <v>12.5</v>
      </c>
      <c r="F9" s="6">
        <f t="shared" ref="F9" si="3">((0*0)+(1*4)+(2*2)+(3*0)+(4*0))/(4*6)*100</f>
        <v>33.333333333333329</v>
      </c>
      <c r="G9" s="6">
        <f>((0*2)+(1*4)+(2*0)+(3*0)+(4*0))/(4*6)*100</f>
        <v>16.666666666666664</v>
      </c>
      <c r="H9" s="34">
        <f>((0*4)+(1*2)+(2*0)+(3*0)+(4*0))/(4*6)*100</f>
        <v>8.3333333333333321</v>
      </c>
      <c r="I9" s="34">
        <f>((0*5)+(1*1)+(2*0)+(3*0)+(4*0))/(4*6)*100</f>
        <v>4.1666666666666661</v>
      </c>
      <c r="J9" s="52">
        <f t="shared" si="2"/>
        <v>108.33333333333331</v>
      </c>
      <c r="K9" s="34"/>
      <c r="L9" s="6" t="s">
        <v>27</v>
      </c>
      <c r="M9" s="6">
        <f>(SUMSQ(H21:I23)/4)-M5</f>
        <v>3319.5891203703677</v>
      </c>
      <c r="O9" s="1" t="s">
        <v>28</v>
      </c>
      <c r="P9" s="2"/>
      <c r="T9" s="13"/>
      <c r="AB9" s="4" t="s">
        <v>77</v>
      </c>
      <c r="AC9" s="42">
        <f>H18/8</f>
        <v>25</v>
      </c>
      <c r="AD9" s="4" t="s">
        <v>73</v>
      </c>
      <c r="AF9" s="4" t="s">
        <v>77</v>
      </c>
      <c r="AG9" s="42">
        <f>H18/8</f>
        <v>25</v>
      </c>
      <c r="AH9" s="4" t="s">
        <v>73</v>
      </c>
    </row>
    <row r="10" spans="3:34" x14ac:dyDescent="0.25">
      <c r="C10" s="48" t="s">
        <v>29</v>
      </c>
      <c r="D10" s="6">
        <f>((0*3)+(1*0)+(2*0)+(3*2)+(4*1))/(4*6)*100</f>
        <v>41.666666666666671</v>
      </c>
      <c r="E10" s="6">
        <f>((0*4)+(1*1)+(2*0)+(3*1)+(4*0))/(4*6)*100</f>
        <v>16.666666666666664</v>
      </c>
      <c r="F10" s="6">
        <f>((0*2)+(1*3)+(2*0)+(3*0)+(4*1))/(4*6)*100</f>
        <v>29.166666666666668</v>
      </c>
      <c r="G10" s="6">
        <f t="shared" si="1"/>
        <v>12.5</v>
      </c>
      <c r="H10" s="34">
        <f t="shared" ref="H10" si="4">((0*5)+(1*1)+(2*0)+(3*0)+(4*0))/(4*6)*100</f>
        <v>4.1666666666666661</v>
      </c>
      <c r="I10" s="34">
        <f>((0*5)+(1*1)+(2*0)+(3*0)+(4*0))/(4*6)*100</f>
        <v>4.1666666666666661</v>
      </c>
      <c r="J10" s="52">
        <f t="shared" si="2"/>
        <v>108.33333333333334</v>
      </c>
      <c r="K10" s="34"/>
      <c r="L10" s="6" t="s">
        <v>30</v>
      </c>
      <c r="M10" s="6">
        <f>(SUMSQ(J7:J10)/6)-M5</f>
        <v>19.531249999998181</v>
      </c>
      <c r="O10" s="12" t="s">
        <v>31</v>
      </c>
      <c r="P10" s="2">
        <v>2</v>
      </c>
      <c r="Q10" s="1">
        <f>M12</f>
        <v>982.34953703703377</v>
      </c>
      <c r="R10" s="1">
        <f t="shared" ref="R10:R13" si="5">Q10/P10</f>
        <v>491.17476851851688</v>
      </c>
      <c r="S10" s="1">
        <f>R10/R11</f>
        <v>21.903225806450916</v>
      </c>
      <c r="T10" s="13" t="str">
        <f>IF(S10&lt;U10,"tn",IF(S10&lt;V10,"*","**"))</f>
        <v>**</v>
      </c>
      <c r="U10" s="1">
        <f>FINV(0.05,P10,P11)</f>
        <v>5.1432528497847176</v>
      </c>
      <c r="V10" s="1">
        <f>FINV(0.01,P10,P11)</f>
        <v>10.924766500838338</v>
      </c>
      <c r="AB10" s="1" t="s">
        <v>91</v>
      </c>
      <c r="AC10" s="44">
        <f>I18/8</f>
        <v>9.3749999999999982</v>
      </c>
      <c r="AD10" s="1" t="s">
        <v>74</v>
      </c>
      <c r="AF10" s="1" t="s">
        <v>91</v>
      </c>
      <c r="AG10" s="44">
        <f>I18/8</f>
        <v>9.3749999999999982</v>
      </c>
      <c r="AH10" s="1" t="s">
        <v>79</v>
      </c>
    </row>
    <row r="11" spans="3:34" x14ac:dyDescent="0.25">
      <c r="C11" s="6"/>
      <c r="D11" s="6"/>
      <c r="E11" s="6"/>
      <c r="F11" s="6"/>
      <c r="G11" s="6"/>
      <c r="H11" s="6"/>
      <c r="I11" s="6"/>
      <c r="J11" s="46">
        <f>SUM(J7:J10)</f>
        <v>420.83333333333337</v>
      </c>
      <c r="K11" s="6">
        <v>11</v>
      </c>
      <c r="L11" s="6" t="s">
        <v>32</v>
      </c>
      <c r="M11" s="6">
        <f>(SUMSQ(D18:E18)/12)-M5</f>
        <v>2031.9733796296268</v>
      </c>
      <c r="O11" s="12" t="s">
        <v>33</v>
      </c>
      <c r="P11" s="2">
        <v>6</v>
      </c>
      <c r="Q11" s="1">
        <f>M14</f>
        <v>134.54861111111495</v>
      </c>
      <c r="R11" s="1">
        <f t="shared" si="5"/>
        <v>22.424768518519159</v>
      </c>
      <c r="T11" s="13"/>
      <c r="X11" s="1">
        <v>4.3029999999999999</v>
      </c>
      <c r="Y11" s="1">
        <v>9.9250000000000007</v>
      </c>
      <c r="Z11" s="1">
        <f>SQRT(R11/4)</f>
        <v>2.3677398779489671</v>
      </c>
      <c r="AB11" s="7" t="s">
        <v>80</v>
      </c>
      <c r="AC11" s="43">
        <f>J18/8</f>
        <v>18.229166666666664</v>
      </c>
      <c r="AD11" s="7" t="s">
        <v>74</v>
      </c>
      <c r="AF11" s="7" t="s">
        <v>80</v>
      </c>
      <c r="AG11" s="43">
        <f>J18/8</f>
        <v>18.229166666666664</v>
      </c>
      <c r="AH11" s="7" t="s">
        <v>74</v>
      </c>
    </row>
    <row r="12" spans="3:34" x14ac:dyDescent="0.25">
      <c r="C12" s="63" t="s">
        <v>34</v>
      </c>
      <c r="D12" s="63"/>
      <c r="E12" s="63"/>
      <c r="F12" s="6"/>
      <c r="G12" s="65" t="s">
        <v>35</v>
      </c>
      <c r="H12" s="66"/>
      <c r="I12" s="66"/>
      <c r="J12" s="67"/>
      <c r="K12" s="6">
        <v>12</v>
      </c>
      <c r="L12" s="6" t="s">
        <v>36</v>
      </c>
      <c r="M12" s="6">
        <f>(SUMSQ(J21:J23)/8)-M5</f>
        <v>982.34953703703377</v>
      </c>
      <c r="O12" s="12" t="s">
        <v>37</v>
      </c>
      <c r="P12" s="2">
        <v>2</v>
      </c>
      <c r="Q12" s="1">
        <f>M15</f>
        <v>305.26620370370711</v>
      </c>
      <c r="R12" s="1">
        <f t="shared" si="5"/>
        <v>152.63310185185355</v>
      </c>
      <c r="S12" s="1">
        <f>R12/R13</f>
        <v>9.3362831858409532</v>
      </c>
      <c r="T12" s="13" t="str">
        <f>IF(S12&lt;U12,"tn",IF(S12&lt;V12,"*","**"))</f>
        <v>**</v>
      </c>
      <c r="U12" s="1">
        <f>FINV(0.05,P12,P13)</f>
        <v>4.1028210151304032</v>
      </c>
      <c r="V12" s="1">
        <f>FINV(0.01,P12,P13)</f>
        <v>7.5594321575479011</v>
      </c>
      <c r="AB12" s="21" t="s">
        <v>81</v>
      </c>
      <c r="AC12" s="45">
        <f>Y11*Z11</f>
        <v>23.4998182886435</v>
      </c>
      <c r="AD12" s="21"/>
      <c r="AF12" s="21" t="s">
        <v>82</v>
      </c>
      <c r="AG12" s="45">
        <f>X11*Z11</f>
        <v>10.188384694814406</v>
      </c>
      <c r="AH12" s="21"/>
    </row>
    <row r="13" spans="3:34" x14ac:dyDescent="0.25">
      <c r="C13" s="16" t="s">
        <v>38</v>
      </c>
      <c r="D13" s="5" t="s">
        <v>39</v>
      </c>
      <c r="E13" s="17" t="s">
        <v>40</v>
      </c>
      <c r="F13" s="6"/>
      <c r="G13" s="5" t="s">
        <v>41</v>
      </c>
      <c r="H13" s="5" t="s">
        <v>42</v>
      </c>
      <c r="I13" s="5" t="s">
        <v>43</v>
      </c>
      <c r="J13" s="5" t="s">
        <v>44</v>
      </c>
      <c r="K13" s="6">
        <v>13</v>
      </c>
      <c r="L13" s="6" t="s">
        <v>45</v>
      </c>
      <c r="M13" s="6">
        <f>M7-M10-M11</f>
        <v>42.679398148151449</v>
      </c>
      <c r="O13" s="14" t="s">
        <v>46</v>
      </c>
      <c r="P13" s="8">
        <v>10</v>
      </c>
      <c r="Q13" s="18">
        <f>M16</f>
        <v>163.4837962962938</v>
      </c>
      <c r="R13" s="7">
        <f t="shared" si="5"/>
        <v>16.348379629629381</v>
      </c>
      <c r="S13" s="7"/>
      <c r="T13" s="19"/>
      <c r="U13" s="7"/>
      <c r="V13" s="7"/>
      <c r="X13" s="1">
        <v>2.2280000000000002</v>
      </c>
      <c r="Y13" s="1">
        <v>3.169</v>
      </c>
      <c r="Z13" s="1">
        <f>SQRT(R13/5)</f>
        <v>1.808224523096033</v>
      </c>
    </row>
    <row r="14" spans="3:34" x14ac:dyDescent="0.25">
      <c r="C14" s="16" t="s">
        <v>20</v>
      </c>
      <c r="D14" s="5">
        <f>SUM(D7:F7)</f>
        <v>83.333333333333329</v>
      </c>
      <c r="E14" s="17">
        <f>SUM(G7:I7)</f>
        <v>24.999999999999996</v>
      </c>
      <c r="F14" s="6"/>
      <c r="G14" s="5" t="s">
        <v>20</v>
      </c>
      <c r="H14" s="5">
        <f>D7+G7</f>
        <v>58.333333333333329</v>
      </c>
      <c r="I14" s="5">
        <f>E7+H7</f>
        <v>16.666666666666664</v>
      </c>
      <c r="J14" s="5">
        <f>F7+I7</f>
        <v>33.333333333333329</v>
      </c>
      <c r="K14" s="6">
        <v>14</v>
      </c>
      <c r="L14" s="6" t="s">
        <v>47</v>
      </c>
      <c r="M14" s="6">
        <f>M8-M10-M12</f>
        <v>134.54861111111495</v>
      </c>
      <c r="O14" s="20" t="s">
        <v>6</v>
      </c>
      <c r="P14" s="21"/>
      <c r="Q14" s="21">
        <f>SUM(Q6:Q13)</f>
        <v>3679.8321759259261</v>
      </c>
      <c r="R14" s="21"/>
      <c r="S14" s="21"/>
      <c r="T14" s="21"/>
      <c r="U14" s="21"/>
      <c r="V14" s="21"/>
      <c r="AB14" s="3" t="s">
        <v>54</v>
      </c>
      <c r="AF14" s="3" t="s">
        <v>54</v>
      </c>
    </row>
    <row r="15" spans="3:34" x14ac:dyDescent="0.25">
      <c r="C15" s="16" t="s">
        <v>23</v>
      </c>
      <c r="D15" s="5">
        <f>SUM(D8:F8)</f>
        <v>70.833333333333329</v>
      </c>
      <c r="E15" s="17">
        <f t="shared" ref="E15:E17" si="6">SUM(G8:I8)</f>
        <v>24.999999999999996</v>
      </c>
      <c r="F15" s="6"/>
      <c r="G15" s="5" t="s">
        <v>23</v>
      </c>
      <c r="H15" s="5">
        <f t="shared" ref="H15:J17" si="7">D8+G8</f>
        <v>37.5</v>
      </c>
      <c r="I15" s="5">
        <f t="shared" si="7"/>
        <v>16.666666666666664</v>
      </c>
      <c r="J15" s="5">
        <f t="shared" si="7"/>
        <v>41.666666666666657</v>
      </c>
      <c r="K15" s="6">
        <v>15</v>
      </c>
      <c r="L15" s="6" t="s">
        <v>48</v>
      </c>
      <c r="M15" s="6">
        <f>M9-M11-M12</f>
        <v>305.26620370370711</v>
      </c>
      <c r="O15" s="12" t="s">
        <v>49</v>
      </c>
      <c r="Q15" s="1">
        <f>M5</f>
        <v>7379.1956018518531</v>
      </c>
      <c r="AB15" s="21" t="s">
        <v>72</v>
      </c>
      <c r="AC15" s="21"/>
      <c r="AD15" s="21"/>
      <c r="AF15" s="21" t="s">
        <v>72</v>
      </c>
      <c r="AG15" s="21"/>
      <c r="AH15" s="21"/>
    </row>
    <row r="16" spans="3:34" x14ac:dyDescent="0.25">
      <c r="C16" s="16" t="s">
        <v>26</v>
      </c>
      <c r="D16" s="5">
        <f>SUM(D9:F9)</f>
        <v>79.166666666666657</v>
      </c>
      <c r="E16" s="17">
        <f t="shared" si="6"/>
        <v>29.166666666666664</v>
      </c>
      <c r="F16" s="6"/>
      <c r="G16" s="5" t="s">
        <v>26</v>
      </c>
      <c r="H16" s="5">
        <f t="shared" si="7"/>
        <v>49.999999999999993</v>
      </c>
      <c r="I16" s="5">
        <f t="shared" si="7"/>
        <v>20.833333333333332</v>
      </c>
      <c r="J16" s="5">
        <f t="shared" si="7"/>
        <v>37.499999999999993</v>
      </c>
      <c r="K16" s="6">
        <v>16</v>
      </c>
      <c r="L16" s="6" t="s">
        <v>50</v>
      </c>
      <c r="M16" s="11">
        <f>M6-M10-M11-M12-M13-M14-M15</f>
        <v>163.4837962962938</v>
      </c>
      <c r="O16" s="1" t="s">
        <v>51</v>
      </c>
      <c r="AB16" s="4" t="s">
        <v>83</v>
      </c>
      <c r="AC16" s="42">
        <f>H21/4</f>
        <v>36.458333333333329</v>
      </c>
      <c r="AD16" s="1" t="s">
        <v>86</v>
      </c>
      <c r="AF16" s="4" t="s">
        <v>83</v>
      </c>
      <c r="AG16" s="42">
        <f>H21/4</f>
        <v>36.458333333333329</v>
      </c>
      <c r="AH16" s="4" t="s">
        <v>73</v>
      </c>
    </row>
    <row r="17" spans="2:34" x14ac:dyDescent="0.25">
      <c r="C17" s="16" t="s">
        <v>29</v>
      </c>
      <c r="D17" s="5">
        <f>SUM(D10:F10)</f>
        <v>87.5</v>
      </c>
      <c r="E17" s="17">
        <f t="shared" si="6"/>
        <v>20.833333333333329</v>
      </c>
      <c r="F17" s="6"/>
      <c r="G17" s="5" t="s">
        <v>29</v>
      </c>
      <c r="H17" s="5">
        <f t="shared" si="7"/>
        <v>54.166666666666671</v>
      </c>
      <c r="I17" s="5">
        <f t="shared" si="7"/>
        <v>20.833333333333329</v>
      </c>
      <c r="J17" s="5">
        <f t="shared" si="7"/>
        <v>33.333333333333336</v>
      </c>
      <c r="K17" s="6"/>
      <c r="L17" s="6"/>
      <c r="M17" s="6"/>
      <c r="O17" s="1" t="s">
        <v>52</v>
      </c>
      <c r="AB17" s="1" t="s">
        <v>84</v>
      </c>
      <c r="AC17" s="44">
        <f>H22/4</f>
        <v>13.541666666666666</v>
      </c>
      <c r="AD17" s="1" t="s">
        <v>74</v>
      </c>
      <c r="AF17" s="1" t="s">
        <v>84</v>
      </c>
      <c r="AG17" s="44">
        <f>H22/4</f>
        <v>13.541666666666666</v>
      </c>
      <c r="AH17" s="1" t="s">
        <v>79</v>
      </c>
    </row>
    <row r="18" spans="2:34" ht="16.5" thickBot="1" x14ac:dyDescent="0.3">
      <c r="C18" s="22"/>
      <c r="D18" s="23">
        <f>SUM(D14:D17)</f>
        <v>320.83333333333331</v>
      </c>
      <c r="E18" s="24">
        <f>SUM(E14:E17)</f>
        <v>99.999999999999986</v>
      </c>
      <c r="F18" s="6"/>
      <c r="G18" s="6"/>
      <c r="H18" s="6">
        <f>SUM(H14:H17)</f>
        <v>200</v>
      </c>
      <c r="I18" s="6">
        <f t="shared" ref="I18:J18" si="8">SUM(I14:I17)</f>
        <v>74.999999999999986</v>
      </c>
      <c r="J18" s="6">
        <f t="shared" si="8"/>
        <v>145.83333333333331</v>
      </c>
      <c r="K18" s="6"/>
      <c r="L18" s="6"/>
      <c r="M18" s="6"/>
      <c r="O18" s="1" t="s">
        <v>53</v>
      </c>
      <c r="AB18" s="1" t="s">
        <v>85</v>
      </c>
      <c r="AC18" s="44">
        <f>H23/4</f>
        <v>30.208333333333332</v>
      </c>
      <c r="AD18" s="1" t="s">
        <v>79</v>
      </c>
      <c r="AF18" s="1" t="s">
        <v>85</v>
      </c>
      <c r="AG18" s="44">
        <f>H23/4</f>
        <v>30.208333333333332</v>
      </c>
      <c r="AH18" s="1" t="s">
        <v>74</v>
      </c>
    </row>
    <row r="19" spans="2:34" ht="16.5" thickBot="1" x14ac:dyDescent="0.3">
      <c r="C19" s="6"/>
      <c r="D19" s="6"/>
      <c r="E19" s="6"/>
      <c r="F19" s="6"/>
      <c r="G19" s="6"/>
      <c r="H19" s="25" t="s">
        <v>54</v>
      </c>
      <c r="I19" s="6"/>
      <c r="J19" s="6"/>
      <c r="K19" s="6"/>
      <c r="L19" s="6"/>
      <c r="M19" s="6"/>
      <c r="O19" s="1" t="s">
        <v>55</v>
      </c>
      <c r="AB19" s="1" t="s">
        <v>67</v>
      </c>
      <c r="AC19" s="44">
        <f>I21/4</f>
        <v>13.541666666666666</v>
      </c>
      <c r="AD19" s="1" t="s">
        <v>74</v>
      </c>
      <c r="AF19" s="1" t="s">
        <v>67</v>
      </c>
      <c r="AG19" s="44">
        <f>I21/4</f>
        <v>13.541666666666666</v>
      </c>
      <c r="AH19" s="1" t="s">
        <v>86</v>
      </c>
    </row>
    <row r="20" spans="2:34" x14ac:dyDescent="0.25">
      <c r="C20" s="6"/>
      <c r="D20" s="6"/>
      <c r="E20" s="6"/>
      <c r="F20" s="6"/>
      <c r="G20" s="26"/>
      <c r="H20" s="27" t="s">
        <v>4</v>
      </c>
      <c r="I20" s="27" t="s">
        <v>5</v>
      </c>
      <c r="J20" s="28"/>
      <c r="K20" s="6"/>
      <c r="L20" s="6"/>
      <c r="M20" s="6"/>
      <c r="O20" s="1" t="s">
        <v>56</v>
      </c>
      <c r="P20" s="1" t="s">
        <v>57</v>
      </c>
      <c r="AB20" s="1" t="s">
        <v>68</v>
      </c>
      <c r="AC20" s="44">
        <f>I22/4</f>
        <v>5.2083333333333321</v>
      </c>
      <c r="AD20" s="1" t="s">
        <v>73</v>
      </c>
      <c r="AF20" s="1" t="s">
        <v>68</v>
      </c>
      <c r="AG20" s="44">
        <f>I22/4</f>
        <v>5.2083333333333321</v>
      </c>
      <c r="AH20" s="1" t="s">
        <v>87</v>
      </c>
    </row>
    <row r="21" spans="2:34" x14ac:dyDescent="0.25">
      <c r="C21" s="6"/>
      <c r="D21" s="6"/>
      <c r="E21" s="6"/>
      <c r="F21" s="6"/>
      <c r="G21" s="16" t="s">
        <v>15</v>
      </c>
      <c r="H21" s="5">
        <f>SUM(D7:D10)</f>
        <v>145.83333333333331</v>
      </c>
      <c r="I21" s="5">
        <f>SUM(G7:G10)</f>
        <v>54.166666666666664</v>
      </c>
      <c r="J21" s="17">
        <f>SUM(H21:I21)</f>
        <v>199.99999999999997</v>
      </c>
      <c r="K21" s="6"/>
      <c r="L21" s="6"/>
      <c r="M21" s="6"/>
      <c r="O21" s="1" t="s">
        <v>58</v>
      </c>
      <c r="P21" s="1" t="s">
        <v>59</v>
      </c>
      <c r="AB21" s="1" t="s">
        <v>69</v>
      </c>
      <c r="AC21" s="44">
        <f>I23/4</f>
        <v>6.2499999999999982</v>
      </c>
      <c r="AD21" s="1" t="s">
        <v>73</v>
      </c>
      <c r="AF21" s="7" t="s">
        <v>69</v>
      </c>
      <c r="AG21" s="43">
        <f>I23/4</f>
        <v>6.2499999999999982</v>
      </c>
      <c r="AH21" s="7" t="s">
        <v>86</v>
      </c>
    </row>
    <row r="22" spans="2:34" x14ac:dyDescent="0.25">
      <c r="C22" s="6"/>
      <c r="D22" s="6"/>
      <c r="E22" s="6"/>
      <c r="F22" s="6"/>
      <c r="G22" s="16" t="s">
        <v>16</v>
      </c>
      <c r="H22" s="5">
        <f>SUM(E7:E10)</f>
        <v>54.166666666666664</v>
      </c>
      <c r="I22" s="5">
        <f>SUM(H7:H10)</f>
        <v>20.833333333333329</v>
      </c>
      <c r="J22" s="17">
        <f t="shared" ref="J22:J23" si="9">SUM(H22:I22)</f>
        <v>75</v>
      </c>
      <c r="K22" s="6"/>
      <c r="L22" s="6"/>
      <c r="M22" s="6"/>
      <c r="O22" s="1" t="s">
        <v>60</v>
      </c>
      <c r="P22" s="1" t="s">
        <v>61</v>
      </c>
      <c r="AB22" s="21" t="s">
        <v>81</v>
      </c>
      <c r="AC22" s="45">
        <f>Y13*Z13</f>
        <v>5.7302635136913285</v>
      </c>
      <c r="AD22" s="21"/>
      <c r="AF22" s="21" t="s">
        <v>82</v>
      </c>
      <c r="AG22" s="45">
        <f>X13*Z13</f>
        <v>4.0287242374579622</v>
      </c>
      <c r="AH22" s="21"/>
    </row>
    <row r="23" spans="2:34" ht="16.5" thickBot="1" x14ac:dyDescent="0.3">
      <c r="C23" s="6"/>
      <c r="D23" s="6"/>
      <c r="E23" s="6"/>
      <c r="F23" s="6"/>
      <c r="G23" s="22" t="s">
        <v>17</v>
      </c>
      <c r="H23" s="23">
        <f>SUM(F7:F10)</f>
        <v>120.83333333333333</v>
      </c>
      <c r="I23" s="23">
        <f>SUM(I7:I10)</f>
        <v>24.999999999999993</v>
      </c>
      <c r="J23" s="24">
        <f t="shared" si="9"/>
        <v>145.83333333333331</v>
      </c>
      <c r="K23" s="6"/>
      <c r="L23" s="6"/>
      <c r="M23" s="6"/>
    </row>
    <row r="24" spans="2:34" x14ac:dyDescent="0.25">
      <c r="B24" s="60"/>
      <c r="C24" s="60"/>
      <c r="D24" s="60"/>
      <c r="E24" s="60"/>
      <c r="F24" s="60"/>
    </row>
    <row r="25" spans="2:34" x14ac:dyDescent="0.25">
      <c r="B25" s="60"/>
      <c r="C25" s="68" t="s">
        <v>66</v>
      </c>
      <c r="D25" s="68"/>
      <c r="E25" s="60"/>
      <c r="F25" s="60"/>
      <c r="G25" s="60"/>
      <c r="H25" s="60"/>
      <c r="I25" s="60"/>
    </row>
    <row r="26" spans="2:34" x14ac:dyDescent="0.25">
      <c r="B26" s="60"/>
      <c r="C26" s="68"/>
      <c r="D26" s="68"/>
      <c r="E26" s="60"/>
      <c r="F26" s="60"/>
      <c r="I26" s="60"/>
    </row>
    <row r="27" spans="2:34" x14ac:dyDescent="0.25">
      <c r="C27" s="38" t="s">
        <v>65</v>
      </c>
      <c r="D27" s="38">
        <f>(3*1)+(4*3)/(6*4)</f>
        <v>3.5</v>
      </c>
    </row>
    <row r="28" spans="2:34" x14ac:dyDescent="0.25">
      <c r="C28" s="38" t="s">
        <v>63</v>
      </c>
      <c r="D28" s="38">
        <f>(1*1)+(2*1)/(6*4)</f>
        <v>1.0833333333333333</v>
      </c>
    </row>
    <row r="29" spans="2:34" x14ac:dyDescent="0.25">
      <c r="C29" s="38" t="s">
        <v>64</v>
      </c>
      <c r="D29" s="38">
        <f>(1*6)/(6*4)</f>
        <v>0.25</v>
      </c>
    </row>
    <row r="30" spans="2:34" x14ac:dyDescent="0.25">
      <c r="C30" s="38" t="s">
        <v>67</v>
      </c>
      <c r="D30" s="38">
        <f>(1*6)/(6*4)</f>
        <v>0.25</v>
      </c>
    </row>
    <row r="31" spans="2:34" x14ac:dyDescent="0.25">
      <c r="C31" s="38" t="s">
        <v>68</v>
      </c>
      <c r="D31" s="38">
        <f>(0*2)+(1*2)/(6*4)</f>
        <v>8.3333333333333329E-2</v>
      </c>
    </row>
    <row r="32" spans="2:34" x14ac:dyDescent="0.25">
      <c r="C32" s="38" t="s">
        <v>69</v>
      </c>
      <c r="D32" s="38">
        <f>(0*3)+(2*1)/(6*4)</f>
        <v>8.3333333333333329E-2</v>
      </c>
    </row>
    <row r="42" spans="6:13" x14ac:dyDescent="0.25">
      <c r="F42" s="29"/>
      <c r="G42" s="30"/>
      <c r="H42" s="29"/>
      <c r="I42" s="29"/>
      <c r="J42" s="29"/>
      <c r="K42" s="29"/>
      <c r="L42" s="31"/>
      <c r="M42" s="6"/>
    </row>
    <row r="43" spans="6:13" x14ac:dyDescent="0.25">
      <c r="F43" s="29"/>
      <c r="G43" s="30"/>
      <c r="H43" s="6"/>
      <c r="I43" s="6"/>
      <c r="J43" s="6"/>
      <c r="K43" s="6"/>
      <c r="L43" s="6"/>
      <c r="M43" s="6"/>
    </row>
    <row r="44" spans="6:13" x14ac:dyDescent="0.25">
      <c r="F44" s="29"/>
      <c r="G44" s="6"/>
      <c r="H44" s="6"/>
      <c r="I44" s="6"/>
      <c r="J44" s="6"/>
      <c r="K44" s="6"/>
      <c r="L44" s="6"/>
    </row>
    <row r="45" spans="6:13" x14ac:dyDescent="0.25">
      <c r="F45" s="29"/>
      <c r="G45" s="6"/>
      <c r="H45" s="6"/>
      <c r="I45" s="6"/>
      <c r="J45" s="6"/>
      <c r="K45" s="6"/>
      <c r="L45" s="6"/>
    </row>
    <row r="46" spans="6:13" x14ac:dyDescent="0.25">
      <c r="F46" s="29"/>
      <c r="G46" s="6"/>
      <c r="H46" s="6"/>
      <c r="I46" s="6"/>
      <c r="J46" s="6"/>
      <c r="K46" s="6"/>
      <c r="L46" s="6"/>
    </row>
    <row r="47" spans="6:13" x14ac:dyDescent="0.25">
      <c r="F47" s="6"/>
      <c r="G47" s="2"/>
      <c r="H47" s="32"/>
      <c r="I47" s="32"/>
      <c r="J47" s="32"/>
      <c r="K47" s="32"/>
      <c r="L47" s="32"/>
    </row>
    <row r="48" spans="6:13" x14ac:dyDescent="0.25">
      <c r="F48" s="29"/>
      <c r="G48" s="6"/>
      <c r="H48" s="2"/>
      <c r="I48" s="2"/>
      <c r="J48" s="2"/>
      <c r="K48" s="2"/>
    </row>
    <row r="49" spans="6:11" x14ac:dyDescent="0.25">
      <c r="F49" s="29"/>
      <c r="G49" s="6"/>
      <c r="H49" s="2"/>
      <c r="I49" s="2"/>
      <c r="J49" s="2"/>
      <c r="K49" s="2"/>
    </row>
    <row r="50" spans="6:11" x14ac:dyDescent="0.25">
      <c r="F50" s="29"/>
      <c r="G50" s="6"/>
      <c r="H50" s="2"/>
      <c r="I50" s="2"/>
      <c r="J50" s="2"/>
      <c r="K50" s="2"/>
    </row>
    <row r="51" spans="6:11" x14ac:dyDescent="0.25">
      <c r="F51" s="2"/>
    </row>
    <row r="52" spans="6:11" x14ac:dyDescent="0.25">
      <c r="F52" s="33"/>
    </row>
  </sheetData>
  <mergeCells count="17">
    <mergeCell ref="C12:E12"/>
    <mergeCell ref="G12:J12"/>
    <mergeCell ref="B24:F24"/>
    <mergeCell ref="B25:B26"/>
    <mergeCell ref="C25:D26"/>
    <mergeCell ref="E25:E26"/>
    <mergeCell ref="F25:F26"/>
    <mergeCell ref="G25:H25"/>
    <mergeCell ref="I25:I26"/>
    <mergeCell ref="D1:G1"/>
    <mergeCell ref="U3:V3"/>
    <mergeCell ref="X3:Y3"/>
    <mergeCell ref="AB3:AC3"/>
    <mergeCell ref="C4:C6"/>
    <mergeCell ref="D4:F5"/>
    <mergeCell ref="G4:I5"/>
    <mergeCell ref="J4:J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C6729-1B88-4A11-9A58-AB00E441E6B0}">
  <dimension ref="B1:AH52"/>
  <sheetViews>
    <sheetView topLeftCell="O10" workbookViewId="0">
      <selection activeCell="AD21" sqref="AD21"/>
    </sheetView>
  </sheetViews>
  <sheetFormatPr defaultRowHeight="15.75" x14ac:dyDescent="0.25"/>
  <cols>
    <col min="1" max="1" width="9.140625" style="1"/>
    <col min="2" max="2" width="11.42578125" style="1" customWidth="1"/>
    <col min="3" max="3" width="11.5703125" style="1" customWidth="1"/>
    <col min="4" max="4" width="9.28515625" style="1" customWidth="1"/>
    <col min="5" max="5" width="9.7109375" style="1" bestFit="1" customWidth="1"/>
    <col min="6" max="8" width="9.140625" style="1"/>
    <col min="9" max="9" width="9.140625" style="1" customWidth="1"/>
    <col min="10" max="10" width="9.7109375" style="1" bestFit="1" customWidth="1"/>
    <col min="11" max="11" width="9.140625" style="1"/>
    <col min="12" max="12" width="10.7109375" style="1" customWidth="1"/>
    <col min="13" max="13" width="12.5703125" style="1" customWidth="1"/>
    <col min="14" max="14" width="9.140625" style="1"/>
    <col min="15" max="15" width="19.28515625" style="1" customWidth="1"/>
    <col min="16" max="16" width="5.28515625" style="1" customWidth="1"/>
    <col min="17" max="17" width="12.28515625" style="1" customWidth="1"/>
    <col min="18" max="19" width="9.140625" style="1"/>
    <col min="20" max="20" width="3.28515625" style="1" customWidth="1"/>
    <col min="21" max="27" width="9.140625" style="1"/>
    <col min="28" max="28" width="24" style="1" customWidth="1"/>
    <col min="29" max="29" width="11.85546875" style="1" customWidth="1"/>
    <col min="30" max="30" width="2.7109375" style="1" customWidth="1"/>
    <col min="31" max="31" width="9.140625" style="1"/>
    <col min="32" max="32" width="23.5703125" style="1" customWidth="1"/>
    <col min="33" max="16384" width="9.140625" style="1"/>
  </cols>
  <sheetData>
    <row r="1" spans="2:34" x14ac:dyDescent="0.25">
      <c r="D1" s="60"/>
      <c r="E1" s="60"/>
      <c r="F1" s="60"/>
      <c r="G1" s="60"/>
    </row>
    <row r="2" spans="2:34" ht="26.25" x14ac:dyDescent="0.4">
      <c r="B2" s="47" t="s">
        <v>90</v>
      </c>
      <c r="C2" s="47"/>
      <c r="D2" s="47"/>
      <c r="E2" s="47"/>
      <c r="F2" s="47"/>
      <c r="G2" s="47"/>
      <c r="H2" s="47"/>
      <c r="I2" s="37"/>
      <c r="J2" s="37"/>
      <c r="O2" s="1" t="s">
        <v>1</v>
      </c>
    </row>
    <row r="3" spans="2:34" x14ac:dyDescent="0.25">
      <c r="O3" s="4"/>
      <c r="P3" s="4"/>
      <c r="Q3" s="4"/>
      <c r="R3" s="4"/>
      <c r="S3" s="4"/>
      <c r="T3" s="4"/>
      <c r="U3" s="61" t="s">
        <v>2</v>
      </c>
      <c r="V3" s="61"/>
      <c r="X3" s="61" t="s">
        <v>70</v>
      </c>
      <c r="Y3" s="61"/>
      <c r="AB3" s="60"/>
      <c r="AC3" s="60"/>
    </row>
    <row r="4" spans="2:34" ht="31.5" customHeight="1" x14ac:dyDescent="0.25">
      <c r="C4" s="62" t="s">
        <v>3</v>
      </c>
      <c r="D4" s="63" t="s">
        <v>4</v>
      </c>
      <c r="E4" s="63"/>
      <c r="F4" s="63"/>
      <c r="G4" s="63" t="s">
        <v>5</v>
      </c>
      <c r="H4" s="63"/>
      <c r="I4" s="63"/>
      <c r="J4" s="64" t="s">
        <v>6</v>
      </c>
      <c r="K4" s="6">
        <v>4</v>
      </c>
      <c r="L4" s="6" t="s">
        <v>7</v>
      </c>
      <c r="M4" s="6">
        <f>SUMSQ(D7:I10)</f>
        <v>15121.527777777777</v>
      </c>
      <c r="O4" s="7" t="s">
        <v>8</v>
      </c>
      <c r="P4" s="8" t="s">
        <v>9</v>
      </c>
      <c r="Q4" s="7" t="s">
        <v>10</v>
      </c>
      <c r="R4" s="7" t="s">
        <v>11</v>
      </c>
      <c r="S4" s="7" t="s">
        <v>12</v>
      </c>
      <c r="T4" s="7"/>
      <c r="U4" s="9">
        <v>0.05</v>
      </c>
      <c r="V4" s="9">
        <v>0.01</v>
      </c>
      <c r="X4" s="39">
        <v>0.05</v>
      </c>
      <c r="Y4" s="39">
        <v>0.01</v>
      </c>
      <c r="Z4" s="40" t="s">
        <v>71</v>
      </c>
      <c r="AA4" s="40"/>
      <c r="AB4" s="41" t="s">
        <v>72</v>
      </c>
      <c r="AC4" s="41"/>
      <c r="AD4" s="21"/>
      <c r="AF4" s="41" t="s">
        <v>72</v>
      </c>
      <c r="AG4" s="41"/>
      <c r="AH4" s="21"/>
    </row>
    <row r="5" spans="2:34" x14ac:dyDescent="0.25">
      <c r="C5" s="62"/>
      <c r="D5" s="63"/>
      <c r="E5" s="63"/>
      <c r="F5" s="63"/>
      <c r="G5" s="63"/>
      <c r="H5" s="63"/>
      <c r="I5" s="63"/>
      <c r="J5" s="64"/>
      <c r="K5" s="6">
        <v>5</v>
      </c>
      <c r="L5" s="6" t="s">
        <v>13</v>
      </c>
      <c r="M5" s="6">
        <f>(J11^2)/24</f>
        <v>10591.001157407407</v>
      </c>
      <c r="O5" s="1" t="s">
        <v>14</v>
      </c>
      <c r="T5" s="10"/>
      <c r="AB5" s="4" t="s">
        <v>88</v>
      </c>
      <c r="AC5" s="42">
        <f>D18/12</f>
        <v>32.986111111111107</v>
      </c>
      <c r="AD5" s="4" t="s">
        <v>73</v>
      </c>
      <c r="AF5" s="4" t="s">
        <v>88</v>
      </c>
      <c r="AG5" s="42">
        <f>D18/12</f>
        <v>32.986111111111107</v>
      </c>
      <c r="AH5" s="4" t="s">
        <v>73</v>
      </c>
    </row>
    <row r="6" spans="2:34" x14ac:dyDescent="0.25">
      <c r="C6" s="62"/>
      <c r="D6" s="5" t="s">
        <v>15</v>
      </c>
      <c r="E6" s="5" t="s">
        <v>16</v>
      </c>
      <c r="F6" s="5" t="s">
        <v>17</v>
      </c>
      <c r="G6" s="5" t="s">
        <v>15</v>
      </c>
      <c r="H6" s="5" t="s">
        <v>16</v>
      </c>
      <c r="I6" s="5" t="s">
        <v>17</v>
      </c>
      <c r="J6" s="64"/>
      <c r="K6" s="6">
        <v>6</v>
      </c>
      <c r="L6" s="6" t="s">
        <v>18</v>
      </c>
      <c r="M6" s="11">
        <f>SUMSQ(D7:I10)-M5</f>
        <v>4530.5266203703704</v>
      </c>
      <c r="N6" s="2"/>
      <c r="O6" s="12" t="s">
        <v>19</v>
      </c>
      <c r="P6" s="2">
        <v>3</v>
      </c>
      <c r="Q6" s="1">
        <f>M10</f>
        <v>152.63310185185037</v>
      </c>
      <c r="R6" s="1">
        <f>Q6/P6</f>
        <v>50.877700617283459</v>
      </c>
      <c r="T6" s="10"/>
      <c r="AB6" s="4" t="s">
        <v>89</v>
      </c>
      <c r="AC6" s="43">
        <f>E18/12</f>
        <v>9.0277777777777768</v>
      </c>
      <c r="AD6" s="7" t="s">
        <v>74</v>
      </c>
      <c r="AF6" s="4" t="s">
        <v>89</v>
      </c>
      <c r="AG6" s="43">
        <f>E18/12</f>
        <v>9.0277777777777768</v>
      </c>
      <c r="AH6" s="7" t="s">
        <v>74</v>
      </c>
    </row>
    <row r="7" spans="2:34" x14ac:dyDescent="0.25">
      <c r="C7" s="5" t="s">
        <v>20</v>
      </c>
      <c r="D7" s="5">
        <f>((0*3)+(1*1)+(2*0)+(3*1)+(4*1))/(4*6)*100</f>
        <v>33.333333333333329</v>
      </c>
      <c r="E7" s="5">
        <f>((0*4)+(1*0)+(2*0)+(3*1)+(4*1))/(4*6)*100</f>
        <v>29.166666666666668</v>
      </c>
      <c r="F7" s="5">
        <f>((0*3)+(1*2)+(2*1)+(3*0)+(4*0))/(4*6)*100</f>
        <v>16.666666666666664</v>
      </c>
      <c r="G7" s="5">
        <f>((0*3)+(1*3)+(2*0)+(3*0)+(4*0))/(4*6)*100</f>
        <v>12.5</v>
      </c>
      <c r="H7" s="35">
        <f>((0*5)+(1*1)+(2*0)+(3*0)+(4*0))/(4*6)*100</f>
        <v>4.1666666666666661</v>
      </c>
      <c r="I7" s="35">
        <f>((0*5)+(1*1)+(2*0)+(3*0)+(4*0))/(4*6)*100</f>
        <v>4.1666666666666661</v>
      </c>
      <c r="J7" s="35">
        <f>SUM(D7:I7)</f>
        <v>100</v>
      </c>
      <c r="K7" s="34"/>
      <c r="L7" s="6" t="s">
        <v>21</v>
      </c>
      <c r="M7" s="6">
        <f>(SUMSQ(D14:E17)/3)-M5</f>
        <v>3639.3229166666661</v>
      </c>
      <c r="O7" s="12" t="s">
        <v>22</v>
      </c>
      <c r="P7" s="2">
        <v>1</v>
      </c>
      <c r="Q7" s="1">
        <f>M11</f>
        <v>3444.0104166666642</v>
      </c>
      <c r="R7" s="1">
        <f>Q7/P7</f>
        <v>3444.0104166666642</v>
      </c>
      <c r="S7" s="1">
        <f>R7/R8</f>
        <v>242.08474576269296</v>
      </c>
      <c r="T7" s="13" t="str">
        <f>IF(S7&lt;U7,"tn",IF(S7&lt;V7,"*","**"))</f>
        <v>**</v>
      </c>
      <c r="U7" s="1">
        <f>FINV(0.05,P7,P8)</f>
        <v>10.127964486013932</v>
      </c>
      <c r="V7" s="1">
        <f>FINV(0.01,P7,P8)</f>
        <v>34.116221564529795</v>
      </c>
      <c r="AB7" s="7" t="s">
        <v>75</v>
      </c>
      <c r="AC7" s="43">
        <f>Y8*Z8</f>
        <v>11.015538341858147</v>
      </c>
      <c r="AD7" s="7"/>
      <c r="AF7" s="7" t="s">
        <v>76</v>
      </c>
      <c r="AG7" s="43">
        <f>X8*Z8</f>
        <v>6.0009318616320177</v>
      </c>
      <c r="AH7" s="7"/>
    </row>
    <row r="8" spans="2:34" x14ac:dyDescent="0.25">
      <c r="C8" s="5" t="s">
        <v>23</v>
      </c>
      <c r="D8" s="5">
        <f>((0*3)+(1*0)+(2*0)+(3*1)+(4*2))/(4*6)*100</f>
        <v>45.833333333333329</v>
      </c>
      <c r="E8" s="5">
        <f>((0*4)+(1*0)+(2*0)+(3*1)+(4*1))/(4*6)*100</f>
        <v>29.166666666666668</v>
      </c>
      <c r="F8" s="5">
        <f>((0*3)+(1*0)+(2*2)+(3*1)+(4*0))/(4*6)*100</f>
        <v>29.166666666666668</v>
      </c>
      <c r="G8" s="5">
        <f t="shared" ref="G8:G9" si="0">((0*3)+(1*3)+(2*0)+(3*0)+(4*0))/(4*6)*100</f>
        <v>12.5</v>
      </c>
      <c r="H8" s="35">
        <f t="shared" ref="H8:H9" si="1">((0*3)+(1*3)+(2*0)+(3*0)+(4*0))/(4*6)*100</f>
        <v>12.5</v>
      </c>
      <c r="I8" s="35">
        <f t="shared" ref="I8:I10" si="2">((0*5)+(1*1)+(2*0)+(3*0)+(4*0))/(4*6)*100</f>
        <v>4.1666666666666661</v>
      </c>
      <c r="J8" s="35">
        <f t="shared" ref="J8:J10" si="3">SUM(D8:I8)</f>
        <v>133.33333333333334</v>
      </c>
      <c r="K8" s="34"/>
      <c r="L8" s="6" t="s">
        <v>24</v>
      </c>
      <c r="M8" s="6">
        <f>(SUMSQ(H14:J17)/2)-M5</f>
        <v>737.12384259259488</v>
      </c>
      <c r="O8" s="14" t="s">
        <v>25</v>
      </c>
      <c r="P8" s="8">
        <v>3</v>
      </c>
      <c r="Q8" s="7">
        <f>M13</f>
        <v>42.679398148151449</v>
      </c>
      <c r="R8" s="7">
        <f>Q8/P8</f>
        <v>14.226466049383816</v>
      </c>
      <c r="S8" s="7"/>
      <c r="T8" s="15"/>
      <c r="U8" s="7"/>
      <c r="V8" s="7"/>
      <c r="X8" s="1">
        <v>3.1819999999999999</v>
      </c>
      <c r="Y8" s="1">
        <v>5.8410000000000002</v>
      </c>
      <c r="Z8" s="1">
        <f>SQRT(R8/4)</f>
        <v>1.8858993908334438</v>
      </c>
      <c r="AC8" s="44"/>
      <c r="AG8" s="44"/>
    </row>
    <row r="9" spans="2:34" x14ac:dyDescent="0.25">
      <c r="C9" s="5" t="s">
        <v>26</v>
      </c>
      <c r="D9" s="5">
        <f t="shared" ref="D9:D10" si="4">((0*3)+(1*0)+(2*0)+(3*1)+(4*2))/(4*6)*100</f>
        <v>45.833333333333329</v>
      </c>
      <c r="E9" s="5">
        <f>((0*3)+(1*1)+(2*1)+(3*1)+(4*0))/(4*6)*100</f>
        <v>25</v>
      </c>
      <c r="F9" s="5">
        <f>((0*0)+(1*4)+(2*2)+(3*0)+(4*0))/(4*6)*100</f>
        <v>33.333333333333329</v>
      </c>
      <c r="G9" s="5">
        <f t="shared" si="0"/>
        <v>12.5</v>
      </c>
      <c r="H9" s="35">
        <f t="shared" si="1"/>
        <v>12.5</v>
      </c>
      <c r="I9" s="35">
        <f t="shared" si="2"/>
        <v>4.1666666666666661</v>
      </c>
      <c r="J9" s="35">
        <f t="shared" si="3"/>
        <v>133.33333333333331</v>
      </c>
      <c r="K9" s="34"/>
      <c r="L9" s="6" t="s">
        <v>27</v>
      </c>
      <c r="M9" s="6">
        <f>(SUMSQ(H21:I23)/4)-M5</f>
        <v>4161.6030092592573</v>
      </c>
      <c r="O9" s="1" t="s">
        <v>28</v>
      </c>
      <c r="P9" s="2"/>
      <c r="T9" s="13"/>
      <c r="AB9" s="4" t="s">
        <v>77</v>
      </c>
      <c r="AC9" s="42">
        <f>H18/8</f>
        <v>27.604166666666664</v>
      </c>
      <c r="AD9" s="4" t="s">
        <v>73</v>
      </c>
      <c r="AF9" s="4" t="s">
        <v>77</v>
      </c>
      <c r="AG9" s="42">
        <f>H18/8</f>
        <v>27.604166666666664</v>
      </c>
      <c r="AH9" s="4" t="s">
        <v>73</v>
      </c>
    </row>
    <row r="10" spans="2:34" x14ac:dyDescent="0.25">
      <c r="C10" s="5" t="s">
        <v>29</v>
      </c>
      <c r="D10" s="5">
        <f t="shared" si="4"/>
        <v>45.833333333333329</v>
      </c>
      <c r="E10" s="5">
        <f>((0*4)+(1*0)+(2*0)+(3*1)+(4*1))/(4*6)*100</f>
        <v>29.166666666666668</v>
      </c>
      <c r="F10" s="5">
        <f>((0*0)+(1*4)+(2*2)+(3*0)+(4*0))/(4*6)*100</f>
        <v>33.333333333333329</v>
      </c>
      <c r="G10" s="5">
        <f>((0*3)+(1*3)+(2*0)+(3*0)+(4*0))/(4*6)*100</f>
        <v>12.5</v>
      </c>
      <c r="H10" s="35">
        <f>((0*3)+(1*3)+(2*0)+(3*0)+(4*0))/(4*6)*100</f>
        <v>12.5</v>
      </c>
      <c r="I10" s="35">
        <f t="shared" si="2"/>
        <v>4.1666666666666661</v>
      </c>
      <c r="J10" s="35">
        <f t="shared" si="3"/>
        <v>137.49999999999997</v>
      </c>
      <c r="K10" s="34"/>
      <c r="L10" s="6" t="s">
        <v>30</v>
      </c>
      <c r="M10" s="6">
        <f>(SUMSQ(J7:J10)/6)-M5</f>
        <v>152.63310185185037</v>
      </c>
      <c r="O10" s="12" t="s">
        <v>31</v>
      </c>
      <c r="P10" s="2">
        <v>2</v>
      </c>
      <c r="Q10" s="1">
        <f>M12</f>
        <v>561.34259259259306</v>
      </c>
      <c r="R10" s="1">
        <f t="shared" ref="R10:R13" si="5">Q10/P10</f>
        <v>280.67129629629653</v>
      </c>
      <c r="S10" s="1">
        <f>R10/R11</f>
        <v>72.749999999989683</v>
      </c>
      <c r="T10" s="13" t="str">
        <f>IF(S10&lt;U10,"tn",IF(S10&lt;V10,"*","**"))</f>
        <v>**</v>
      </c>
      <c r="U10" s="1">
        <f>FINV(0.05,P10,P11)</f>
        <v>5.1432528497847176</v>
      </c>
      <c r="V10" s="1">
        <f>FINV(0.01,P10,P11)</f>
        <v>10.924766500838338</v>
      </c>
      <c r="AB10" s="1" t="s">
        <v>78</v>
      </c>
      <c r="AC10" s="44">
        <f>I18/8</f>
        <v>19.270833333333336</v>
      </c>
      <c r="AD10" s="1" t="s">
        <v>74</v>
      </c>
      <c r="AF10" s="1" t="s">
        <v>78</v>
      </c>
      <c r="AG10" s="44">
        <f>I18/8</f>
        <v>19.270833333333336</v>
      </c>
      <c r="AH10" s="1" t="s">
        <v>79</v>
      </c>
    </row>
    <row r="11" spans="2:34" x14ac:dyDescent="0.25">
      <c r="C11" s="6"/>
      <c r="D11" s="6"/>
      <c r="E11" s="6"/>
      <c r="F11" s="6"/>
      <c r="G11" s="6"/>
      <c r="H11" s="6"/>
      <c r="I11" s="6"/>
      <c r="J11" s="46">
        <f>SUM(J7:J10)</f>
        <v>504.16666666666663</v>
      </c>
      <c r="K11" s="6">
        <v>11</v>
      </c>
      <c r="L11" s="6" t="s">
        <v>32</v>
      </c>
      <c r="M11" s="6">
        <f>(SUMSQ(D18:E18)/12)-M5</f>
        <v>3444.0104166666642</v>
      </c>
      <c r="O11" s="12" t="s">
        <v>33</v>
      </c>
      <c r="P11" s="2">
        <v>6</v>
      </c>
      <c r="Q11" s="1">
        <f>M14</f>
        <v>23.148148148151449</v>
      </c>
      <c r="R11" s="1">
        <f t="shared" si="5"/>
        <v>3.8580246913585747</v>
      </c>
      <c r="T11" s="13"/>
      <c r="X11" s="1">
        <v>4.3029999999999999</v>
      </c>
      <c r="Y11" s="1">
        <v>9.9250000000000007</v>
      </c>
      <c r="Z11" s="1">
        <f>SQRT(R11/4)</f>
        <v>0.98209275164805265</v>
      </c>
      <c r="AB11" s="7" t="s">
        <v>80</v>
      </c>
      <c r="AC11" s="43">
        <f>J18/8</f>
        <v>16.145833333333332</v>
      </c>
      <c r="AD11" s="7" t="s">
        <v>74</v>
      </c>
      <c r="AF11" s="7" t="s">
        <v>80</v>
      </c>
      <c r="AG11" s="43">
        <f>J18/8</f>
        <v>16.145833333333332</v>
      </c>
      <c r="AH11" s="7" t="s">
        <v>74</v>
      </c>
    </row>
    <row r="12" spans="2:34" x14ac:dyDescent="0.25">
      <c r="C12" s="63" t="s">
        <v>34</v>
      </c>
      <c r="D12" s="63"/>
      <c r="E12" s="63"/>
      <c r="F12" s="6"/>
      <c r="G12" s="65" t="s">
        <v>35</v>
      </c>
      <c r="H12" s="66"/>
      <c r="I12" s="66"/>
      <c r="J12" s="67"/>
      <c r="K12" s="6">
        <v>12</v>
      </c>
      <c r="L12" s="6" t="s">
        <v>36</v>
      </c>
      <c r="M12" s="6">
        <f>(SUMSQ(J21:J23)/8)-M5</f>
        <v>561.34259259259306</v>
      </c>
      <c r="O12" s="12" t="s">
        <v>37</v>
      </c>
      <c r="P12" s="2">
        <v>2</v>
      </c>
      <c r="Q12" s="1">
        <f>M15</f>
        <v>156.25</v>
      </c>
      <c r="R12" s="1">
        <f t="shared" si="5"/>
        <v>78.125</v>
      </c>
      <c r="S12" s="1">
        <f>R12/R13</f>
        <v>5.1923076923077991</v>
      </c>
      <c r="T12" s="13" t="str">
        <f>IF(S12&lt;U12,"tn",IF(S12&lt;V12,"*","**"))</f>
        <v>*</v>
      </c>
      <c r="U12" s="1">
        <f>FINV(0.05,P12,P13)</f>
        <v>4.1028210151304032</v>
      </c>
      <c r="V12" s="1">
        <f>FINV(0.01,P12,P13)</f>
        <v>7.5594321575479011</v>
      </c>
      <c r="AB12" s="21" t="s">
        <v>81</v>
      </c>
      <c r="AC12" s="45">
        <f>Y11*Z11</f>
        <v>9.7472705601069229</v>
      </c>
      <c r="AD12" s="21"/>
      <c r="AF12" s="21" t="s">
        <v>82</v>
      </c>
      <c r="AG12" s="45">
        <f>X11*Z11</f>
        <v>4.2259451103415708</v>
      </c>
      <c r="AH12" s="21"/>
    </row>
    <row r="13" spans="2:34" x14ac:dyDescent="0.25">
      <c r="C13" s="16" t="s">
        <v>38</v>
      </c>
      <c r="D13" s="5" t="s">
        <v>39</v>
      </c>
      <c r="E13" s="17" t="s">
        <v>40</v>
      </c>
      <c r="F13" s="6"/>
      <c r="G13" s="5" t="s">
        <v>41</v>
      </c>
      <c r="H13" s="5" t="s">
        <v>42</v>
      </c>
      <c r="I13" s="5" t="s">
        <v>43</v>
      </c>
      <c r="J13" s="5" t="s">
        <v>44</v>
      </c>
      <c r="K13" s="6">
        <v>13</v>
      </c>
      <c r="L13" s="6" t="s">
        <v>45</v>
      </c>
      <c r="M13" s="6">
        <f>M7-M10-M11</f>
        <v>42.679398148151449</v>
      </c>
      <c r="O13" s="14" t="s">
        <v>46</v>
      </c>
      <c r="P13" s="8">
        <v>10</v>
      </c>
      <c r="Q13" s="18">
        <f>M16</f>
        <v>150.46296296295986</v>
      </c>
      <c r="R13" s="7">
        <f t="shared" si="5"/>
        <v>15.046296296295987</v>
      </c>
      <c r="S13" s="7"/>
      <c r="T13" s="19"/>
      <c r="U13" s="7"/>
      <c r="V13" s="7"/>
      <c r="X13" s="1">
        <v>2.2280000000000002</v>
      </c>
      <c r="Y13" s="1">
        <v>3.169</v>
      </c>
      <c r="Z13" s="1">
        <f>SQRT(R13/5)</f>
        <v>1.7347216662217595</v>
      </c>
    </row>
    <row r="14" spans="2:34" x14ac:dyDescent="0.25">
      <c r="C14" s="16" t="s">
        <v>20</v>
      </c>
      <c r="D14" s="5">
        <f>SUM(D7:F7)</f>
        <v>79.166666666666657</v>
      </c>
      <c r="E14" s="17">
        <f>SUM(G7:I7)</f>
        <v>20.833333333333329</v>
      </c>
      <c r="F14" s="6"/>
      <c r="G14" s="5" t="s">
        <v>20</v>
      </c>
      <c r="H14" s="5">
        <f>D7+G7</f>
        <v>45.833333333333329</v>
      </c>
      <c r="I14" s="5">
        <f>E7+H7</f>
        <v>33.333333333333336</v>
      </c>
      <c r="J14" s="5">
        <f>F7+I7</f>
        <v>20.833333333333329</v>
      </c>
      <c r="K14" s="6">
        <v>14</v>
      </c>
      <c r="L14" s="6" t="s">
        <v>47</v>
      </c>
      <c r="M14" s="6">
        <f>M8-M10-M12</f>
        <v>23.148148148151449</v>
      </c>
      <c r="O14" s="20" t="s">
        <v>6</v>
      </c>
      <c r="P14" s="21"/>
      <c r="Q14" s="21">
        <f>SUM(Q6:Q13)</f>
        <v>4530.5266203703704</v>
      </c>
      <c r="R14" s="21"/>
      <c r="S14" s="21"/>
      <c r="T14" s="21"/>
      <c r="U14" s="21"/>
      <c r="V14" s="21"/>
      <c r="AB14" s="3" t="s">
        <v>54</v>
      </c>
      <c r="AF14" s="3" t="s">
        <v>54</v>
      </c>
    </row>
    <row r="15" spans="2:34" x14ac:dyDescent="0.25">
      <c r="C15" s="16" t="s">
        <v>23</v>
      </c>
      <c r="D15" s="5">
        <f>SUM(D8:F8)</f>
        <v>104.16666666666667</v>
      </c>
      <c r="E15" s="17">
        <f t="shared" ref="E15:E17" si="6">SUM(G8:I8)</f>
        <v>29.166666666666664</v>
      </c>
      <c r="F15" s="6"/>
      <c r="G15" s="5" t="s">
        <v>23</v>
      </c>
      <c r="H15" s="5">
        <f t="shared" ref="H15:J17" si="7">D8+G8</f>
        <v>58.333333333333329</v>
      </c>
      <c r="I15" s="5">
        <f t="shared" si="7"/>
        <v>41.666666666666671</v>
      </c>
      <c r="J15" s="5">
        <f t="shared" si="7"/>
        <v>33.333333333333336</v>
      </c>
      <c r="K15" s="6">
        <v>15</v>
      </c>
      <c r="L15" s="6" t="s">
        <v>48</v>
      </c>
      <c r="M15" s="6">
        <f>M9-M11-M12</f>
        <v>156.25</v>
      </c>
      <c r="O15" s="12" t="s">
        <v>49</v>
      </c>
      <c r="Q15" s="1">
        <f>M5</f>
        <v>10591.001157407407</v>
      </c>
      <c r="AB15" s="21" t="s">
        <v>72</v>
      </c>
      <c r="AC15" s="21"/>
      <c r="AD15" s="21"/>
      <c r="AF15" s="21" t="s">
        <v>72</v>
      </c>
      <c r="AG15" s="21"/>
      <c r="AH15" s="21"/>
    </row>
    <row r="16" spans="2:34" x14ac:dyDescent="0.25">
      <c r="C16" s="16" t="s">
        <v>26</v>
      </c>
      <c r="D16" s="5">
        <f>SUM(D9:F9)</f>
        <v>104.16666666666666</v>
      </c>
      <c r="E16" s="17">
        <f t="shared" si="6"/>
        <v>29.166666666666664</v>
      </c>
      <c r="F16" s="6"/>
      <c r="G16" s="5" t="s">
        <v>26</v>
      </c>
      <c r="H16" s="5">
        <f t="shared" si="7"/>
        <v>58.333333333333329</v>
      </c>
      <c r="I16" s="5">
        <f t="shared" si="7"/>
        <v>37.5</v>
      </c>
      <c r="J16" s="5">
        <f t="shared" si="7"/>
        <v>37.499999999999993</v>
      </c>
      <c r="K16" s="6">
        <v>16</v>
      </c>
      <c r="L16" s="6" t="s">
        <v>50</v>
      </c>
      <c r="M16" s="11">
        <f>M6-M10-M11-M12-M13-M14-M15</f>
        <v>150.46296296295986</v>
      </c>
      <c r="O16" s="1" t="s">
        <v>51</v>
      </c>
      <c r="AB16" s="4" t="s">
        <v>83</v>
      </c>
      <c r="AC16" s="42">
        <f>H21/4</f>
        <v>42.708333333333329</v>
      </c>
      <c r="AD16" s="1" t="s">
        <v>86</v>
      </c>
      <c r="AF16" s="4" t="s">
        <v>83</v>
      </c>
      <c r="AG16" s="42">
        <f>H21/4</f>
        <v>42.708333333333329</v>
      </c>
      <c r="AH16" s="4" t="s">
        <v>73</v>
      </c>
    </row>
    <row r="17" spans="2:34" x14ac:dyDescent="0.25">
      <c r="C17" s="16" t="s">
        <v>29</v>
      </c>
      <c r="D17" s="5">
        <f>SUM(D10:F10)</f>
        <v>108.33333333333333</v>
      </c>
      <c r="E17" s="17">
        <f t="shared" si="6"/>
        <v>29.166666666666664</v>
      </c>
      <c r="F17" s="6"/>
      <c r="G17" s="5" t="s">
        <v>29</v>
      </c>
      <c r="H17" s="5">
        <f t="shared" si="7"/>
        <v>58.333333333333329</v>
      </c>
      <c r="I17" s="5">
        <f t="shared" si="7"/>
        <v>41.666666666666671</v>
      </c>
      <c r="J17" s="5">
        <f t="shared" si="7"/>
        <v>37.499999999999993</v>
      </c>
      <c r="K17" s="6"/>
      <c r="L17" s="6"/>
      <c r="M17" s="6"/>
      <c r="O17" s="1" t="s">
        <v>52</v>
      </c>
      <c r="AB17" s="1" t="s">
        <v>84</v>
      </c>
      <c r="AC17" s="44">
        <f>H22/4</f>
        <v>28.125000000000004</v>
      </c>
      <c r="AD17" s="1" t="s">
        <v>79</v>
      </c>
      <c r="AF17" s="1" t="s">
        <v>84</v>
      </c>
      <c r="AG17" s="44">
        <f>H22/4</f>
        <v>28.125000000000004</v>
      </c>
      <c r="AH17" s="1" t="s">
        <v>79</v>
      </c>
    </row>
    <row r="18" spans="2:34" ht="16.5" thickBot="1" x14ac:dyDescent="0.3">
      <c r="C18" s="22"/>
      <c r="D18" s="23">
        <f>SUM(D14:D17)</f>
        <v>395.83333333333331</v>
      </c>
      <c r="E18" s="24">
        <f>SUM(E14:E17)</f>
        <v>108.33333333333331</v>
      </c>
      <c r="F18" s="6"/>
      <c r="G18" s="6"/>
      <c r="H18" s="6">
        <f>SUM(H14:H17)</f>
        <v>220.83333333333331</v>
      </c>
      <c r="I18" s="6">
        <f t="shared" ref="I18:J18" si="8">SUM(I14:I17)</f>
        <v>154.16666666666669</v>
      </c>
      <c r="J18" s="6">
        <f t="shared" si="8"/>
        <v>129.16666666666666</v>
      </c>
      <c r="K18" s="6"/>
      <c r="L18" s="6"/>
      <c r="M18" s="6"/>
      <c r="O18" s="1" t="s">
        <v>53</v>
      </c>
      <c r="AB18" s="1" t="s">
        <v>85</v>
      </c>
      <c r="AC18" s="44">
        <f>H23/4</f>
        <v>28.124999999999996</v>
      </c>
      <c r="AD18" s="1" t="s">
        <v>79</v>
      </c>
      <c r="AF18" s="1" t="s">
        <v>85</v>
      </c>
      <c r="AG18" s="44">
        <f>H23/4</f>
        <v>28.124999999999996</v>
      </c>
      <c r="AH18" s="1" t="s">
        <v>74</v>
      </c>
    </row>
    <row r="19" spans="2:34" ht="16.5" thickBot="1" x14ac:dyDescent="0.3">
      <c r="C19" s="6"/>
      <c r="D19" s="6"/>
      <c r="E19" s="6"/>
      <c r="F19" s="6"/>
      <c r="G19" s="6"/>
      <c r="H19" s="25" t="s">
        <v>54</v>
      </c>
      <c r="I19" s="6"/>
      <c r="J19" s="6"/>
      <c r="K19" s="6"/>
      <c r="L19" s="6"/>
      <c r="M19" s="6"/>
      <c r="O19" s="1" t="s">
        <v>55</v>
      </c>
      <c r="AB19" s="1" t="s">
        <v>67</v>
      </c>
      <c r="AC19" s="44">
        <f>I21/4</f>
        <v>12.5</v>
      </c>
      <c r="AD19" s="1" t="s">
        <v>74</v>
      </c>
      <c r="AF19" s="1" t="s">
        <v>67</v>
      </c>
      <c r="AG19" s="44">
        <f>I21/4</f>
        <v>12.5</v>
      </c>
      <c r="AH19" s="1" t="s">
        <v>86</v>
      </c>
    </row>
    <row r="20" spans="2:34" x14ac:dyDescent="0.25">
      <c r="C20" s="6"/>
      <c r="D20" s="6"/>
      <c r="E20" s="6"/>
      <c r="F20" s="6"/>
      <c r="G20" s="26"/>
      <c r="H20" s="27" t="s">
        <v>4</v>
      </c>
      <c r="I20" s="27" t="s">
        <v>5</v>
      </c>
      <c r="J20" s="28"/>
      <c r="K20" s="6"/>
      <c r="L20" s="6"/>
      <c r="M20" s="6"/>
      <c r="O20" s="1" t="s">
        <v>56</v>
      </c>
      <c r="P20" s="1" t="s">
        <v>57</v>
      </c>
      <c r="AB20" s="1" t="s">
        <v>68</v>
      </c>
      <c r="AC20" s="44">
        <f>I22/4</f>
        <v>10.416666666666666</v>
      </c>
      <c r="AD20" s="1" t="s">
        <v>74</v>
      </c>
      <c r="AF20" s="1" t="s">
        <v>68</v>
      </c>
      <c r="AG20" s="44">
        <f>I22/4</f>
        <v>10.416666666666666</v>
      </c>
      <c r="AH20" s="1" t="s">
        <v>87</v>
      </c>
    </row>
    <row r="21" spans="2:34" x14ac:dyDescent="0.25">
      <c r="C21" s="6"/>
      <c r="D21" s="6"/>
      <c r="E21" s="6"/>
      <c r="F21" s="6"/>
      <c r="G21" s="16" t="s">
        <v>15</v>
      </c>
      <c r="H21" s="5">
        <f>SUM(D7:D10)</f>
        <v>170.83333333333331</v>
      </c>
      <c r="I21" s="5">
        <f>SUM(G7:G10)</f>
        <v>50</v>
      </c>
      <c r="J21" s="17">
        <f>SUM(H21:I21)</f>
        <v>220.83333333333331</v>
      </c>
      <c r="K21" s="6"/>
      <c r="L21" s="6"/>
      <c r="M21" s="6"/>
      <c r="O21" s="1" t="s">
        <v>58</v>
      </c>
      <c r="P21" s="1" t="s">
        <v>59</v>
      </c>
      <c r="AB21" s="1" t="s">
        <v>69</v>
      </c>
      <c r="AC21" s="44">
        <f>I23/4</f>
        <v>4.1666666666666661</v>
      </c>
      <c r="AD21" s="1" t="s">
        <v>73</v>
      </c>
      <c r="AF21" s="7" t="s">
        <v>69</v>
      </c>
      <c r="AG21" s="43">
        <f>I23/4</f>
        <v>4.1666666666666661</v>
      </c>
      <c r="AH21" s="7" t="s">
        <v>86</v>
      </c>
    </row>
    <row r="22" spans="2:34" x14ac:dyDescent="0.25">
      <c r="C22" s="6"/>
      <c r="D22" s="6"/>
      <c r="E22" s="6"/>
      <c r="F22" s="6"/>
      <c r="G22" s="16" t="s">
        <v>16</v>
      </c>
      <c r="H22" s="5">
        <f>SUM(E7:E10)</f>
        <v>112.50000000000001</v>
      </c>
      <c r="I22" s="5">
        <f>SUM(H7:H10)</f>
        <v>41.666666666666664</v>
      </c>
      <c r="J22" s="17">
        <f t="shared" ref="J22:J23" si="9">SUM(H22:I22)</f>
        <v>154.16666666666669</v>
      </c>
      <c r="K22" s="6"/>
      <c r="L22" s="6"/>
      <c r="M22" s="6"/>
      <c r="O22" s="1" t="s">
        <v>60</v>
      </c>
      <c r="P22" s="1" t="s">
        <v>61</v>
      </c>
      <c r="AB22" s="21" t="s">
        <v>81</v>
      </c>
      <c r="AC22" s="45">
        <f>Y13*Z13</f>
        <v>5.497332960256756</v>
      </c>
      <c r="AD22" s="21"/>
      <c r="AF22" s="21" t="s">
        <v>82</v>
      </c>
      <c r="AG22" s="45">
        <f>X13*Z13</f>
        <v>3.8649598723420806</v>
      </c>
      <c r="AH22" s="21"/>
    </row>
    <row r="23" spans="2:34" ht="16.5" thickBot="1" x14ac:dyDescent="0.3">
      <c r="C23" s="6"/>
      <c r="D23" s="6"/>
      <c r="E23" s="6"/>
      <c r="F23" s="6"/>
      <c r="G23" s="22" t="s">
        <v>17</v>
      </c>
      <c r="H23" s="23">
        <f>SUM(F7:F10)</f>
        <v>112.49999999999999</v>
      </c>
      <c r="I23" s="23">
        <f>SUM(I7:I10)</f>
        <v>16.666666666666664</v>
      </c>
      <c r="J23" s="24">
        <f t="shared" si="9"/>
        <v>129.16666666666666</v>
      </c>
      <c r="K23" s="6"/>
      <c r="L23" s="6"/>
      <c r="M23" s="6"/>
    </row>
    <row r="24" spans="2:34" x14ac:dyDescent="0.25">
      <c r="B24" s="60"/>
      <c r="C24" s="60"/>
      <c r="D24" s="60"/>
      <c r="E24" s="60"/>
      <c r="F24" s="60"/>
    </row>
    <row r="25" spans="2:34" x14ac:dyDescent="0.25">
      <c r="B25" s="60"/>
      <c r="C25" s="68" t="s">
        <v>66</v>
      </c>
      <c r="D25" s="68"/>
      <c r="E25" s="60"/>
      <c r="F25" s="60"/>
      <c r="G25" s="60"/>
      <c r="H25" s="60"/>
      <c r="I25" s="60"/>
    </row>
    <row r="26" spans="2:34" x14ac:dyDescent="0.25">
      <c r="B26" s="60"/>
      <c r="C26" s="68"/>
      <c r="D26" s="68"/>
      <c r="E26" s="60"/>
      <c r="F26" s="60"/>
      <c r="I26" s="60"/>
    </row>
    <row r="27" spans="2:34" x14ac:dyDescent="0.25">
      <c r="C27" s="38" t="s">
        <v>65</v>
      </c>
      <c r="D27" s="38">
        <f>(3*1)+(4*3)/(6*4)</f>
        <v>3.5</v>
      </c>
    </row>
    <row r="28" spans="2:34" x14ac:dyDescent="0.25">
      <c r="C28" s="38" t="s">
        <v>63</v>
      </c>
      <c r="D28" s="38">
        <f>(1*1)+(2*3)/(6*4)</f>
        <v>1.25</v>
      </c>
    </row>
    <row r="29" spans="2:34" x14ac:dyDescent="0.25">
      <c r="C29" s="38" t="s">
        <v>64</v>
      </c>
      <c r="D29" s="38">
        <f>(1*2)+(3*1)+(4*1)/(6*4)</f>
        <v>5.166666666666667</v>
      </c>
    </row>
    <row r="30" spans="2:34" x14ac:dyDescent="0.25">
      <c r="C30" s="38" t="s">
        <v>67</v>
      </c>
      <c r="D30" s="38">
        <f>(2*3)+(1*1)/(6*4)</f>
        <v>6.041666666666667</v>
      </c>
    </row>
    <row r="31" spans="2:34" x14ac:dyDescent="0.25">
      <c r="C31" s="38" t="s">
        <v>68</v>
      </c>
      <c r="D31" s="38">
        <f>(2*1)+(1*3)/(6*4)</f>
        <v>2.125</v>
      </c>
    </row>
    <row r="32" spans="2:34" x14ac:dyDescent="0.25">
      <c r="C32" s="38" t="s">
        <v>69</v>
      </c>
      <c r="D32" s="38">
        <f>(1*2)+(2*2)/(6*4)</f>
        <v>2.1666666666666665</v>
      </c>
    </row>
    <row r="42" spans="6:13" x14ac:dyDescent="0.25">
      <c r="F42" s="29"/>
      <c r="G42" s="30"/>
      <c r="H42" s="29"/>
      <c r="I42" s="29"/>
      <c r="J42" s="29"/>
      <c r="K42" s="29"/>
      <c r="L42" s="31"/>
      <c r="M42" s="6"/>
    </row>
    <row r="43" spans="6:13" x14ac:dyDescent="0.25">
      <c r="F43" s="29"/>
      <c r="G43" s="30"/>
      <c r="H43" s="6"/>
      <c r="I43" s="6"/>
      <c r="J43" s="6"/>
      <c r="K43" s="6"/>
      <c r="L43" s="6"/>
      <c r="M43" s="6"/>
    </row>
    <row r="44" spans="6:13" x14ac:dyDescent="0.25">
      <c r="F44" s="29"/>
      <c r="G44" s="6"/>
      <c r="H44" s="6"/>
      <c r="I44" s="6"/>
      <c r="J44" s="6"/>
      <c r="K44" s="6"/>
      <c r="L44" s="6"/>
    </row>
    <row r="45" spans="6:13" x14ac:dyDescent="0.25">
      <c r="F45" s="29"/>
      <c r="G45" s="6"/>
      <c r="H45" s="6"/>
      <c r="I45" s="6"/>
      <c r="J45" s="6"/>
      <c r="K45" s="6"/>
      <c r="L45" s="6"/>
    </row>
    <row r="46" spans="6:13" x14ac:dyDescent="0.25">
      <c r="F46" s="29"/>
      <c r="G46" s="6"/>
      <c r="H46" s="6"/>
      <c r="I46" s="6"/>
      <c r="J46" s="6"/>
      <c r="K46" s="6"/>
      <c r="L46" s="6"/>
    </row>
    <row r="47" spans="6:13" x14ac:dyDescent="0.25">
      <c r="F47" s="6"/>
      <c r="G47" s="2"/>
      <c r="H47" s="32"/>
      <c r="I47" s="32"/>
      <c r="J47" s="32"/>
      <c r="K47" s="32"/>
      <c r="L47" s="32"/>
    </row>
    <row r="48" spans="6:13" x14ac:dyDescent="0.25">
      <c r="F48" s="29"/>
      <c r="G48" s="6"/>
      <c r="H48" s="2"/>
      <c r="I48" s="2"/>
      <c r="J48" s="2"/>
      <c r="K48" s="2"/>
    </row>
    <row r="49" spans="6:11" x14ac:dyDescent="0.25">
      <c r="F49" s="29"/>
      <c r="G49" s="6"/>
      <c r="H49" s="2"/>
      <c r="I49" s="2"/>
      <c r="J49" s="2"/>
      <c r="K49" s="2"/>
    </row>
    <row r="50" spans="6:11" x14ac:dyDescent="0.25">
      <c r="F50" s="29"/>
      <c r="G50" s="6"/>
      <c r="H50" s="2"/>
      <c r="I50" s="2"/>
      <c r="J50" s="2"/>
      <c r="K50" s="2"/>
    </row>
    <row r="51" spans="6:11" x14ac:dyDescent="0.25">
      <c r="F51" s="2"/>
    </row>
    <row r="52" spans="6:11" x14ac:dyDescent="0.25">
      <c r="F52" s="33"/>
    </row>
  </sheetData>
  <mergeCells count="17">
    <mergeCell ref="D1:G1"/>
    <mergeCell ref="U3:V3"/>
    <mergeCell ref="C4:C6"/>
    <mergeCell ref="D4:F5"/>
    <mergeCell ref="G4:I5"/>
    <mergeCell ref="J4:J6"/>
    <mergeCell ref="C25:D26"/>
    <mergeCell ref="X3:Y3"/>
    <mergeCell ref="AB3:AC3"/>
    <mergeCell ref="C12:E12"/>
    <mergeCell ref="G12:J12"/>
    <mergeCell ref="B24:F24"/>
    <mergeCell ref="B25:B26"/>
    <mergeCell ref="E25:E26"/>
    <mergeCell ref="F25:F26"/>
    <mergeCell ref="G25:H25"/>
    <mergeCell ref="I25:I2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E56F2-005F-46C9-9F03-E5AC898C74C2}">
  <dimension ref="B2:N20"/>
  <sheetViews>
    <sheetView workbookViewId="0">
      <selection activeCell="M4" sqref="M4"/>
    </sheetView>
  </sheetViews>
  <sheetFormatPr defaultRowHeight="15" x14ac:dyDescent="0.25"/>
  <sheetData>
    <row r="2" spans="2:14" x14ac:dyDescent="0.25">
      <c r="B2" s="70" t="s">
        <v>92</v>
      </c>
      <c r="C2" s="70" t="s">
        <v>35</v>
      </c>
      <c r="D2" s="69" t="s">
        <v>93</v>
      </c>
      <c r="E2" s="69"/>
      <c r="F2" s="69"/>
      <c r="G2" s="69"/>
      <c r="H2" s="70" t="s">
        <v>6</v>
      </c>
    </row>
    <row r="3" spans="2:14" x14ac:dyDescent="0.25">
      <c r="B3" s="71"/>
      <c r="C3" s="71"/>
      <c r="D3" s="49" t="s">
        <v>20</v>
      </c>
      <c r="E3" s="49" t="s">
        <v>23</v>
      </c>
      <c r="F3" s="49" t="s">
        <v>26</v>
      </c>
      <c r="G3" s="49" t="s">
        <v>29</v>
      </c>
      <c r="H3" s="72"/>
    </row>
    <row r="4" spans="2:14" x14ac:dyDescent="0.25">
      <c r="B4" s="55" t="s">
        <v>4</v>
      </c>
      <c r="C4" s="55" t="s">
        <v>15</v>
      </c>
      <c r="D4" s="57">
        <f>((0*3)+(1*0)+(2*0)+(3*1)+(4*2))/(4*6)*100</f>
        <v>45.833333333333329</v>
      </c>
      <c r="E4" s="57">
        <f>((0*3)+(1*2)+(2*0)+(3*0)+(4*1))/(4*6)*100</f>
        <v>25</v>
      </c>
      <c r="F4" s="57">
        <f>((0*4)+(1*0)+(2*0)+(3*0)+(4*2))/(4*6)*100</f>
        <v>33.333333333333329</v>
      </c>
      <c r="G4" s="57">
        <f>((0*3)+(1*0)+(2*0)+(3*2)+(4*1))/(4*6)*100</f>
        <v>41.666666666666671</v>
      </c>
      <c r="H4" s="54">
        <f>SUM(D4:G4)</f>
        <v>145.83333333333331</v>
      </c>
    </row>
    <row r="5" spans="2:14" x14ac:dyDescent="0.25">
      <c r="B5" s="56"/>
      <c r="C5" s="55" t="s">
        <v>16</v>
      </c>
      <c r="D5" s="57">
        <f>((0*3)+(1*3)+(2*0)+(3*0)+(4*0))/(4*6)*100</f>
        <v>12.5</v>
      </c>
      <c r="E5" s="57">
        <f>((0*3)+(1*3)+(2*0)+(3*0)+(4*0))/(4*6)*100</f>
        <v>12.5</v>
      </c>
      <c r="F5" s="57">
        <f>((0*3)+(1*3)+(2*0)+(3*0)+(4*0))/(4*6)*100</f>
        <v>12.5</v>
      </c>
      <c r="G5" s="57">
        <f>((0*4)+(1*1)+(2*0)+(3*1)+(4*0))/(4*6)*100</f>
        <v>16.666666666666664</v>
      </c>
      <c r="H5" s="54">
        <f t="shared" ref="H5:H9" si="0">SUM(D5:G5)</f>
        <v>54.166666666666664</v>
      </c>
    </row>
    <row r="6" spans="2:14" x14ac:dyDescent="0.25">
      <c r="B6" s="56"/>
      <c r="C6" s="55" t="s">
        <v>17</v>
      </c>
      <c r="D6" s="57">
        <f>((0*3)+(1*0)+(2*3)+(3*0)+(4*0))/(4*6)*100</f>
        <v>25</v>
      </c>
      <c r="E6" s="57">
        <f>((0*0)+(1*4)+(2*2)+(3*0)+(4*0))/(4*6)*100</f>
        <v>33.333333333333329</v>
      </c>
      <c r="F6" s="57">
        <f>((0*0)+(1*4)+(2*2)+(3*0)+(4*0))/(4*6)*100</f>
        <v>33.333333333333329</v>
      </c>
      <c r="G6" s="57">
        <f>((0*2)+(1*3)+(2*0)+(3*0)+(4*1))/(4*6)*100</f>
        <v>29.166666666666668</v>
      </c>
      <c r="H6" s="54">
        <f t="shared" si="0"/>
        <v>120.83333333333333</v>
      </c>
    </row>
    <row r="7" spans="2:14" x14ac:dyDescent="0.25">
      <c r="B7" s="55" t="s">
        <v>5</v>
      </c>
      <c r="C7" s="55" t="s">
        <v>15</v>
      </c>
      <c r="D7" s="57">
        <f>((0*3)+(1*3)+(2*0)+(3*0)+(4*0))/(4*6)*100</f>
        <v>12.5</v>
      </c>
      <c r="E7" s="57">
        <f>((0*3)+(1*3)+(2*0)+(3*0)+(4*0))/(4*6)*100</f>
        <v>12.5</v>
      </c>
      <c r="F7" s="57">
        <f>((0*2)+(1*4)+(2*0)+(3*0)+(4*0))/(4*6)*100</f>
        <v>16.666666666666664</v>
      </c>
      <c r="G7" s="57">
        <f>((0*3)+(1*3)+(2*0)+(3*0)+(4*0))/(4*6)*100</f>
        <v>12.5</v>
      </c>
      <c r="H7" s="54">
        <f t="shared" si="0"/>
        <v>54.166666666666664</v>
      </c>
    </row>
    <row r="8" spans="2:14" x14ac:dyDescent="0.25">
      <c r="B8" s="56"/>
      <c r="C8" s="55" t="s">
        <v>16</v>
      </c>
      <c r="D8" s="58">
        <f>((0*5)+(1*1)+(2*0)+(3*0)+(4*0))/(4*6)*100</f>
        <v>4.1666666666666661</v>
      </c>
      <c r="E8" s="58">
        <f>((0*5)+(1*1)+(2*0)+(3*0)+(4*0))/(4*6)*100</f>
        <v>4.1666666666666661</v>
      </c>
      <c r="F8" s="58">
        <f>((0*4)+(1*2)+(2*0)+(3*0)+(4*0))/(4*6)*100</f>
        <v>8.3333333333333321</v>
      </c>
      <c r="G8" s="58">
        <f>((0*5)+(1*1)+(2*0)+(3*0)+(4*0))/(4*6)*100</f>
        <v>4.1666666666666661</v>
      </c>
      <c r="H8" s="54">
        <f t="shared" si="0"/>
        <v>20.833333333333329</v>
      </c>
    </row>
    <row r="9" spans="2:14" x14ac:dyDescent="0.25">
      <c r="B9" s="50"/>
      <c r="C9" s="50" t="s">
        <v>17</v>
      </c>
      <c r="D9" s="59">
        <f>((0*4)+(1*2)+(2*0)+(3*0)+(4*0))/(4*6)*100</f>
        <v>8.3333333333333321</v>
      </c>
      <c r="E9" s="59">
        <f>((0*4)+(1*2)+(2*0)+(3*0)+(4*0))/(4*6)*100</f>
        <v>8.3333333333333321</v>
      </c>
      <c r="F9" s="59">
        <f>((0*5)+(1*1)+(2*0)+(3*0)+(4*0))/(4*6)*100</f>
        <v>4.1666666666666661</v>
      </c>
      <c r="G9" s="59">
        <f>((0*5)+(1*1)+(2*0)+(3*0)+(4*0))/(4*6)*100</f>
        <v>4.1666666666666661</v>
      </c>
      <c r="H9" s="51">
        <f t="shared" si="0"/>
        <v>24.999999999999993</v>
      </c>
    </row>
    <row r="13" spans="2:14" x14ac:dyDescent="0.25">
      <c r="H13" s="70" t="s">
        <v>92</v>
      </c>
      <c r="I13" s="70" t="s">
        <v>35</v>
      </c>
      <c r="J13" s="69" t="s">
        <v>93</v>
      </c>
      <c r="K13" s="69"/>
      <c r="L13" s="69"/>
      <c r="M13" s="69"/>
      <c r="N13" s="70" t="s">
        <v>6</v>
      </c>
    </row>
    <row r="14" spans="2:14" x14ac:dyDescent="0.25">
      <c r="H14" s="71"/>
      <c r="I14" s="71"/>
      <c r="J14" s="49" t="s">
        <v>20</v>
      </c>
      <c r="K14" s="49" t="s">
        <v>23</v>
      </c>
      <c r="L14" s="49" t="s">
        <v>26</v>
      </c>
      <c r="M14" s="49" t="s">
        <v>29</v>
      </c>
      <c r="N14" s="71"/>
    </row>
    <row r="15" spans="2:14" x14ac:dyDescent="0.25">
      <c r="H15" s="55" t="s">
        <v>4</v>
      </c>
      <c r="I15" s="55" t="s">
        <v>15</v>
      </c>
      <c r="J15" s="57">
        <f>((0*3)+(1*1)+(2*0)+(3*1)+(4*1))/(4*6)*100</f>
        <v>33.333333333333329</v>
      </c>
      <c r="K15" s="57">
        <f>((0*3)+(1*0)+(2*0)+(3*1)+(4*2))/(4*6)*100</f>
        <v>45.833333333333329</v>
      </c>
      <c r="L15" s="57">
        <f>((0*3)+(1*0)+(2*0)+(3*1)+(4*2))/(4*6)*100</f>
        <v>45.833333333333329</v>
      </c>
      <c r="M15" s="57">
        <f>((0*3)+(1*0)+(2*0)+(3*1)+(4*2))/(4*6)*100</f>
        <v>45.833333333333329</v>
      </c>
      <c r="N15" s="54">
        <f>SUM(J15:M15)</f>
        <v>170.83333333333331</v>
      </c>
    </row>
    <row r="16" spans="2:14" x14ac:dyDescent="0.25">
      <c r="H16" s="56"/>
      <c r="I16" s="55" t="s">
        <v>16</v>
      </c>
      <c r="J16" s="57">
        <f>((0*4)+(1*0)+(2*0)+(3*1)+(4*1))/(4*6)*100</f>
        <v>29.166666666666668</v>
      </c>
      <c r="K16" s="57">
        <f>((0*4)+(1*0)+(2*0)+(3*1)+(4*1))/(4*6)*100</f>
        <v>29.166666666666668</v>
      </c>
      <c r="L16" s="57">
        <f>((0*3)+(1*1)+(2*1)+(3*1)+(4*0))/(4*6)*100</f>
        <v>25</v>
      </c>
      <c r="M16" s="57">
        <f>((0*4)+(1*0)+(2*0)+(3*1)+(4*1))/(4*6)*100</f>
        <v>29.166666666666668</v>
      </c>
      <c r="N16" s="54">
        <f t="shared" ref="N16:N20" si="1">SUM(J16:M16)</f>
        <v>112.50000000000001</v>
      </c>
    </row>
    <row r="17" spans="8:14" x14ac:dyDescent="0.25">
      <c r="H17" s="56"/>
      <c r="I17" s="55" t="s">
        <v>17</v>
      </c>
      <c r="J17" s="57">
        <f>((0*3)+(1*2)+(2*1)+(3*0)+(4*0))/(4*6)*100</f>
        <v>16.666666666666664</v>
      </c>
      <c r="K17" s="57">
        <f>((0*3)+(1*0)+(2*2)+(3*1)+(4*0))/(4*6)*100</f>
        <v>29.166666666666668</v>
      </c>
      <c r="L17" s="57">
        <f>((0*0)+(1*4)+(2*2)+(3*0)+(4*0))/(4*6)*100</f>
        <v>33.333333333333329</v>
      </c>
      <c r="M17" s="57">
        <f>((0*0)+(1*4)+(2*2)+(3*0)+(4*0))/(4*6)*100</f>
        <v>33.333333333333329</v>
      </c>
      <c r="N17" s="54">
        <f t="shared" si="1"/>
        <v>112.49999999999999</v>
      </c>
    </row>
    <row r="18" spans="8:14" x14ac:dyDescent="0.25">
      <c r="H18" s="55" t="s">
        <v>5</v>
      </c>
      <c r="I18" s="55" t="s">
        <v>15</v>
      </c>
      <c r="J18" s="57">
        <f>((0*3)+(1*3)+(2*0)+(3*0)+(4*0))/(4*6)*100</f>
        <v>12.5</v>
      </c>
      <c r="K18" s="57">
        <f>((0*3)+(1*3)+(2*0)+(3*0)+(4*0))/(4*6)*100</f>
        <v>12.5</v>
      </c>
      <c r="L18" s="57">
        <f>((0*3)+(1*3)+(2*0)+(3*0)+(4*0))/(4*6)*100</f>
        <v>12.5</v>
      </c>
      <c r="M18" s="57">
        <f>((0*3)+(1*3)+(2*0)+(3*0)+(4*0))/(4*6)*100</f>
        <v>12.5</v>
      </c>
      <c r="N18" s="54">
        <f t="shared" si="1"/>
        <v>50</v>
      </c>
    </row>
    <row r="19" spans="8:14" x14ac:dyDescent="0.25">
      <c r="H19" s="56"/>
      <c r="I19" s="55" t="s">
        <v>16</v>
      </c>
      <c r="J19" s="58">
        <f>((0*5)+(1*1)+(2*0)+(3*0)+(4*0))/(4*6)*100</f>
        <v>4.1666666666666661</v>
      </c>
      <c r="K19" s="58">
        <f>((0*3)+(1*3)+(2*0)+(3*0)+(4*0))/(4*6)*100</f>
        <v>12.5</v>
      </c>
      <c r="L19" s="58">
        <f>((0*3)+(1*3)+(2*0)+(3*0)+(4*0))/(4*6)*100</f>
        <v>12.5</v>
      </c>
      <c r="M19" s="58">
        <f>((0*3)+(1*3)+(2*0)+(3*0)+(4*0))/(4*6)*100</f>
        <v>12.5</v>
      </c>
      <c r="N19" s="54">
        <f t="shared" si="1"/>
        <v>41.666666666666664</v>
      </c>
    </row>
    <row r="20" spans="8:14" x14ac:dyDescent="0.25">
      <c r="H20" s="50"/>
      <c r="I20" s="50" t="s">
        <v>17</v>
      </c>
      <c r="J20" s="59">
        <f>((0*5)+(1*1)+(2*0)+(3*0)+(4*0))/(4*6)*100</f>
        <v>4.1666666666666661</v>
      </c>
      <c r="K20" s="59">
        <f>((0*5)+(1*1)+(2*0)+(3*0)+(4*0))/(4*6)*100</f>
        <v>4.1666666666666661</v>
      </c>
      <c r="L20" s="59">
        <f>((0*5)+(1*1)+(2*0)+(3*0)+(4*0))/(4*6)*100</f>
        <v>4.1666666666666661</v>
      </c>
      <c r="M20" s="59">
        <f>((0*5)+(1*1)+(2*0)+(3*0)+(4*0))/(4*6)*100</f>
        <v>4.1666666666666661</v>
      </c>
      <c r="N20" s="51">
        <f t="shared" si="1"/>
        <v>16.666666666666664</v>
      </c>
    </row>
  </sheetData>
  <mergeCells count="8">
    <mergeCell ref="J13:M13"/>
    <mergeCell ref="N13:N14"/>
    <mergeCell ref="B2:B3"/>
    <mergeCell ref="C2:C3"/>
    <mergeCell ref="D2:G2"/>
    <mergeCell ref="H2:H3"/>
    <mergeCell ref="H13:H14"/>
    <mergeCell ref="I13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ISS 14 HST</vt:lpstr>
      <vt:lpstr>ISS 14-28 HST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10</dc:creator>
  <cp:lastModifiedBy>win 10</cp:lastModifiedBy>
  <dcterms:created xsi:type="dcterms:W3CDTF">2023-01-11T18:02:27Z</dcterms:created>
  <dcterms:modified xsi:type="dcterms:W3CDTF">2023-03-13T09:40:40Z</dcterms:modified>
</cp:coreProperties>
</file>