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3"/>
  </bookViews>
  <sheets>
    <sheet name="14 hst" sheetId="2" r:id="rId1"/>
    <sheet name="21 hst" sheetId="3" r:id="rId2"/>
    <sheet name="28 hst" sheetId="4" r:id="rId3"/>
    <sheet name="35 hst" sheetId="5" r:id="rId4"/>
  </sheets>
  <calcPr calcId="125725"/>
</workbook>
</file>

<file path=xl/calcChain.xml><?xml version="1.0" encoding="utf-8"?>
<calcChain xmlns="http://schemas.openxmlformats.org/spreadsheetml/2006/main">
  <c r="P26" i="5"/>
  <c r="P27"/>
  <c r="T42" s="1"/>
  <c r="P28"/>
  <c r="P29"/>
  <c r="T44" s="1"/>
  <c r="M31"/>
  <c r="N31"/>
  <c r="I29" i="4"/>
  <c r="F29"/>
  <c r="G29"/>
  <c r="E29"/>
  <c r="I28"/>
  <c r="I20"/>
  <c r="I21"/>
  <c r="I22"/>
  <c r="I23"/>
  <c r="I24"/>
  <c r="I25"/>
  <c r="I26"/>
  <c r="I27"/>
  <c r="U25" i="3"/>
  <c r="K30"/>
  <c r="K21"/>
  <c r="K22"/>
  <c r="K23"/>
  <c r="K24"/>
  <c r="K25"/>
  <c r="K26"/>
  <c r="K27"/>
  <c r="K28"/>
  <c r="K29"/>
  <c r="H29"/>
  <c r="I29"/>
  <c r="J29"/>
  <c r="H30"/>
  <c r="I30"/>
  <c r="G30"/>
  <c r="J57" i="2"/>
  <c r="G56"/>
  <c r="H56"/>
  <c r="I56"/>
  <c r="J56"/>
  <c r="G57"/>
  <c r="H57"/>
  <c r="F57"/>
  <c r="AC40"/>
  <c r="AC39"/>
  <c r="AC38"/>
  <c r="AC34"/>
  <c r="AC33"/>
  <c r="AC32"/>
  <c r="T43" i="5"/>
  <c r="Q44"/>
  <c r="AD47"/>
  <c r="AD46"/>
  <c r="AB47"/>
  <c r="Z47"/>
  <c r="AD39"/>
  <c r="AB40"/>
  <c r="Z39"/>
  <c r="X28" i="4"/>
  <c r="X25"/>
  <c r="X26"/>
  <c r="X27"/>
  <c r="X24"/>
  <c r="W24"/>
  <c r="W25"/>
  <c r="W26"/>
  <c r="W27"/>
  <c r="W28"/>
  <c r="U25"/>
  <c r="U26"/>
  <c r="U27"/>
  <c r="U28"/>
  <c r="U24"/>
  <c r="G27"/>
  <c r="G26"/>
  <c r="G25"/>
  <c r="G24"/>
  <c r="G23"/>
  <c r="G22"/>
  <c r="G21"/>
  <c r="G20"/>
  <c r="G19"/>
  <c r="F27"/>
  <c r="F26"/>
  <c r="F25"/>
  <c r="F24"/>
  <c r="F28" s="1"/>
  <c r="F23"/>
  <c r="F22"/>
  <c r="F21"/>
  <c r="F20"/>
  <c r="F19"/>
  <c r="E27"/>
  <c r="E26"/>
  <c r="H26" s="1"/>
  <c r="E25"/>
  <c r="H25" s="1"/>
  <c r="M21" s="1"/>
  <c r="E24"/>
  <c r="E23"/>
  <c r="E22"/>
  <c r="E21"/>
  <c r="E20"/>
  <c r="E19"/>
  <c r="H27"/>
  <c r="H23"/>
  <c r="H22"/>
  <c r="H20"/>
  <c r="G28"/>
  <c r="M13"/>
  <c r="L13"/>
  <c r="K13"/>
  <c r="J13"/>
  <c r="M12"/>
  <c r="L12"/>
  <c r="K12"/>
  <c r="J12"/>
  <c r="M11"/>
  <c r="L11"/>
  <c r="K11"/>
  <c r="J11"/>
  <c r="M10"/>
  <c r="L10"/>
  <c r="K10"/>
  <c r="J10"/>
  <c r="M9"/>
  <c r="L9"/>
  <c r="K9"/>
  <c r="J9"/>
  <c r="M8"/>
  <c r="L8"/>
  <c r="K8"/>
  <c r="J8"/>
  <c r="M7"/>
  <c r="L7"/>
  <c r="K7"/>
  <c r="J7"/>
  <c r="M5"/>
  <c r="L5"/>
  <c r="K5"/>
  <c r="J5"/>
  <c r="M6"/>
  <c r="L6"/>
  <c r="K6"/>
  <c r="J6"/>
  <c r="Z26" i="3"/>
  <c r="Z27"/>
  <c r="Z28"/>
  <c r="Z29"/>
  <c r="Z25"/>
  <c r="Y25"/>
  <c r="Y26"/>
  <c r="Y27"/>
  <c r="Y28"/>
  <c r="Y29"/>
  <c r="I27"/>
  <c r="I28"/>
  <c r="J27"/>
  <c r="I26"/>
  <c r="I25"/>
  <c r="I24"/>
  <c r="I23"/>
  <c r="I22"/>
  <c r="J22" s="1"/>
  <c r="I21"/>
  <c r="J21" s="1"/>
  <c r="I20"/>
  <c r="H28"/>
  <c r="H27"/>
  <c r="H26"/>
  <c r="J26" s="1"/>
  <c r="H25"/>
  <c r="H24"/>
  <c r="H23"/>
  <c r="H22"/>
  <c r="H21"/>
  <c r="H20"/>
  <c r="G28"/>
  <c r="G27"/>
  <c r="G26"/>
  <c r="G25"/>
  <c r="G24"/>
  <c r="G23"/>
  <c r="G22"/>
  <c r="G21"/>
  <c r="G20"/>
  <c r="J28"/>
  <c r="J25"/>
  <c r="J24"/>
  <c r="N29" i="5"/>
  <c r="N28"/>
  <c r="N27"/>
  <c r="N26"/>
  <c r="N25"/>
  <c r="N24"/>
  <c r="N23"/>
  <c r="N22"/>
  <c r="N21"/>
  <c r="N30" s="1"/>
  <c r="M29"/>
  <c r="M28"/>
  <c r="M27"/>
  <c r="M26"/>
  <c r="M25"/>
  <c r="M24"/>
  <c r="O24" s="1"/>
  <c r="P24" s="1"/>
  <c r="M23"/>
  <c r="M22"/>
  <c r="M21"/>
  <c r="L29"/>
  <c r="L28"/>
  <c r="L27"/>
  <c r="L26"/>
  <c r="L25"/>
  <c r="L24"/>
  <c r="L23"/>
  <c r="L22"/>
  <c r="L21"/>
  <c r="L31" s="1"/>
  <c r="O29"/>
  <c r="O27"/>
  <c r="T23" s="1"/>
  <c r="O26"/>
  <c r="O25"/>
  <c r="P25" s="1"/>
  <c r="O23"/>
  <c r="P23" s="1"/>
  <c r="E30"/>
  <c r="F30"/>
  <c r="D30"/>
  <c r="H22"/>
  <c r="H23"/>
  <c r="Z40" s="1"/>
  <c r="H24"/>
  <c r="H25"/>
  <c r="H26"/>
  <c r="H27"/>
  <c r="H28"/>
  <c r="H29"/>
  <c r="G29"/>
  <c r="G22"/>
  <c r="G23"/>
  <c r="G30" s="1"/>
  <c r="G24"/>
  <c r="G25"/>
  <c r="G26"/>
  <c r="G27"/>
  <c r="G28"/>
  <c r="G21"/>
  <c r="H21" s="1"/>
  <c r="Z38" s="1"/>
  <c r="F29"/>
  <c r="F28"/>
  <c r="F27"/>
  <c r="F26"/>
  <c r="F25"/>
  <c r="F24"/>
  <c r="F23"/>
  <c r="F22"/>
  <c r="F21"/>
  <c r="E29"/>
  <c r="E28"/>
  <c r="E27"/>
  <c r="E26"/>
  <c r="E25"/>
  <c r="E24"/>
  <c r="E23"/>
  <c r="E22"/>
  <c r="E21"/>
  <c r="D29"/>
  <c r="D28"/>
  <c r="D27"/>
  <c r="D26"/>
  <c r="Y53" i="2"/>
  <c r="Y54"/>
  <c r="Y55"/>
  <c r="Y56"/>
  <c r="Y52"/>
  <c r="X52"/>
  <c r="X53"/>
  <c r="X54"/>
  <c r="X55"/>
  <c r="X56"/>
  <c r="W42"/>
  <c r="X42" s="1"/>
  <c r="H55" s="1"/>
  <c r="W41"/>
  <c r="W40"/>
  <c r="W39"/>
  <c r="W38"/>
  <c r="X38" s="1"/>
  <c r="H51" s="1"/>
  <c r="W37"/>
  <c r="W36"/>
  <c r="X36" s="1"/>
  <c r="H49" s="1"/>
  <c r="W35"/>
  <c r="W34"/>
  <c r="V42"/>
  <c r="V41"/>
  <c r="V40"/>
  <c r="V39"/>
  <c r="V38"/>
  <c r="V37"/>
  <c r="V36"/>
  <c r="V35"/>
  <c r="X35" s="1"/>
  <c r="H48" s="1"/>
  <c r="V34"/>
  <c r="U42"/>
  <c r="U41"/>
  <c r="U40"/>
  <c r="U39"/>
  <c r="U38"/>
  <c r="U37"/>
  <c r="U36"/>
  <c r="U35"/>
  <c r="U34"/>
  <c r="X34" s="1"/>
  <c r="H47" s="1"/>
  <c r="T42"/>
  <c r="T41"/>
  <c r="T40"/>
  <c r="T39"/>
  <c r="T38"/>
  <c r="T37"/>
  <c r="T36"/>
  <c r="T35"/>
  <c r="T34"/>
  <c r="P42"/>
  <c r="P41"/>
  <c r="P40"/>
  <c r="P39"/>
  <c r="P38"/>
  <c r="P37"/>
  <c r="P36"/>
  <c r="P35"/>
  <c r="P34"/>
  <c r="O42"/>
  <c r="O41"/>
  <c r="O40"/>
  <c r="O39"/>
  <c r="O38"/>
  <c r="O37"/>
  <c r="O36"/>
  <c r="O35"/>
  <c r="O34"/>
  <c r="N42"/>
  <c r="N41"/>
  <c r="N40"/>
  <c r="N39"/>
  <c r="N38"/>
  <c r="Q38" s="1"/>
  <c r="G51" s="1"/>
  <c r="N37"/>
  <c r="N36"/>
  <c r="N35"/>
  <c r="N34"/>
  <c r="M42"/>
  <c r="M41"/>
  <c r="M40"/>
  <c r="M39"/>
  <c r="M38"/>
  <c r="M37"/>
  <c r="M36"/>
  <c r="Q36" s="1"/>
  <c r="G49" s="1"/>
  <c r="M35"/>
  <c r="M34"/>
  <c r="I42"/>
  <c r="I41"/>
  <c r="I40"/>
  <c r="I39"/>
  <c r="I38"/>
  <c r="I37"/>
  <c r="I36"/>
  <c r="I35"/>
  <c r="I34"/>
  <c r="H42"/>
  <c r="H41"/>
  <c r="H40"/>
  <c r="H39"/>
  <c r="H38"/>
  <c r="H37"/>
  <c r="H36"/>
  <c r="H35"/>
  <c r="H34"/>
  <c r="G42"/>
  <c r="J42" s="1"/>
  <c r="F55" s="1"/>
  <c r="G41"/>
  <c r="G40"/>
  <c r="G39"/>
  <c r="G38"/>
  <c r="G37"/>
  <c r="G36"/>
  <c r="G35"/>
  <c r="G34"/>
  <c r="J34" s="1"/>
  <c r="F47" s="1"/>
  <c r="F42"/>
  <c r="F41"/>
  <c r="F40"/>
  <c r="F39"/>
  <c r="F38"/>
  <c r="F37"/>
  <c r="F36"/>
  <c r="J36" s="1"/>
  <c r="F49" s="1"/>
  <c r="F35"/>
  <c r="F34"/>
  <c r="X40"/>
  <c r="H53" s="1"/>
  <c r="Q40"/>
  <c r="G53" s="1"/>
  <c r="J40"/>
  <c r="F53" s="1"/>
  <c r="X39"/>
  <c r="H52" s="1"/>
  <c r="Q39"/>
  <c r="G52" s="1"/>
  <c r="J39"/>
  <c r="F52" s="1"/>
  <c r="X37"/>
  <c r="H50" s="1"/>
  <c r="Q37"/>
  <c r="G50" s="1"/>
  <c r="S25"/>
  <c r="Q43" i="5" l="1"/>
  <c r="AB46"/>
  <c r="Z46"/>
  <c r="AB38"/>
  <c r="Q42"/>
  <c r="N44"/>
  <c r="AD45"/>
  <c r="AD38"/>
  <c r="AB39"/>
  <c r="AD40"/>
  <c r="H21" i="4"/>
  <c r="H24"/>
  <c r="K22"/>
  <c r="M22"/>
  <c r="K23"/>
  <c r="M23"/>
  <c r="L21"/>
  <c r="L23"/>
  <c r="H19"/>
  <c r="L22"/>
  <c r="E28"/>
  <c r="J23" i="3"/>
  <c r="N23"/>
  <c r="O22"/>
  <c r="M23"/>
  <c r="N22"/>
  <c r="N24"/>
  <c r="O24"/>
  <c r="O23"/>
  <c r="J20"/>
  <c r="G29"/>
  <c r="M24"/>
  <c r="M30" i="5"/>
  <c r="O28"/>
  <c r="R25"/>
  <c r="S23"/>
  <c r="S25"/>
  <c r="T25"/>
  <c r="O22"/>
  <c r="P22" s="1"/>
  <c r="O21"/>
  <c r="S24"/>
  <c r="L30"/>
  <c r="X41" i="2"/>
  <c r="H54" s="1"/>
  <c r="Q42"/>
  <c r="G55" s="1"/>
  <c r="I55" s="1"/>
  <c r="Q35"/>
  <c r="G48" s="1"/>
  <c r="Q41"/>
  <c r="G54" s="1"/>
  <c r="Q34"/>
  <c r="G47" s="1"/>
  <c r="I52"/>
  <c r="M51" s="1"/>
  <c r="J37"/>
  <c r="F50" s="1"/>
  <c r="I50" s="1"/>
  <c r="J50" s="1"/>
  <c r="J41"/>
  <c r="F54" s="1"/>
  <c r="I54" s="1"/>
  <c r="J54" s="1"/>
  <c r="J38"/>
  <c r="F51" s="1"/>
  <c r="J35"/>
  <c r="F48" s="1"/>
  <c r="I48" s="1"/>
  <c r="L50" s="1"/>
  <c r="M49"/>
  <c r="I51"/>
  <c r="I49"/>
  <c r="I53"/>
  <c r="T13" i="4"/>
  <c r="S13"/>
  <c r="R13"/>
  <c r="U13" s="1"/>
  <c r="Q13"/>
  <c r="T12"/>
  <c r="S12"/>
  <c r="R12"/>
  <c r="Q12"/>
  <c r="T11"/>
  <c r="S11"/>
  <c r="R11"/>
  <c r="U11" s="1"/>
  <c r="Q11"/>
  <c r="T10"/>
  <c r="S10"/>
  <c r="R10"/>
  <c r="Q10"/>
  <c r="T9"/>
  <c r="S9"/>
  <c r="R9"/>
  <c r="Q9"/>
  <c r="T8"/>
  <c r="S8"/>
  <c r="U8" s="1"/>
  <c r="R8"/>
  <c r="Q8"/>
  <c r="S7"/>
  <c r="R7"/>
  <c r="Q7"/>
  <c r="T6"/>
  <c r="S6"/>
  <c r="R6"/>
  <c r="Q6"/>
  <c r="T5"/>
  <c r="U5" s="1"/>
  <c r="S5"/>
  <c r="R5"/>
  <c r="Q5"/>
  <c r="F13"/>
  <c r="E13"/>
  <c r="D13"/>
  <c r="C13"/>
  <c r="F12"/>
  <c r="E12"/>
  <c r="D12"/>
  <c r="C12"/>
  <c r="F11"/>
  <c r="E11"/>
  <c r="D11"/>
  <c r="C11"/>
  <c r="F10"/>
  <c r="E10"/>
  <c r="D10"/>
  <c r="C10"/>
  <c r="F9"/>
  <c r="G9" s="1"/>
  <c r="E9"/>
  <c r="D9"/>
  <c r="C9"/>
  <c r="F8"/>
  <c r="E8"/>
  <c r="D8"/>
  <c r="C8"/>
  <c r="F7"/>
  <c r="E7"/>
  <c r="D7"/>
  <c r="C7"/>
  <c r="F6"/>
  <c r="E6"/>
  <c r="D6"/>
  <c r="G6" s="1"/>
  <c r="C6"/>
  <c r="F5"/>
  <c r="E5"/>
  <c r="D5"/>
  <c r="C5"/>
  <c r="N13"/>
  <c r="N12"/>
  <c r="N11"/>
  <c r="N10"/>
  <c r="G10"/>
  <c r="N9"/>
  <c r="N8"/>
  <c r="G8"/>
  <c r="U7"/>
  <c r="N7"/>
  <c r="U6"/>
  <c r="N6"/>
  <c r="N5"/>
  <c r="G5"/>
  <c r="O7" i="3"/>
  <c r="V15"/>
  <c r="O15"/>
  <c r="H15"/>
  <c r="V14"/>
  <c r="O14"/>
  <c r="H14"/>
  <c r="V13"/>
  <c r="O13"/>
  <c r="H13"/>
  <c r="V12"/>
  <c r="O12"/>
  <c r="H12"/>
  <c r="V11"/>
  <c r="O11"/>
  <c r="H11"/>
  <c r="V10"/>
  <c r="O10"/>
  <c r="H10"/>
  <c r="V9"/>
  <c r="O9"/>
  <c r="H9"/>
  <c r="V8"/>
  <c r="O8"/>
  <c r="H8"/>
  <c r="V7"/>
  <c r="H7"/>
  <c r="G13" i="5"/>
  <c r="G14"/>
  <c r="G7"/>
  <c r="G8"/>
  <c r="G9"/>
  <c r="G10"/>
  <c r="G11"/>
  <c r="G12"/>
  <c r="G6"/>
  <c r="U14"/>
  <c r="N14"/>
  <c r="U13"/>
  <c r="N13"/>
  <c r="U12"/>
  <c r="N12"/>
  <c r="U11"/>
  <c r="N11"/>
  <c r="U10"/>
  <c r="N10"/>
  <c r="U9"/>
  <c r="N9"/>
  <c r="U8"/>
  <c r="N8"/>
  <c r="U7"/>
  <c r="N7"/>
  <c r="U6"/>
  <c r="N6"/>
  <c r="AB45" l="1"/>
  <c r="N43"/>
  <c r="M24" i="4"/>
  <c r="M25" s="1"/>
  <c r="N22"/>
  <c r="O22" s="1"/>
  <c r="H28"/>
  <c r="S21" s="1"/>
  <c r="S30" s="1"/>
  <c r="K21"/>
  <c r="I19"/>
  <c r="L24"/>
  <c r="L25" s="1"/>
  <c r="N23"/>
  <c r="O23" s="1"/>
  <c r="N25" i="3"/>
  <c r="N26" s="1"/>
  <c r="O25"/>
  <c r="O26" s="1"/>
  <c r="P24"/>
  <c r="Q24" s="1"/>
  <c r="P23"/>
  <c r="Q23" s="1"/>
  <c r="K20"/>
  <c r="M22"/>
  <c r="U22"/>
  <c r="U31" s="1"/>
  <c r="T24" i="5"/>
  <c r="T26"/>
  <c r="T27" s="1"/>
  <c r="S26"/>
  <c r="S27" s="1"/>
  <c r="O30"/>
  <c r="R24"/>
  <c r="U24" s="1"/>
  <c r="V24" s="1"/>
  <c r="R23"/>
  <c r="P21"/>
  <c r="U25"/>
  <c r="V25" s="1"/>
  <c r="J52" i="2"/>
  <c r="I47"/>
  <c r="L49" s="1"/>
  <c r="F56"/>
  <c r="N50"/>
  <c r="J48"/>
  <c r="L51"/>
  <c r="J49"/>
  <c r="N49"/>
  <c r="J53"/>
  <c r="J55"/>
  <c r="N51"/>
  <c r="J51"/>
  <c r="M50"/>
  <c r="M52" s="1"/>
  <c r="M53" s="1"/>
  <c r="J47"/>
  <c r="U12" i="4"/>
  <c r="U10"/>
  <c r="U9"/>
  <c r="G13"/>
  <c r="G12"/>
  <c r="G11"/>
  <c r="G7"/>
  <c r="F27" i="2"/>
  <c r="F25"/>
  <c r="F23"/>
  <c r="F21"/>
  <c r="F19"/>
  <c r="E26"/>
  <c r="E24"/>
  <c r="E22"/>
  <c r="E20"/>
  <c r="D19"/>
  <c r="V13"/>
  <c r="V12"/>
  <c r="F26" s="1"/>
  <c r="V11"/>
  <c r="V10"/>
  <c r="F24" s="1"/>
  <c r="V9"/>
  <c r="V8"/>
  <c r="F22" s="1"/>
  <c r="V7"/>
  <c r="V6"/>
  <c r="F20" s="1"/>
  <c r="V5"/>
  <c r="O13"/>
  <c r="E27" s="1"/>
  <c r="O12"/>
  <c r="O11"/>
  <c r="E25" s="1"/>
  <c r="O10"/>
  <c r="O9"/>
  <c r="E23" s="1"/>
  <c r="O8"/>
  <c r="O7"/>
  <c r="E21" s="1"/>
  <c r="O6"/>
  <c r="O5"/>
  <c r="E19" s="1"/>
  <c r="H6"/>
  <c r="D20" s="1"/>
  <c r="H7"/>
  <c r="D21" s="1"/>
  <c r="G21" s="1"/>
  <c r="H8"/>
  <c r="D22" s="1"/>
  <c r="H9"/>
  <c r="D23" s="1"/>
  <c r="G23" s="1"/>
  <c r="H10"/>
  <c r="D24" s="1"/>
  <c r="H11"/>
  <c r="D25" s="1"/>
  <c r="G25" s="1"/>
  <c r="H25" s="1"/>
  <c r="M21" s="1"/>
  <c r="H12"/>
  <c r="D26" s="1"/>
  <c r="H13"/>
  <c r="D27" s="1"/>
  <c r="G27" s="1"/>
  <c r="H27" s="1"/>
  <c r="M23" s="1"/>
  <c r="H5"/>
  <c r="N42" i="5" l="1"/>
  <c r="Z45"/>
  <c r="Z23"/>
  <c r="Z32" s="1"/>
  <c r="P30"/>
  <c r="P31" s="1"/>
  <c r="K24" i="4"/>
  <c r="N21"/>
  <c r="S25"/>
  <c r="S24"/>
  <c r="T24" s="1"/>
  <c r="V25" i="3"/>
  <c r="U26"/>
  <c r="V26" s="1"/>
  <c r="M25"/>
  <c r="P22"/>
  <c r="R26" i="5"/>
  <c r="U23"/>
  <c r="T49" i="2"/>
  <c r="T58" s="1"/>
  <c r="O50"/>
  <c r="P50" s="1"/>
  <c r="N52"/>
  <c r="N53" s="1"/>
  <c r="O51"/>
  <c r="P51" s="1"/>
  <c r="L52"/>
  <c r="O49"/>
  <c r="L22"/>
  <c r="H23"/>
  <c r="K23"/>
  <c r="H21"/>
  <c r="E29"/>
  <c r="E28"/>
  <c r="D29"/>
  <c r="G26"/>
  <c r="H26" s="1"/>
  <c r="M22" s="1"/>
  <c r="M24" s="1"/>
  <c r="M25" s="1"/>
  <c r="G24"/>
  <c r="G22"/>
  <c r="G20"/>
  <c r="F29"/>
  <c r="F28"/>
  <c r="G19"/>
  <c r="D28"/>
  <c r="G28" s="1"/>
  <c r="R20" s="1"/>
  <c r="Z26" i="5" l="1"/>
  <c r="AA26" s="1"/>
  <c r="Z27"/>
  <c r="AA27" s="1"/>
  <c r="W25" i="3"/>
  <c r="X25" s="1"/>
  <c r="S29" i="4"/>
  <c r="T29" s="1"/>
  <c r="O21"/>
  <c r="S26"/>
  <c r="T26" s="1"/>
  <c r="T25"/>
  <c r="K25"/>
  <c r="S27"/>
  <c r="T27" s="1"/>
  <c r="U30" i="3"/>
  <c r="V30" s="1"/>
  <c r="W26" s="1"/>
  <c r="X26" s="1"/>
  <c r="M26"/>
  <c r="U28"/>
  <c r="V28" s="1"/>
  <c r="U27"/>
  <c r="Q22"/>
  <c r="Z29" i="5"/>
  <c r="AA29" s="1"/>
  <c r="R27"/>
  <c r="Z28"/>
  <c r="V23"/>
  <c r="T53" i="2"/>
  <c r="U53" s="1"/>
  <c r="T52"/>
  <c r="U52" s="1"/>
  <c r="L53"/>
  <c r="T55"/>
  <c r="U55" s="1"/>
  <c r="T54"/>
  <c r="U54" s="1"/>
  <c r="P49"/>
  <c r="S23"/>
  <c r="S24"/>
  <c r="K22"/>
  <c r="N22" s="1"/>
  <c r="O22" s="1"/>
  <c r="H20"/>
  <c r="L23"/>
  <c r="H24"/>
  <c r="N23"/>
  <c r="O23" s="1"/>
  <c r="K21"/>
  <c r="H19"/>
  <c r="L21"/>
  <c r="L24" s="1"/>
  <c r="L25" s="1"/>
  <c r="H22"/>
  <c r="Z31" i="5" l="1"/>
  <c r="AA31" s="1"/>
  <c r="Z41"/>
  <c r="Z48"/>
  <c r="AD29"/>
  <c r="AB29"/>
  <c r="AE29"/>
  <c r="AE26"/>
  <c r="AE27"/>
  <c r="AB26"/>
  <c r="AD27"/>
  <c r="AD26"/>
  <c r="AB27"/>
  <c r="W28" i="3"/>
  <c r="X28" s="1"/>
  <c r="V54" i="2"/>
  <c r="W54" s="1"/>
  <c r="V52"/>
  <c r="W52" s="1"/>
  <c r="V24" i="4"/>
  <c r="S28"/>
  <c r="T28" s="1"/>
  <c r="V27" i="3"/>
  <c r="U29"/>
  <c r="V29" s="1"/>
  <c r="AA28" i="5"/>
  <c r="Z30"/>
  <c r="AA30" s="1"/>
  <c r="T57" i="2"/>
  <c r="U57" s="1"/>
  <c r="V53" s="1"/>
  <c r="W53" s="1"/>
  <c r="T56"/>
  <c r="U56" s="1"/>
  <c r="K24"/>
  <c r="N21"/>
  <c r="AC29" i="5" l="1"/>
  <c r="AD30"/>
  <c r="AC30" s="1"/>
  <c r="AE30"/>
  <c r="AB30"/>
  <c r="U50"/>
  <c r="N45"/>
  <c r="U51"/>
  <c r="U52"/>
  <c r="AC26"/>
  <c r="W42"/>
  <c r="X51"/>
  <c r="X52"/>
  <c r="X50"/>
  <c r="AC28"/>
  <c r="AD28"/>
  <c r="AB28"/>
  <c r="AE28"/>
  <c r="AC27"/>
  <c r="W27" i="3"/>
  <c r="X27" s="1"/>
  <c r="X29"/>
  <c r="W29"/>
  <c r="V56" i="2"/>
  <c r="W56" s="1"/>
  <c r="V55"/>
  <c r="W55" s="1"/>
  <c r="V27" i="4"/>
  <c r="V26"/>
  <c r="V25"/>
  <c r="O21" i="2"/>
  <c r="K25"/>
  <c r="V28" i="4" l="1"/>
</calcChain>
</file>

<file path=xl/sharedStrings.xml><?xml version="1.0" encoding="utf-8"?>
<sst xmlns="http://schemas.openxmlformats.org/spreadsheetml/2006/main" count="487" uniqueCount="84">
  <si>
    <t>perlakuan</t>
  </si>
  <si>
    <t>ulangan</t>
  </si>
  <si>
    <t>rata2</t>
  </si>
  <si>
    <t>K1I1</t>
  </si>
  <si>
    <t>K1I2</t>
  </si>
  <si>
    <t>K2I1</t>
  </si>
  <si>
    <t>K3I1</t>
  </si>
  <si>
    <t>K2I2</t>
  </si>
  <si>
    <t>K3I2</t>
  </si>
  <si>
    <t>K1I3</t>
  </si>
  <si>
    <t>K2I3</t>
  </si>
  <si>
    <t>K3I3</t>
  </si>
  <si>
    <t>ulangan 1</t>
  </si>
  <si>
    <t>Perlakuan</t>
  </si>
  <si>
    <t xml:space="preserve">total </t>
  </si>
  <si>
    <t xml:space="preserve">K3I3 </t>
  </si>
  <si>
    <t>total</t>
  </si>
  <si>
    <t xml:space="preserve">tabel dua arah </t>
  </si>
  <si>
    <t xml:space="preserve">perlakuan </t>
  </si>
  <si>
    <t>k</t>
  </si>
  <si>
    <t>I</t>
  </si>
  <si>
    <t>K</t>
  </si>
  <si>
    <t xml:space="preserve">TOTAL </t>
  </si>
  <si>
    <t>RATA2</t>
  </si>
  <si>
    <t>TOTAL</t>
  </si>
  <si>
    <t>r</t>
  </si>
  <si>
    <t>i</t>
  </si>
  <si>
    <t>Fk</t>
  </si>
  <si>
    <t>SK</t>
  </si>
  <si>
    <t>DB</t>
  </si>
  <si>
    <t>JK</t>
  </si>
  <si>
    <t>KT</t>
  </si>
  <si>
    <t>Fhitung</t>
  </si>
  <si>
    <t>F5%</t>
  </si>
  <si>
    <t>F1%</t>
  </si>
  <si>
    <t xml:space="preserve">ANALISIS RAGAM </t>
  </si>
  <si>
    <t>kelompok</t>
  </si>
  <si>
    <t xml:space="preserve">I </t>
  </si>
  <si>
    <t>ki</t>
  </si>
  <si>
    <t>galat</t>
  </si>
  <si>
    <t>ulangan 2</t>
  </si>
  <si>
    <t>ulangan 3</t>
  </si>
  <si>
    <t xml:space="preserve">Total </t>
  </si>
  <si>
    <t>fk</t>
  </si>
  <si>
    <t>sk</t>
  </si>
  <si>
    <t>db</t>
  </si>
  <si>
    <t>jk</t>
  </si>
  <si>
    <t>kt</t>
  </si>
  <si>
    <t>fhitung</t>
  </si>
  <si>
    <t>f5%</t>
  </si>
  <si>
    <t>f1%</t>
  </si>
  <si>
    <t xml:space="preserve">k </t>
  </si>
  <si>
    <t xml:space="preserve">ulangan </t>
  </si>
  <si>
    <t>I1</t>
  </si>
  <si>
    <t>I2</t>
  </si>
  <si>
    <t>I3</t>
  </si>
  <si>
    <t>K1</t>
  </si>
  <si>
    <t>a</t>
  </si>
  <si>
    <t>K2</t>
  </si>
  <si>
    <t>K3</t>
  </si>
  <si>
    <t>BNJ 5%</t>
  </si>
  <si>
    <t>A</t>
  </si>
  <si>
    <t xml:space="preserve">A </t>
  </si>
  <si>
    <t>B</t>
  </si>
  <si>
    <t>AB</t>
  </si>
  <si>
    <t xml:space="preserve">sd </t>
  </si>
  <si>
    <t>3,16</t>
  </si>
  <si>
    <t xml:space="preserve">a </t>
  </si>
  <si>
    <t>7 HST</t>
  </si>
  <si>
    <t>14 HST</t>
  </si>
  <si>
    <t>21 HST</t>
  </si>
  <si>
    <t>28 HST</t>
  </si>
  <si>
    <t>9.82 A</t>
  </si>
  <si>
    <t>10.16 A</t>
  </si>
  <si>
    <t>9.98 A</t>
  </si>
  <si>
    <t>9.38 a</t>
  </si>
  <si>
    <t>10.74 ab</t>
  </si>
  <si>
    <t>9.84 a</t>
  </si>
  <si>
    <t>tn</t>
  </si>
  <si>
    <t>Rataan</t>
  </si>
  <si>
    <t>Ulangan</t>
  </si>
  <si>
    <t xml:space="preserve">Rataan </t>
  </si>
  <si>
    <t>n</t>
  </si>
  <si>
    <t>TABEL DUA ARAH</t>
  </si>
</sst>
</file>

<file path=xl/styles.xml><?xml version="1.0" encoding="utf-8"?>
<styleSheet xmlns="http://schemas.openxmlformats.org/spreadsheetml/2006/main">
  <numFmts count="1">
    <numFmt numFmtId="164" formatCode="#,##0.000"/>
  </numFmts>
  <fonts count="2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0" fillId="0" borderId="3" xfId="0" applyBorder="1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2" xfId="0" applyBorder="1"/>
    <xf numFmtId="0" fontId="0" fillId="0" borderId="0" xfId="0" applyFill="1" applyBorder="1"/>
    <xf numFmtId="2" fontId="0" fillId="0" borderId="0" xfId="0" applyNumberForma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0" borderId="0" xfId="0" applyFont="1"/>
    <xf numFmtId="0" fontId="0" fillId="0" borderId="0" xfId="0" applyAlignment="1">
      <alignment horizontal="left"/>
    </xf>
    <xf numFmtId="0" fontId="1" fillId="3" borderId="6" xfId="0" applyFont="1" applyFill="1" applyBorder="1"/>
    <xf numFmtId="0" fontId="1" fillId="3" borderId="6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left"/>
    </xf>
    <xf numFmtId="0" fontId="0" fillId="3" borderId="0" xfId="0" applyFill="1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/>
    <xf numFmtId="164" fontId="0" fillId="4" borderId="0" xfId="0" applyNumberFormat="1" applyFill="1" applyBorder="1"/>
    <xf numFmtId="164" fontId="0" fillId="4" borderId="7" xfId="0" applyNumberFormat="1" applyFill="1" applyBorder="1"/>
    <xf numFmtId="164" fontId="0" fillId="4" borderId="1" xfId="0" applyNumberFormat="1" applyFill="1" applyBorder="1"/>
    <xf numFmtId="164" fontId="0" fillId="4" borderId="8" xfId="0" applyNumberFormat="1" applyFill="1" applyBorder="1"/>
    <xf numFmtId="4" fontId="1" fillId="0" borderId="0" xfId="0" applyNumberFormat="1" applyFont="1" applyAlignment="1">
      <alignment horizontal="left"/>
    </xf>
    <xf numFmtId="4" fontId="0" fillId="0" borderId="0" xfId="0" applyNumberFormat="1" applyAlignment="1">
      <alignment horizontal="left"/>
    </xf>
    <xf numFmtId="4" fontId="0" fillId="0" borderId="0" xfId="0" applyNumberFormat="1" applyBorder="1"/>
    <xf numFmtId="0" fontId="1" fillId="3" borderId="5" xfId="0" applyFont="1" applyFill="1" applyBorder="1"/>
    <xf numFmtId="0" fontId="0" fillId="0" borderId="2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/>
    <xf numFmtId="2" fontId="0" fillId="0" borderId="6" xfId="0" applyNumberFormat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Border="1"/>
    <xf numFmtId="2" fontId="0" fillId="0" borderId="3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3" borderId="1" xfId="0" applyFill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/>
    </xf>
    <xf numFmtId="0" fontId="0" fillId="3" borderId="2" xfId="0" applyFill="1" applyBorder="1"/>
    <xf numFmtId="4" fontId="0" fillId="0" borderId="1" xfId="0" applyNumberFormat="1" applyBorder="1"/>
    <xf numFmtId="0" fontId="0" fillId="0" borderId="0" xfId="0" applyBorder="1" applyAlignment="1">
      <alignment horizontal="center"/>
    </xf>
    <xf numFmtId="4" fontId="0" fillId="0" borderId="0" xfId="0" applyNumberFormat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1" xfId="0" applyBorder="1" applyAlignment="1"/>
    <xf numFmtId="164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3" borderId="0" xfId="0" applyFont="1" applyFill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2" fontId="0" fillId="0" borderId="3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AF59"/>
  <sheetViews>
    <sheetView topLeftCell="A13" zoomScale="55" zoomScaleNormal="55" workbookViewId="0">
      <selection activeCell="R51" sqref="R51:Y58"/>
    </sheetView>
  </sheetViews>
  <sheetFormatPr defaultRowHeight="15"/>
  <cols>
    <col min="3" max="3" width="10.140625" customWidth="1"/>
    <col min="4" max="4" width="9.28515625" customWidth="1"/>
    <col min="5" max="5" width="12" customWidth="1"/>
    <col min="10" max="10" width="11.7109375" customWidth="1"/>
    <col min="17" max="18" width="11.7109375" customWidth="1"/>
    <col min="19" max="19" width="12.7109375" customWidth="1"/>
    <col min="20" max="20" width="16.140625" customWidth="1"/>
    <col min="22" max="22" width="11.7109375" customWidth="1"/>
    <col min="24" max="24" width="14.28515625" customWidth="1"/>
    <col min="25" max="25" width="15.85546875" customWidth="1"/>
  </cols>
  <sheetData>
    <row r="3" spans="3:22">
      <c r="C3" s="70" t="s">
        <v>0</v>
      </c>
      <c r="D3" s="69" t="s">
        <v>12</v>
      </c>
      <c r="E3" s="69"/>
      <c r="F3" s="69"/>
      <c r="G3" s="69"/>
      <c r="H3" s="2" t="s">
        <v>2</v>
      </c>
      <c r="J3" s="70" t="s">
        <v>0</v>
      </c>
      <c r="K3" s="69" t="s">
        <v>12</v>
      </c>
      <c r="L3" s="69"/>
      <c r="M3" s="69"/>
      <c r="N3" s="69"/>
      <c r="O3" s="2" t="s">
        <v>2</v>
      </c>
      <c r="Q3" s="70" t="s">
        <v>0</v>
      </c>
      <c r="R3" s="69" t="s">
        <v>12</v>
      </c>
      <c r="S3" s="69"/>
      <c r="T3" s="69"/>
      <c r="U3" s="69"/>
      <c r="V3" s="2" t="s">
        <v>2</v>
      </c>
    </row>
    <row r="4" spans="3:22">
      <c r="C4" s="71"/>
      <c r="D4" s="1">
        <v>1</v>
      </c>
      <c r="E4" s="1">
        <v>2</v>
      </c>
      <c r="F4" s="1">
        <v>3</v>
      </c>
      <c r="G4" s="1">
        <v>4</v>
      </c>
      <c r="H4" s="1"/>
      <c r="J4" s="71"/>
      <c r="K4" s="1">
        <v>1</v>
      </c>
      <c r="L4" s="1">
        <v>2</v>
      </c>
      <c r="M4" s="1">
        <v>3</v>
      </c>
      <c r="N4" s="1">
        <v>4</v>
      </c>
      <c r="O4" s="1"/>
      <c r="Q4" s="71"/>
      <c r="R4" s="1">
        <v>1</v>
      </c>
      <c r="S4" s="1">
        <v>2</v>
      </c>
      <c r="T4" s="1">
        <v>3</v>
      </c>
      <c r="U4" s="1">
        <v>4</v>
      </c>
      <c r="V4" s="1"/>
    </row>
    <row r="5" spans="3:22">
      <c r="C5" t="s">
        <v>3</v>
      </c>
      <c r="D5" s="3">
        <v>21.905000000000001</v>
      </c>
      <c r="E5" s="3">
        <v>15.71768</v>
      </c>
      <c r="F5" s="3">
        <v>32.0824</v>
      </c>
      <c r="G5" s="3">
        <v>52.572000000000003</v>
      </c>
      <c r="H5" s="3">
        <f>AVERAGE(D5:G5)</f>
        <v>30.569270000000003</v>
      </c>
      <c r="J5" t="s">
        <v>3</v>
      </c>
      <c r="K5" s="3">
        <v>8.7620000000000005</v>
      </c>
      <c r="L5" s="3">
        <v>9.9684600000000003</v>
      </c>
      <c r="M5" s="3">
        <v>23.253</v>
      </c>
      <c r="N5" s="3">
        <v>24.749279999999999</v>
      </c>
      <c r="O5" s="3">
        <f>AVERAGE(K5:N5)</f>
        <v>16.683185000000002</v>
      </c>
      <c r="Q5" t="s">
        <v>3</v>
      </c>
      <c r="R5" s="3">
        <v>28.038399999999999</v>
      </c>
      <c r="S5" s="3">
        <v>28.5776</v>
      </c>
      <c r="T5" s="3">
        <v>48.527999999999999</v>
      </c>
      <c r="U5" s="3">
        <v>22.632919999999999</v>
      </c>
      <c r="V5" s="3">
        <f>AVERAGE(R5:U5)</f>
        <v>31.944230000000001</v>
      </c>
    </row>
    <row r="6" spans="3:22">
      <c r="C6" t="s">
        <v>5</v>
      </c>
      <c r="D6" s="3">
        <v>11.795</v>
      </c>
      <c r="E6" s="3">
        <v>18.979839999999999</v>
      </c>
      <c r="F6" s="3">
        <v>13.817</v>
      </c>
      <c r="G6" s="3">
        <v>13.749599999999999</v>
      </c>
      <c r="H6" s="3">
        <f t="shared" ref="H6:H13" si="0">AVERAGE(D6:G6)</f>
        <v>14.58536</v>
      </c>
      <c r="J6" t="s">
        <v>5</v>
      </c>
      <c r="K6" s="3">
        <v>24.263999999999999</v>
      </c>
      <c r="L6" s="3">
        <v>25.585039999999999</v>
      </c>
      <c r="M6" s="3">
        <v>8.0879999999999992</v>
      </c>
      <c r="N6" s="3">
        <v>44.585099999999997</v>
      </c>
      <c r="O6" s="3">
        <f t="shared" ref="O6:O13" si="1">AVERAGE(K6:N6)</f>
        <v>25.630535000000002</v>
      </c>
      <c r="Q6" t="s">
        <v>5</v>
      </c>
      <c r="R6" s="3">
        <v>21.905000000000001</v>
      </c>
      <c r="S6" s="3">
        <v>25.578299999999999</v>
      </c>
      <c r="T6" s="3">
        <v>17.793600000000001</v>
      </c>
      <c r="U6" s="3">
        <v>20.927700000000002</v>
      </c>
      <c r="V6" s="3">
        <f t="shared" ref="V6:V13" si="2">AVERAGE(R6:U6)</f>
        <v>21.55115</v>
      </c>
    </row>
    <row r="7" spans="3:22">
      <c r="C7" t="s">
        <v>6</v>
      </c>
      <c r="D7" s="3">
        <v>42.900100000000002</v>
      </c>
      <c r="E7" s="3">
        <v>16.580400000000001</v>
      </c>
      <c r="F7" s="3">
        <v>18.400200000000002</v>
      </c>
      <c r="G7" s="3">
        <v>20.927700000000002</v>
      </c>
      <c r="H7" s="3">
        <f t="shared" si="0"/>
        <v>24.702100000000002</v>
      </c>
      <c r="J7" t="s">
        <v>6</v>
      </c>
      <c r="K7" s="3">
        <v>34.104399999999998</v>
      </c>
      <c r="L7" s="3">
        <v>14.369680000000001</v>
      </c>
      <c r="M7" s="3">
        <v>10.312200000000001</v>
      </c>
      <c r="N7" s="3">
        <v>18.872</v>
      </c>
      <c r="O7" s="3">
        <f t="shared" si="1"/>
        <v>19.414570000000001</v>
      </c>
      <c r="Q7" t="s">
        <v>6</v>
      </c>
      <c r="R7" s="3">
        <v>8.4519599999999997</v>
      </c>
      <c r="S7" s="3">
        <v>6.3693</v>
      </c>
      <c r="T7" s="3">
        <v>16.175999999999998</v>
      </c>
      <c r="U7" s="3">
        <v>10.615500000000001</v>
      </c>
      <c r="V7" s="3">
        <f t="shared" si="2"/>
        <v>10.403189999999999</v>
      </c>
    </row>
    <row r="8" spans="3:22">
      <c r="C8" t="s">
        <v>4</v>
      </c>
      <c r="D8" s="3">
        <v>10.352639999999999</v>
      </c>
      <c r="E8" s="3">
        <v>23.93374</v>
      </c>
      <c r="F8" s="3">
        <v>46.506</v>
      </c>
      <c r="G8" s="3">
        <v>40.642200000000003</v>
      </c>
      <c r="H8" s="3">
        <f t="shared" si="0"/>
        <v>30.358645000000003</v>
      </c>
      <c r="J8" t="s">
        <v>4</v>
      </c>
      <c r="K8" s="3">
        <v>4.3136000000000001</v>
      </c>
      <c r="L8" s="3">
        <v>2.5274999999999999</v>
      </c>
      <c r="M8" s="3">
        <v>13.2104</v>
      </c>
      <c r="N8" s="3">
        <v>11.3232</v>
      </c>
      <c r="O8" s="3">
        <f t="shared" si="1"/>
        <v>7.8436750000000002</v>
      </c>
      <c r="Q8" t="s">
        <v>4</v>
      </c>
      <c r="R8" s="3">
        <v>16.6478</v>
      </c>
      <c r="S8" s="3">
        <v>17.685759999999998</v>
      </c>
      <c r="T8" s="3">
        <v>10.312200000000001</v>
      </c>
      <c r="U8" s="3">
        <v>15.21218</v>
      </c>
      <c r="V8" s="3">
        <f t="shared" si="2"/>
        <v>14.964485</v>
      </c>
    </row>
    <row r="9" spans="3:22">
      <c r="C9" t="s">
        <v>7</v>
      </c>
      <c r="D9" s="3">
        <v>39.226799999999997</v>
      </c>
      <c r="E9" s="3">
        <v>30.505240000000001</v>
      </c>
      <c r="F9" s="3">
        <v>30.33</v>
      </c>
      <c r="G9" s="3">
        <v>29.790800000000001</v>
      </c>
      <c r="H9" s="3">
        <f t="shared" si="0"/>
        <v>32.463209999999997</v>
      </c>
      <c r="J9" t="s">
        <v>7</v>
      </c>
      <c r="K9" s="3">
        <v>6.1468800000000003</v>
      </c>
      <c r="L9" s="3">
        <v>5.0549999999999997</v>
      </c>
      <c r="M9" s="3">
        <v>1.37496</v>
      </c>
      <c r="N9" s="3">
        <v>15.9064</v>
      </c>
      <c r="O9" s="3">
        <f t="shared" si="1"/>
        <v>7.1208099999999996</v>
      </c>
      <c r="Q9" t="s">
        <v>7</v>
      </c>
      <c r="R9" s="3">
        <v>21.675840000000001</v>
      </c>
      <c r="S9" s="3">
        <v>20.1526</v>
      </c>
      <c r="T9" s="3">
        <v>19.714500000000001</v>
      </c>
      <c r="U9" s="3">
        <v>19.32358</v>
      </c>
      <c r="V9" s="3">
        <f t="shared" si="2"/>
        <v>20.216630000000002</v>
      </c>
    </row>
    <row r="10" spans="3:22">
      <c r="C10" t="s">
        <v>8</v>
      </c>
      <c r="D10" s="3">
        <v>21.905000000000001</v>
      </c>
      <c r="E10" s="3">
        <v>28.072099999999999</v>
      </c>
      <c r="F10" s="3">
        <v>29.925599999999999</v>
      </c>
      <c r="G10" s="3">
        <v>15.839</v>
      </c>
      <c r="H10" s="3">
        <f t="shared" si="0"/>
        <v>23.935424999999999</v>
      </c>
      <c r="J10" t="s">
        <v>8</v>
      </c>
      <c r="K10" s="3">
        <v>5.8233600000000001</v>
      </c>
      <c r="L10" s="3">
        <v>19.343800000000002</v>
      </c>
      <c r="M10" s="3">
        <v>15.46156</v>
      </c>
      <c r="N10" s="3">
        <v>18.872</v>
      </c>
      <c r="O10" s="3">
        <f t="shared" si="1"/>
        <v>14.87518</v>
      </c>
      <c r="Q10" t="s">
        <v>8</v>
      </c>
      <c r="R10" s="3">
        <v>16.22992</v>
      </c>
      <c r="S10" s="3">
        <v>22.322880000000001</v>
      </c>
      <c r="T10" s="3">
        <v>26.467980000000001</v>
      </c>
      <c r="U10" s="3">
        <v>39.867100000000001</v>
      </c>
      <c r="V10" s="3">
        <f t="shared" si="2"/>
        <v>26.221969999999999</v>
      </c>
    </row>
    <row r="11" spans="3:22">
      <c r="C11" t="s">
        <v>9</v>
      </c>
      <c r="D11" s="3">
        <v>9.0990000000000002</v>
      </c>
      <c r="E11" s="3">
        <v>32.446359999999999</v>
      </c>
      <c r="F11" s="3">
        <v>25.93552</v>
      </c>
      <c r="G11" s="3">
        <v>27.836200000000002</v>
      </c>
      <c r="H11" s="3">
        <f t="shared" si="0"/>
        <v>23.829270000000001</v>
      </c>
      <c r="J11" t="s">
        <v>9</v>
      </c>
      <c r="K11" s="3">
        <v>3.3228200000000001</v>
      </c>
      <c r="L11" s="3">
        <v>5.7290000000000001</v>
      </c>
      <c r="M11" s="3">
        <v>7.6836000000000002</v>
      </c>
      <c r="N11" s="3">
        <v>5.9311999999999996</v>
      </c>
      <c r="O11" s="3">
        <f t="shared" si="1"/>
        <v>5.6666549999999996</v>
      </c>
      <c r="Q11" t="s">
        <v>9</v>
      </c>
      <c r="R11" s="3">
        <v>25.274999999999999</v>
      </c>
      <c r="S11" s="3">
        <v>17.685759999999998</v>
      </c>
      <c r="T11" s="3">
        <v>10.312200000000001</v>
      </c>
      <c r="U11" s="3">
        <v>15.21218</v>
      </c>
      <c r="V11" s="3">
        <f t="shared" si="2"/>
        <v>17.121285</v>
      </c>
    </row>
    <row r="12" spans="3:22">
      <c r="C12" t="s">
        <v>10</v>
      </c>
      <c r="D12" s="3">
        <v>21.231000000000002</v>
      </c>
      <c r="E12" s="3">
        <v>20.27392</v>
      </c>
      <c r="F12" s="3">
        <v>15.85248</v>
      </c>
      <c r="G12" s="3">
        <v>23.455200000000001</v>
      </c>
      <c r="H12" s="3">
        <f t="shared" si="0"/>
        <v>20.203150000000001</v>
      </c>
      <c r="J12" t="s">
        <v>10</v>
      </c>
      <c r="K12" s="3">
        <v>18.400200000000002</v>
      </c>
      <c r="L12" s="3">
        <v>12.132</v>
      </c>
      <c r="M12" s="3">
        <v>3.1543199999999998</v>
      </c>
      <c r="N12" s="3">
        <v>20.590699999999998</v>
      </c>
      <c r="O12" s="3">
        <f t="shared" si="1"/>
        <v>13.569305</v>
      </c>
      <c r="Q12" t="s">
        <v>10</v>
      </c>
      <c r="R12" s="3">
        <v>29.197679999999998</v>
      </c>
      <c r="S12" s="3">
        <v>7.0095999999999998</v>
      </c>
      <c r="T12" s="3">
        <v>19.802250000000001</v>
      </c>
      <c r="U12" s="3">
        <v>19.32358</v>
      </c>
      <c r="V12" s="3">
        <f t="shared" si="2"/>
        <v>18.833277500000001</v>
      </c>
    </row>
    <row r="13" spans="3:22">
      <c r="C13" t="s">
        <v>11</v>
      </c>
      <c r="D13" s="3">
        <v>20.806380000000001</v>
      </c>
      <c r="E13" s="3">
        <v>12.502700000000001</v>
      </c>
      <c r="F13" s="3">
        <v>19.411200000000001</v>
      </c>
      <c r="G13" s="3">
        <v>33.848280000000003</v>
      </c>
      <c r="H13" s="3">
        <f t="shared" si="0"/>
        <v>21.642140000000001</v>
      </c>
      <c r="J13" t="s">
        <v>11</v>
      </c>
      <c r="K13" s="3">
        <v>20.624400000000001</v>
      </c>
      <c r="L13" s="3">
        <v>7.2792000000000003</v>
      </c>
      <c r="M13" s="3">
        <v>13.466519999999999</v>
      </c>
      <c r="N13" s="3">
        <v>10.918799999999999</v>
      </c>
      <c r="O13" s="3">
        <f t="shared" si="1"/>
        <v>13.072229999999999</v>
      </c>
      <c r="Q13" t="s">
        <v>11</v>
      </c>
      <c r="R13" s="3">
        <v>28.173200000000001</v>
      </c>
      <c r="S13" s="3">
        <v>10.23132</v>
      </c>
      <c r="T13" s="3">
        <v>29.925599999999999</v>
      </c>
      <c r="U13" s="3">
        <v>32.480060000000002</v>
      </c>
      <c r="V13" s="3">
        <f t="shared" si="2"/>
        <v>25.202545000000001</v>
      </c>
    </row>
    <row r="17" spans="3:32">
      <c r="C17" s="70" t="s">
        <v>13</v>
      </c>
      <c r="D17" s="73" t="s">
        <v>1</v>
      </c>
      <c r="E17" s="73"/>
      <c r="F17" s="73"/>
      <c r="G17" s="70" t="s">
        <v>14</v>
      </c>
      <c r="H17" s="70" t="s">
        <v>2</v>
      </c>
      <c r="Q17" t="s">
        <v>25</v>
      </c>
      <c r="R17">
        <v>3</v>
      </c>
    </row>
    <row r="18" spans="3:32">
      <c r="C18" s="71"/>
      <c r="D18" s="1">
        <v>1</v>
      </c>
      <c r="E18" s="1">
        <v>2</v>
      </c>
      <c r="F18" s="1">
        <v>3</v>
      </c>
      <c r="G18" s="71"/>
      <c r="H18" s="71"/>
      <c r="J18" s="72" t="s">
        <v>17</v>
      </c>
      <c r="K18" s="72"/>
      <c r="Q18" t="s">
        <v>19</v>
      </c>
      <c r="R18">
        <v>3</v>
      </c>
    </row>
    <row r="19" spans="3:32">
      <c r="C19" t="s">
        <v>3</v>
      </c>
      <c r="D19" s="3">
        <f t="shared" ref="D19:D27" si="3">H5</f>
        <v>30.569270000000003</v>
      </c>
      <c r="E19" s="3">
        <f t="shared" ref="E19:E27" si="4">O5</f>
        <v>16.683185000000002</v>
      </c>
      <c r="F19" s="3">
        <f t="shared" ref="F19:F27" si="5">V5</f>
        <v>31.944230000000001</v>
      </c>
      <c r="G19" s="3">
        <f>SUM(D19:F19)</f>
        <v>79.196685000000002</v>
      </c>
      <c r="H19" s="3">
        <f>G19/3</f>
        <v>26.398895</v>
      </c>
      <c r="J19" s="70" t="s">
        <v>21</v>
      </c>
      <c r="K19" s="69" t="s">
        <v>20</v>
      </c>
      <c r="L19" s="69"/>
      <c r="M19" s="69"/>
      <c r="N19" s="70" t="s">
        <v>22</v>
      </c>
      <c r="O19" s="70" t="s">
        <v>23</v>
      </c>
      <c r="Q19" t="s">
        <v>26</v>
      </c>
      <c r="R19">
        <v>3</v>
      </c>
    </row>
    <row r="20" spans="3:32">
      <c r="C20" t="s">
        <v>5</v>
      </c>
      <c r="D20" s="3">
        <f t="shared" si="3"/>
        <v>14.58536</v>
      </c>
      <c r="E20" s="3">
        <f t="shared" si="4"/>
        <v>25.630535000000002</v>
      </c>
      <c r="F20" s="3">
        <f t="shared" si="5"/>
        <v>21.55115</v>
      </c>
      <c r="G20" s="3">
        <f t="shared" ref="G20:G28" si="6">SUM(D20:F20)</f>
        <v>61.767045000000003</v>
      </c>
      <c r="H20" s="3">
        <f t="shared" ref="H20:H26" si="7">G20/3</f>
        <v>20.589015</v>
      </c>
      <c r="J20" s="71"/>
      <c r="K20" s="1">
        <v>1</v>
      </c>
      <c r="L20" s="1">
        <v>2</v>
      </c>
      <c r="M20" s="1">
        <v>3</v>
      </c>
      <c r="N20" s="71"/>
      <c r="O20" s="71"/>
      <c r="Q20" t="s">
        <v>27</v>
      </c>
      <c r="R20">
        <f>G28^2/27</f>
        <v>10506.954399414557</v>
      </c>
    </row>
    <row r="21" spans="3:32">
      <c r="C21" t="s">
        <v>6</v>
      </c>
      <c r="D21" s="3">
        <f t="shared" si="3"/>
        <v>24.702100000000002</v>
      </c>
      <c r="E21" s="3">
        <f t="shared" si="4"/>
        <v>19.414570000000001</v>
      </c>
      <c r="F21" s="3">
        <f t="shared" si="5"/>
        <v>10.403189999999999</v>
      </c>
      <c r="G21" s="3">
        <f t="shared" si="6"/>
        <v>54.519859999999994</v>
      </c>
      <c r="H21" s="3">
        <f t="shared" si="7"/>
        <v>18.173286666666666</v>
      </c>
      <c r="J21" s="4">
        <v>1</v>
      </c>
      <c r="K21" s="7">
        <f>G19</f>
        <v>79.196685000000002</v>
      </c>
      <c r="L21" s="7">
        <f>G22</f>
        <v>53.166804999999997</v>
      </c>
      <c r="M21" s="7">
        <f>H25</f>
        <v>15.539070000000001</v>
      </c>
      <c r="N21" s="7">
        <f>SUM(K21:M21)</f>
        <v>147.90256000000002</v>
      </c>
      <c r="O21" s="7">
        <f>N21/9</f>
        <v>16.43361777777778</v>
      </c>
      <c r="Q21" s="72" t="s">
        <v>35</v>
      </c>
      <c r="R21" s="72"/>
    </row>
    <row r="22" spans="3:32">
      <c r="C22" t="s">
        <v>4</v>
      </c>
      <c r="D22" s="3">
        <f t="shared" si="3"/>
        <v>30.358645000000003</v>
      </c>
      <c r="E22" s="3">
        <f t="shared" si="4"/>
        <v>7.8436750000000002</v>
      </c>
      <c r="F22" s="3">
        <f t="shared" si="5"/>
        <v>14.964485</v>
      </c>
      <c r="G22" s="3">
        <f t="shared" si="6"/>
        <v>53.166804999999997</v>
      </c>
      <c r="H22" s="3">
        <f t="shared" si="7"/>
        <v>17.722268333333332</v>
      </c>
      <c r="J22" s="4">
        <v>2</v>
      </c>
      <c r="K22" s="7">
        <f>G20</f>
        <v>61.767045000000003</v>
      </c>
      <c r="L22" s="7">
        <f>G23</f>
        <v>59.800649999999997</v>
      </c>
      <c r="M22" s="7">
        <f>H26</f>
        <v>17.535244166666669</v>
      </c>
      <c r="N22" s="7">
        <f t="shared" ref="N22:N23" si="8">SUM(K22:M22)</f>
        <v>139.10293916666666</v>
      </c>
      <c r="O22" s="7">
        <f t="shared" ref="O22:O23" si="9">N22/9</f>
        <v>15.455882129629629</v>
      </c>
      <c r="Q22" s="5" t="s">
        <v>28</v>
      </c>
      <c r="R22" s="5" t="s">
        <v>29</v>
      </c>
      <c r="S22" s="5" t="s">
        <v>30</v>
      </c>
      <c r="T22" s="5" t="s">
        <v>31</v>
      </c>
      <c r="U22" s="5" t="s">
        <v>32</v>
      </c>
      <c r="V22" s="5"/>
      <c r="W22" s="5" t="s">
        <v>33</v>
      </c>
      <c r="X22" s="5" t="s">
        <v>34</v>
      </c>
    </row>
    <row r="23" spans="3:32">
      <c r="C23" t="s">
        <v>7</v>
      </c>
      <c r="D23" s="3">
        <f t="shared" si="3"/>
        <v>32.463209999999997</v>
      </c>
      <c r="E23" s="3">
        <f t="shared" si="4"/>
        <v>7.1208099999999996</v>
      </c>
      <c r="F23" s="3">
        <f t="shared" si="5"/>
        <v>20.216630000000002</v>
      </c>
      <c r="G23" s="3">
        <f t="shared" si="6"/>
        <v>59.800649999999997</v>
      </c>
      <c r="H23" s="3">
        <f t="shared" si="7"/>
        <v>19.93355</v>
      </c>
      <c r="J23" s="4">
        <v>3</v>
      </c>
      <c r="K23" s="7">
        <f>G21</f>
        <v>54.519859999999994</v>
      </c>
      <c r="L23" s="7">
        <f>G24</f>
        <v>65.032574999999994</v>
      </c>
      <c r="M23" s="7">
        <f>H27</f>
        <v>19.972305000000002</v>
      </c>
      <c r="N23" s="7">
        <f t="shared" si="8"/>
        <v>139.52473999999998</v>
      </c>
      <c r="O23" s="7">
        <f t="shared" si="9"/>
        <v>15.502748888888886</v>
      </c>
      <c r="Q23" s="6" t="s">
        <v>36</v>
      </c>
      <c r="R23">
        <v>2</v>
      </c>
      <c r="S23">
        <f>SUMSQ(D28:F28)/(R18*R19)-R20</f>
        <v>551.30979677847972</v>
      </c>
    </row>
    <row r="24" spans="3:32">
      <c r="C24" t="s">
        <v>8</v>
      </c>
      <c r="D24" s="3">
        <f t="shared" si="3"/>
        <v>23.935424999999999</v>
      </c>
      <c r="E24" s="3">
        <f t="shared" si="4"/>
        <v>14.87518</v>
      </c>
      <c r="F24" s="3">
        <f t="shared" si="5"/>
        <v>26.221969999999999</v>
      </c>
      <c r="G24" s="3">
        <f t="shared" si="6"/>
        <v>65.032574999999994</v>
      </c>
      <c r="H24" s="3">
        <f t="shared" si="7"/>
        <v>21.677524999999999</v>
      </c>
      <c r="J24" t="s">
        <v>24</v>
      </c>
      <c r="K24" s="7">
        <f>SUM(K21:K23)</f>
        <v>195.48358999999999</v>
      </c>
      <c r="L24" s="7">
        <f t="shared" ref="L24:M24" si="10">SUM(L21:L23)</f>
        <v>178.00002999999998</v>
      </c>
      <c r="M24" s="7">
        <f t="shared" si="10"/>
        <v>53.046619166666673</v>
      </c>
      <c r="N24" s="7"/>
      <c r="O24" s="7"/>
      <c r="Q24" s="6" t="s">
        <v>18</v>
      </c>
      <c r="R24">
        <v>8</v>
      </c>
      <c r="S24">
        <f>SUMSQ(G19:G27)/R17-R20</f>
        <v>233.8204892737358</v>
      </c>
    </row>
    <row r="25" spans="3:32">
      <c r="C25" t="s">
        <v>9</v>
      </c>
      <c r="D25" s="3">
        <f t="shared" si="3"/>
        <v>23.829270000000001</v>
      </c>
      <c r="E25" s="3">
        <f t="shared" si="4"/>
        <v>5.6666549999999996</v>
      </c>
      <c r="F25" s="3">
        <f t="shared" si="5"/>
        <v>17.121285</v>
      </c>
      <c r="G25" s="3">
        <f t="shared" si="6"/>
        <v>46.61721</v>
      </c>
      <c r="H25" s="3">
        <f t="shared" si="7"/>
        <v>15.539070000000001</v>
      </c>
      <c r="J25" t="s">
        <v>23</v>
      </c>
      <c r="K25" s="7">
        <f>K24/9</f>
        <v>21.720398888888887</v>
      </c>
      <c r="L25" s="7">
        <f t="shared" ref="L25:M25" si="11">L24/9</f>
        <v>19.777781111111111</v>
      </c>
      <c r="M25" s="7">
        <f t="shared" si="11"/>
        <v>5.8940687962962972</v>
      </c>
      <c r="N25" s="7"/>
      <c r="O25" s="7"/>
      <c r="Q25" s="6" t="s">
        <v>19</v>
      </c>
      <c r="R25">
        <v>2</v>
      </c>
      <c r="S25">
        <f>SUMSQ(N21:N23)/9-R20</f>
        <v>-3763.4046203671614</v>
      </c>
    </row>
    <row r="26" spans="3:32">
      <c r="C26" t="s">
        <v>10</v>
      </c>
      <c r="D26" s="3">
        <f t="shared" si="3"/>
        <v>20.203150000000001</v>
      </c>
      <c r="E26" s="3">
        <f t="shared" si="4"/>
        <v>13.569305</v>
      </c>
      <c r="F26" s="3">
        <f t="shared" si="5"/>
        <v>18.833277500000001</v>
      </c>
      <c r="G26" s="3">
        <f t="shared" si="6"/>
        <v>52.605732500000002</v>
      </c>
      <c r="H26" s="3">
        <f t="shared" si="7"/>
        <v>17.535244166666669</v>
      </c>
      <c r="Q26" s="6" t="s">
        <v>37</v>
      </c>
      <c r="R26">
        <v>2</v>
      </c>
    </row>
    <row r="27" spans="3:32">
      <c r="C27" t="s">
        <v>15</v>
      </c>
      <c r="D27" s="3">
        <f t="shared" si="3"/>
        <v>21.642140000000001</v>
      </c>
      <c r="E27" s="3">
        <f t="shared" si="4"/>
        <v>13.072229999999999</v>
      </c>
      <c r="F27" s="3">
        <f t="shared" si="5"/>
        <v>25.202545000000001</v>
      </c>
      <c r="G27" s="3">
        <f>SUM(D27:F27)</f>
        <v>59.916915000000003</v>
      </c>
      <c r="H27" s="3">
        <f>G27/3</f>
        <v>19.972305000000002</v>
      </c>
      <c r="Q27" s="6" t="s">
        <v>38</v>
      </c>
      <c r="R27">
        <v>4</v>
      </c>
    </row>
    <row r="28" spans="3:32">
      <c r="C28" t="s">
        <v>16</v>
      </c>
      <c r="D28" s="3">
        <f>SUM(D19:D27)</f>
        <v>222.28857000000002</v>
      </c>
      <c r="E28" s="3">
        <f t="shared" ref="E28:F28" si="12">SUM(E19:E27)</f>
        <v>123.87614500000002</v>
      </c>
      <c r="F28" s="3">
        <f t="shared" si="12"/>
        <v>186.45876249999998</v>
      </c>
      <c r="G28" s="3">
        <f t="shared" si="6"/>
        <v>532.62347750000004</v>
      </c>
      <c r="Q28" s="6" t="s">
        <v>39</v>
      </c>
      <c r="R28">
        <v>16</v>
      </c>
    </row>
    <row r="29" spans="3:32">
      <c r="C29" t="s">
        <v>2</v>
      </c>
      <c r="D29" s="3">
        <f>AVERAGE(D19:D27)</f>
        <v>24.698730000000001</v>
      </c>
      <c r="E29" s="3">
        <f t="shared" ref="E29:F29" si="13">AVERAGE(E19:E27)</f>
        <v>13.764016111111113</v>
      </c>
      <c r="F29" s="3">
        <f t="shared" si="13"/>
        <v>20.717640277777775</v>
      </c>
      <c r="Q29" s="6" t="s">
        <v>14</v>
      </c>
      <c r="R29">
        <v>26</v>
      </c>
    </row>
    <row r="30" spans="3:32">
      <c r="AB30" s="67" t="s">
        <v>13</v>
      </c>
      <c r="AC30" s="67" t="s">
        <v>69</v>
      </c>
      <c r="AD30" s="67" t="s">
        <v>70</v>
      </c>
      <c r="AE30" s="67" t="s">
        <v>71</v>
      </c>
      <c r="AF30" s="67" t="s">
        <v>71</v>
      </c>
    </row>
    <row r="31" spans="3:32">
      <c r="AB31" s="68"/>
      <c r="AC31" s="68"/>
      <c r="AD31" s="68"/>
      <c r="AE31" s="68"/>
      <c r="AF31" s="68"/>
    </row>
    <row r="32" spans="3:32" ht="15.75">
      <c r="E32" s="10" t="s">
        <v>18</v>
      </c>
      <c r="F32" s="74" t="s">
        <v>12</v>
      </c>
      <c r="G32" s="74"/>
      <c r="H32" s="74"/>
      <c r="I32" s="74"/>
      <c r="J32" s="11" t="s">
        <v>2</v>
      </c>
      <c r="L32" s="12" t="s">
        <v>0</v>
      </c>
      <c r="M32" s="74" t="s">
        <v>40</v>
      </c>
      <c r="N32" s="74"/>
      <c r="O32" s="74"/>
      <c r="P32" s="74"/>
      <c r="Q32" s="12"/>
      <c r="S32" s="12" t="s">
        <v>0</v>
      </c>
      <c r="T32" s="74" t="s">
        <v>41</v>
      </c>
      <c r="U32" s="74"/>
      <c r="V32" s="74"/>
      <c r="W32" s="74"/>
      <c r="X32" s="12"/>
      <c r="AB32" s="43" t="s">
        <v>56</v>
      </c>
      <c r="AC32" s="43">
        <f>P49</f>
        <v>19.886744444444446</v>
      </c>
      <c r="AD32" s="7">
        <v>63.88</v>
      </c>
      <c r="AE32" s="43">
        <v>90.34</v>
      </c>
      <c r="AF32" s="43" t="s">
        <v>72</v>
      </c>
    </row>
    <row r="33" spans="5:32" ht="15.75">
      <c r="E33" s="10"/>
      <c r="F33" s="10">
        <v>1</v>
      </c>
      <c r="G33" s="10">
        <v>2</v>
      </c>
      <c r="H33" s="10">
        <v>3</v>
      </c>
      <c r="I33" s="10">
        <v>4</v>
      </c>
      <c r="J33" s="11"/>
      <c r="L33" s="12"/>
      <c r="M33" s="10">
        <v>1</v>
      </c>
      <c r="N33" s="10">
        <v>2</v>
      </c>
      <c r="O33" s="10">
        <v>3</v>
      </c>
      <c r="P33" s="10">
        <v>4</v>
      </c>
      <c r="Q33" s="12"/>
      <c r="S33" s="12"/>
      <c r="T33" s="10">
        <v>1</v>
      </c>
      <c r="U33" s="10">
        <v>2</v>
      </c>
      <c r="V33" s="10">
        <v>3</v>
      </c>
      <c r="W33" s="10">
        <v>4</v>
      </c>
      <c r="X33" s="12"/>
      <c r="AB33" s="43" t="s">
        <v>58</v>
      </c>
      <c r="AC33" s="43">
        <f>P50</f>
        <v>19.352603055555555</v>
      </c>
      <c r="AD33" s="7">
        <v>40.98</v>
      </c>
      <c r="AE33" s="43">
        <v>77.790000000000006</v>
      </c>
      <c r="AF33" s="43" t="s">
        <v>73</v>
      </c>
    </row>
    <row r="34" spans="5:32" ht="15.75">
      <c r="E34" s="13" t="s">
        <v>3</v>
      </c>
      <c r="F34" s="29">
        <f t="shared" ref="F34:F42" si="14">D5</f>
        <v>21.905000000000001</v>
      </c>
      <c r="G34" s="29">
        <f t="shared" ref="G34:G42" si="15">E5</f>
        <v>15.71768</v>
      </c>
      <c r="H34" s="29">
        <f t="shared" ref="H34:H42" si="16">F5</f>
        <v>32.0824</v>
      </c>
      <c r="I34" s="29">
        <f t="shared" ref="I34:I42" si="17">G5</f>
        <v>52.572000000000003</v>
      </c>
      <c r="J34" s="13">
        <f>AVERAGE(F34:I34)</f>
        <v>30.569270000000003</v>
      </c>
      <c r="L34" s="13" t="s">
        <v>3</v>
      </c>
      <c r="M34" s="30">
        <f t="shared" ref="M34:M42" si="18">K5</f>
        <v>8.7620000000000005</v>
      </c>
      <c r="N34" s="30">
        <f t="shared" ref="N34:N42" si="19">L5</f>
        <v>9.9684600000000003</v>
      </c>
      <c r="O34" s="30">
        <f t="shared" ref="O34:O42" si="20">M5</f>
        <v>23.253</v>
      </c>
      <c r="P34" s="30">
        <f t="shared" ref="P34:P42" si="21">N5</f>
        <v>24.749279999999999</v>
      </c>
      <c r="Q34" s="14">
        <f>AVERAGE(M34:P34)</f>
        <v>16.683185000000002</v>
      </c>
      <c r="S34" s="13" t="s">
        <v>3</v>
      </c>
      <c r="T34" s="29">
        <f t="shared" ref="T34:T42" si="22">R5</f>
        <v>28.038399999999999</v>
      </c>
      <c r="U34" s="29">
        <f t="shared" ref="U34:U42" si="23">S5</f>
        <v>28.5776</v>
      </c>
      <c r="V34" s="29">
        <f t="shared" ref="V34:V42" si="24">T5</f>
        <v>48.527999999999999</v>
      </c>
      <c r="W34" s="29">
        <f t="shared" ref="W34:W42" si="25">U5</f>
        <v>22.632919999999999</v>
      </c>
      <c r="X34">
        <f>AVERAGE(T34:W34)</f>
        <v>31.944230000000001</v>
      </c>
      <c r="AB34" s="43" t="s">
        <v>59</v>
      </c>
      <c r="AC34" s="43">
        <f>P51</f>
        <v>19.941038888888887</v>
      </c>
      <c r="AD34" s="7">
        <v>41.11</v>
      </c>
      <c r="AE34" s="43">
        <v>82.43</v>
      </c>
      <c r="AF34" s="43" t="s">
        <v>74</v>
      </c>
    </row>
    <row r="35" spans="5:32" ht="15.75">
      <c r="E35" s="13" t="s">
        <v>5</v>
      </c>
      <c r="F35" s="29">
        <f t="shared" si="14"/>
        <v>11.795</v>
      </c>
      <c r="G35" s="29">
        <f t="shared" si="15"/>
        <v>18.979839999999999</v>
      </c>
      <c r="H35" s="29">
        <f t="shared" si="16"/>
        <v>13.817</v>
      </c>
      <c r="I35" s="29">
        <f t="shared" si="17"/>
        <v>13.749599999999999</v>
      </c>
      <c r="J35" s="13">
        <f t="shared" ref="J35:J42" si="26">AVERAGE(F35:I35)</f>
        <v>14.58536</v>
      </c>
      <c r="L35" s="13" t="s">
        <v>5</v>
      </c>
      <c r="M35" s="30">
        <f t="shared" si="18"/>
        <v>24.263999999999999</v>
      </c>
      <c r="N35" s="30">
        <f t="shared" si="19"/>
        <v>25.585039999999999</v>
      </c>
      <c r="O35" s="30">
        <f t="shared" si="20"/>
        <v>8.0879999999999992</v>
      </c>
      <c r="P35" s="30">
        <f t="shared" si="21"/>
        <v>44.585099999999997</v>
      </c>
      <c r="Q35" s="14">
        <f t="shared" ref="Q35:Q41" si="27">AVERAGE(M35:P35)</f>
        <v>25.630535000000002</v>
      </c>
      <c r="S35" s="13" t="s">
        <v>5</v>
      </c>
      <c r="T35" s="29">
        <f t="shared" si="22"/>
        <v>21.905000000000001</v>
      </c>
      <c r="U35" s="29">
        <f t="shared" si="23"/>
        <v>25.578299999999999</v>
      </c>
      <c r="V35" s="29">
        <f t="shared" si="24"/>
        <v>17.793600000000001</v>
      </c>
      <c r="W35" s="29">
        <f t="shared" si="25"/>
        <v>20.927700000000002</v>
      </c>
      <c r="X35">
        <f t="shared" ref="X35:X41" si="28">AVERAGE(T35:W35)</f>
        <v>21.55115</v>
      </c>
      <c r="AB35" s="44" t="s">
        <v>60</v>
      </c>
      <c r="AC35" s="44" t="s">
        <v>78</v>
      </c>
      <c r="AD35" s="44" t="s">
        <v>78</v>
      </c>
      <c r="AE35" s="44" t="s">
        <v>78</v>
      </c>
      <c r="AF35" s="44">
        <v>1.1906000000000001</v>
      </c>
    </row>
    <row r="36" spans="5:32" ht="15.75">
      <c r="E36" s="13" t="s">
        <v>6</v>
      </c>
      <c r="F36" s="29">
        <f t="shared" si="14"/>
        <v>42.900100000000002</v>
      </c>
      <c r="G36" s="29">
        <f t="shared" si="15"/>
        <v>16.580400000000001</v>
      </c>
      <c r="H36" s="29">
        <f t="shared" si="16"/>
        <v>18.400200000000002</v>
      </c>
      <c r="I36" s="29">
        <f t="shared" si="17"/>
        <v>20.927700000000002</v>
      </c>
      <c r="J36" s="13">
        <f t="shared" si="26"/>
        <v>24.702100000000002</v>
      </c>
      <c r="L36" s="13" t="s">
        <v>6</v>
      </c>
      <c r="M36" s="30">
        <f t="shared" si="18"/>
        <v>34.104399999999998</v>
      </c>
      <c r="N36" s="30">
        <f t="shared" si="19"/>
        <v>14.369680000000001</v>
      </c>
      <c r="O36" s="30">
        <f t="shared" si="20"/>
        <v>10.312200000000001</v>
      </c>
      <c r="P36" s="30">
        <f t="shared" si="21"/>
        <v>18.872</v>
      </c>
      <c r="Q36" s="14">
        <f t="shared" si="27"/>
        <v>19.414570000000001</v>
      </c>
      <c r="S36" s="13" t="s">
        <v>6</v>
      </c>
      <c r="T36" s="29">
        <f t="shared" si="22"/>
        <v>8.4519599999999997</v>
      </c>
      <c r="U36" s="29">
        <f t="shared" si="23"/>
        <v>6.3693</v>
      </c>
      <c r="V36" s="29">
        <f t="shared" si="24"/>
        <v>16.175999999999998</v>
      </c>
      <c r="W36" s="29">
        <f t="shared" si="25"/>
        <v>10.615500000000001</v>
      </c>
      <c r="X36">
        <f t="shared" si="28"/>
        <v>10.403189999999999</v>
      </c>
      <c r="AB36" s="67" t="s">
        <v>13</v>
      </c>
      <c r="AC36" s="67" t="s">
        <v>68</v>
      </c>
      <c r="AD36" s="67" t="s">
        <v>69</v>
      </c>
      <c r="AE36" s="67" t="s">
        <v>70</v>
      </c>
      <c r="AF36" s="67" t="s">
        <v>71</v>
      </c>
    </row>
    <row r="37" spans="5:32" ht="15.75">
      <c r="E37" s="13" t="s">
        <v>4</v>
      </c>
      <c r="F37" s="29">
        <f t="shared" si="14"/>
        <v>10.352639999999999</v>
      </c>
      <c r="G37" s="29">
        <f t="shared" si="15"/>
        <v>23.93374</v>
      </c>
      <c r="H37" s="29">
        <f t="shared" si="16"/>
        <v>46.506</v>
      </c>
      <c r="I37" s="29">
        <f t="shared" si="17"/>
        <v>40.642200000000003</v>
      </c>
      <c r="J37" s="13">
        <f t="shared" si="26"/>
        <v>30.358645000000003</v>
      </c>
      <c r="L37" s="13" t="s">
        <v>4</v>
      </c>
      <c r="M37" s="30">
        <f t="shared" si="18"/>
        <v>4.3136000000000001</v>
      </c>
      <c r="N37" s="30">
        <f t="shared" si="19"/>
        <v>2.5274999999999999</v>
      </c>
      <c r="O37" s="30">
        <f t="shared" si="20"/>
        <v>13.2104</v>
      </c>
      <c r="P37" s="30">
        <f t="shared" si="21"/>
        <v>11.3232</v>
      </c>
      <c r="Q37" s="14">
        <f t="shared" si="27"/>
        <v>7.8436750000000002</v>
      </c>
      <c r="S37" s="13" t="s">
        <v>4</v>
      </c>
      <c r="T37" s="29">
        <f t="shared" si="22"/>
        <v>16.6478</v>
      </c>
      <c r="U37" s="29">
        <f t="shared" si="23"/>
        <v>17.685759999999998</v>
      </c>
      <c r="V37" s="29">
        <f t="shared" si="24"/>
        <v>10.312200000000001</v>
      </c>
      <c r="W37" s="29">
        <f t="shared" si="25"/>
        <v>15.21218</v>
      </c>
      <c r="X37">
        <f t="shared" si="28"/>
        <v>14.964485</v>
      </c>
      <c r="AB37" s="68"/>
      <c r="AC37" s="68"/>
      <c r="AD37" s="68"/>
      <c r="AE37" s="68"/>
      <c r="AF37" s="68"/>
    </row>
    <row r="38" spans="5:32" ht="15.75">
      <c r="E38" s="13" t="s">
        <v>7</v>
      </c>
      <c r="F38" s="29">
        <f t="shared" si="14"/>
        <v>39.226799999999997</v>
      </c>
      <c r="G38" s="29">
        <f t="shared" si="15"/>
        <v>30.505240000000001</v>
      </c>
      <c r="H38" s="29">
        <f t="shared" si="16"/>
        <v>30.33</v>
      </c>
      <c r="I38" s="29">
        <f t="shared" si="17"/>
        <v>29.790800000000001</v>
      </c>
      <c r="J38" s="13">
        <f t="shared" si="26"/>
        <v>32.463209999999997</v>
      </c>
      <c r="L38" s="13" t="s">
        <v>7</v>
      </c>
      <c r="M38" s="30">
        <f t="shared" si="18"/>
        <v>6.1468800000000003</v>
      </c>
      <c r="N38" s="30">
        <f t="shared" si="19"/>
        <v>5.0549999999999997</v>
      </c>
      <c r="O38" s="30">
        <f t="shared" si="20"/>
        <v>1.37496</v>
      </c>
      <c r="P38" s="30">
        <f t="shared" si="21"/>
        <v>15.9064</v>
      </c>
      <c r="Q38" s="14">
        <f t="shared" si="27"/>
        <v>7.1208099999999996</v>
      </c>
      <c r="S38" s="13" t="s">
        <v>7</v>
      </c>
      <c r="T38" s="29">
        <f t="shared" si="22"/>
        <v>21.675840000000001</v>
      </c>
      <c r="U38" s="29">
        <f t="shared" si="23"/>
        <v>20.1526</v>
      </c>
      <c r="V38" s="29">
        <f t="shared" si="24"/>
        <v>19.714500000000001</v>
      </c>
      <c r="W38" s="29">
        <f t="shared" si="25"/>
        <v>19.32358</v>
      </c>
      <c r="X38">
        <f t="shared" si="28"/>
        <v>20.216630000000002</v>
      </c>
      <c r="AB38" s="43" t="s">
        <v>53</v>
      </c>
      <c r="AC38" s="43">
        <f>L53</f>
        <v>21.720398888888887</v>
      </c>
      <c r="AD38" s="43">
        <v>60.37</v>
      </c>
      <c r="AE38" s="43">
        <v>79.75</v>
      </c>
      <c r="AF38" s="43" t="s">
        <v>75</v>
      </c>
    </row>
    <row r="39" spans="5:32" ht="15.75">
      <c r="E39" s="13" t="s">
        <v>8</v>
      </c>
      <c r="F39" s="29">
        <f t="shared" si="14"/>
        <v>21.905000000000001</v>
      </c>
      <c r="G39" s="29">
        <f t="shared" si="15"/>
        <v>28.072099999999999</v>
      </c>
      <c r="H39" s="29">
        <f t="shared" si="16"/>
        <v>29.925599999999999</v>
      </c>
      <c r="I39" s="29">
        <f t="shared" si="17"/>
        <v>15.839</v>
      </c>
      <c r="J39" s="13">
        <f t="shared" si="26"/>
        <v>23.935424999999999</v>
      </c>
      <c r="L39" s="13" t="s">
        <v>8</v>
      </c>
      <c r="M39" s="30">
        <f t="shared" si="18"/>
        <v>5.8233600000000001</v>
      </c>
      <c r="N39" s="30">
        <f t="shared" si="19"/>
        <v>19.343800000000002</v>
      </c>
      <c r="O39" s="30">
        <f t="shared" si="20"/>
        <v>15.46156</v>
      </c>
      <c r="P39" s="30">
        <f t="shared" si="21"/>
        <v>18.872</v>
      </c>
      <c r="Q39" s="14">
        <f t="shared" si="27"/>
        <v>14.87518</v>
      </c>
      <c r="S39" s="13" t="s">
        <v>8</v>
      </c>
      <c r="T39" s="29">
        <f t="shared" si="22"/>
        <v>16.22992</v>
      </c>
      <c r="U39" s="29">
        <f t="shared" si="23"/>
        <v>22.322880000000001</v>
      </c>
      <c r="V39" s="29">
        <f t="shared" si="24"/>
        <v>26.467980000000001</v>
      </c>
      <c r="W39" s="29">
        <f t="shared" si="25"/>
        <v>39.867100000000001</v>
      </c>
      <c r="X39">
        <f t="shared" si="28"/>
        <v>26.221969999999999</v>
      </c>
      <c r="AB39" s="43" t="s">
        <v>54</v>
      </c>
      <c r="AC39" s="43">
        <f>M53</f>
        <v>19.777781111111111</v>
      </c>
      <c r="AD39" s="43">
        <v>46.47</v>
      </c>
      <c r="AE39" s="43">
        <v>95.02</v>
      </c>
      <c r="AF39" s="43" t="s">
        <v>76</v>
      </c>
    </row>
    <row r="40" spans="5:32" ht="15.75">
      <c r="E40" s="13" t="s">
        <v>9</v>
      </c>
      <c r="F40" s="29">
        <f t="shared" si="14"/>
        <v>9.0990000000000002</v>
      </c>
      <c r="G40" s="29">
        <f t="shared" si="15"/>
        <v>32.446359999999999</v>
      </c>
      <c r="H40" s="29">
        <f t="shared" si="16"/>
        <v>25.93552</v>
      </c>
      <c r="I40" s="29">
        <f t="shared" si="17"/>
        <v>27.836200000000002</v>
      </c>
      <c r="J40" s="13">
        <f t="shared" si="26"/>
        <v>23.829270000000001</v>
      </c>
      <c r="L40" s="13" t="s">
        <v>9</v>
      </c>
      <c r="M40" s="30">
        <f t="shared" si="18"/>
        <v>3.3228200000000001</v>
      </c>
      <c r="N40" s="30">
        <f t="shared" si="19"/>
        <v>5.7290000000000001</v>
      </c>
      <c r="O40" s="30">
        <f t="shared" si="20"/>
        <v>7.6836000000000002</v>
      </c>
      <c r="P40" s="30">
        <f t="shared" si="21"/>
        <v>5.9311999999999996</v>
      </c>
      <c r="Q40" s="14">
        <f t="shared" si="27"/>
        <v>5.6666549999999996</v>
      </c>
      <c r="S40" s="13" t="s">
        <v>9</v>
      </c>
      <c r="T40" s="29">
        <f t="shared" si="22"/>
        <v>25.274999999999999</v>
      </c>
      <c r="U40" s="29">
        <f t="shared" si="23"/>
        <v>17.685759999999998</v>
      </c>
      <c r="V40" s="29">
        <f t="shared" si="24"/>
        <v>10.312200000000001</v>
      </c>
      <c r="W40" s="29">
        <f t="shared" si="25"/>
        <v>15.21218</v>
      </c>
      <c r="X40">
        <f t="shared" si="28"/>
        <v>17.121285</v>
      </c>
      <c r="AB40" s="43" t="s">
        <v>55</v>
      </c>
      <c r="AC40" s="43">
        <f>N53</f>
        <v>17.68220638888889</v>
      </c>
      <c r="AD40" s="43">
        <v>38.76</v>
      </c>
      <c r="AE40" s="43">
        <v>75.78</v>
      </c>
      <c r="AF40" s="43" t="s">
        <v>77</v>
      </c>
    </row>
    <row r="41" spans="5:32" ht="15.75">
      <c r="E41" s="13" t="s">
        <v>10</v>
      </c>
      <c r="F41" s="29">
        <f t="shared" si="14"/>
        <v>21.231000000000002</v>
      </c>
      <c r="G41" s="29">
        <f t="shared" si="15"/>
        <v>20.27392</v>
      </c>
      <c r="H41" s="29">
        <f t="shared" si="16"/>
        <v>15.85248</v>
      </c>
      <c r="I41" s="29">
        <f t="shared" si="17"/>
        <v>23.455200000000001</v>
      </c>
      <c r="J41" s="13">
        <f t="shared" si="26"/>
        <v>20.203150000000001</v>
      </c>
      <c r="L41" s="13" t="s">
        <v>10</v>
      </c>
      <c r="M41" s="30">
        <f t="shared" si="18"/>
        <v>18.400200000000002</v>
      </c>
      <c r="N41" s="30">
        <f t="shared" si="19"/>
        <v>12.132</v>
      </c>
      <c r="O41" s="30">
        <f t="shared" si="20"/>
        <v>3.1543199999999998</v>
      </c>
      <c r="P41" s="30">
        <f t="shared" si="21"/>
        <v>20.590699999999998</v>
      </c>
      <c r="Q41" s="14">
        <f t="shared" si="27"/>
        <v>13.569305</v>
      </c>
      <c r="S41" s="13" t="s">
        <v>10</v>
      </c>
      <c r="T41" s="29">
        <f t="shared" si="22"/>
        <v>29.197679999999998</v>
      </c>
      <c r="U41" s="29">
        <f t="shared" si="23"/>
        <v>7.0095999999999998</v>
      </c>
      <c r="V41" s="29">
        <f t="shared" si="24"/>
        <v>19.802250000000001</v>
      </c>
      <c r="W41" s="29">
        <f t="shared" si="25"/>
        <v>19.32358</v>
      </c>
      <c r="X41">
        <f t="shared" si="28"/>
        <v>18.833277500000001</v>
      </c>
      <c r="AB41" s="44" t="s">
        <v>60</v>
      </c>
      <c r="AC41" s="44" t="s">
        <v>78</v>
      </c>
      <c r="AD41" s="44" t="s">
        <v>78</v>
      </c>
      <c r="AE41" s="44" t="s">
        <v>78</v>
      </c>
      <c r="AF41" s="44">
        <v>1.1906000000000001</v>
      </c>
    </row>
    <row r="42" spans="5:32" ht="15.75">
      <c r="E42" s="13" t="s">
        <v>11</v>
      </c>
      <c r="F42" s="29">
        <f t="shared" si="14"/>
        <v>20.806380000000001</v>
      </c>
      <c r="G42" s="29">
        <f t="shared" si="15"/>
        <v>12.502700000000001</v>
      </c>
      <c r="H42" s="29">
        <f t="shared" si="16"/>
        <v>19.411200000000001</v>
      </c>
      <c r="I42" s="29">
        <f t="shared" si="17"/>
        <v>33.848280000000003</v>
      </c>
      <c r="J42" s="13">
        <f t="shared" si="26"/>
        <v>21.642140000000001</v>
      </c>
      <c r="L42" s="13" t="s">
        <v>11</v>
      </c>
      <c r="M42" s="30">
        <f t="shared" si="18"/>
        <v>20.624400000000001</v>
      </c>
      <c r="N42" s="30">
        <f t="shared" si="19"/>
        <v>7.2792000000000003</v>
      </c>
      <c r="O42" s="30">
        <f t="shared" si="20"/>
        <v>13.466519999999999</v>
      </c>
      <c r="P42" s="30">
        <f t="shared" si="21"/>
        <v>10.918799999999999</v>
      </c>
      <c r="Q42" s="14">
        <f>AVERAGE(M42:P42)</f>
        <v>13.072229999999999</v>
      </c>
      <c r="S42" s="13" t="s">
        <v>11</v>
      </c>
      <c r="T42" s="29">
        <f t="shared" si="22"/>
        <v>28.173200000000001</v>
      </c>
      <c r="U42" s="29">
        <f t="shared" si="23"/>
        <v>10.23132</v>
      </c>
      <c r="V42" s="29">
        <f t="shared" si="24"/>
        <v>29.925599999999999</v>
      </c>
      <c r="W42" s="29">
        <f t="shared" si="25"/>
        <v>32.480060000000002</v>
      </c>
      <c r="X42">
        <f>AVERAGE(T42:W42)</f>
        <v>25.202545000000001</v>
      </c>
    </row>
    <row r="43" spans="5:32" ht="15.75">
      <c r="E43" s="13" t="s">
        <v>42</v>
      </c>
      <c r="G43" s="3"/>
      <c r="L43" s="13"/>
      <c r="S43" s="13" t="s">
        <v>42</v>
      </c>
    </row>
    <row r="45" spans="5:32" ht="15.75">
      <c r="E45" s="75" t="s">
        <v>13</v>
      </c>
      <c r="F45" s="77" t="s">
        <v>80</v>
      </c>
      <c r="G45" s="77"/>
      <c r="H45" s="77"/>
      <c r="I45" s="78" t="s">
        <v>42</v>
      </c>
      <c r="J45" s="78" t="s">
        <v>79</v>
      </c>
      <c r="K45" s="32"/>
      <c r="L45" s="16"/>
      <c r="M45" s="16"/>
      <c r="N45" s="16"/>
      <c r="O45" s="15"/>
      <c r="P45" s="16"/>
      <c r="Q45" s="17"/>
      <c r="R45" s="17"/>
      <c r="S45" s="18"/>
      <c r="T45" s="19"/>
      <c r="U45" s="19"/>
      <c r="V45" s="19"/>
      <c r="W45" s="19"/>
      <c r="X45" s="19"/>
      <c r="Y45" s="19"/>
    </row>
    <row r="46" spans="5:32" ht="15.75">
      <c r="E46" s="76"/>
      <c r="F46" s="45">
        <v>1</v>
      </c>
      <c r="G46" s="45">
        <v>2</v>
      </c>
      <c r="H46" s="45">
        <v>3</v>
      </c>
      <c r="I46" s="79"/>
      <c r="J46" s="79"/>
      <c r="K46" s="20"/>
      <c r="L46" s="13"/>
      <c r="M46" s="13"/>
      <c r="N46" s="13"/>
      <c r="O46" s="13"/>
      <c r="S46" s="13" t="s">
        <v>25</v>
      </c>
      <c r="T46">
        <v>3</v>
      </c>
    </row>
    <row r="47" spans="5:32" ht="15.75">
      <c r="E47" s="20" t="s">
        <v>3</v>
      </c>
      <c r="F47" s="46">
        <f t="shared" ref="F47:F55" si="29">J34</f>
        <v>30.569270000000003</v>
      </c>
      <c r="G47" s="43">
        <f t="shared" ref="G47:G55" si="30">Q34</f>
        <v>16.683185000000002</v>
      </c>
      <c r="H47" s="43">
        <f t="shared" ref="H47:H55" si="31">X34</f>
        <v>31.944230000000001</v>
      </c>
      <c r="I47" s="43">
        <f>SUM(F47:H47)</f>
        <v>79.196685000000002</v>
      </c>
      <c r="J47" s="43">
        <f>I47/3</f>
        <v>26.398895</v>
      </c>
      <c r="K47" s="80" t="s">
        <v>19</v>
      </c>
      <c r="L47" s="82" t="s">
        <v>20</v>
      </c>
      <c r="M47" s="82"/>
      <c r="N47" s="82"/>
      <c r="O47" s="80" t="s">
        <v>14</v>
      </c>
      <c r="P47" s="70" t="s">
        <v>2</v>
      </c>
      <c r="S47" s="13" t="s">
        <v>19</v>
      </c>
      <c r="T47">
        <v>3</v>
      </c>
    </row>
    <row r="48" spans="5:32" ht="15.75">
      <c r="E48" s="20" t="s">
        <v>5</v>
      </c>
      <c r="F48" s="46">
        <f t="shared" si="29"/>
        <v>14.58536</v>
      </c>
      <c r="G48" s="43">
        <f t="shared" si="30"/>
        <v>25.630535000000002</v>
      </c>
      <c r="H48" s="43">
        <f t="shared" si="31"/>
        <v>21.55115</v>
      </c>
      <c r="I48" s="43">
        <f t="shared" ref="I48:I54" si="32">SUM(F48:H48)</f>
        <v>61.767045000000003</v>
      </c>
      <c r="J48" s="43">
        <f t="shared" ref="J48:J55" si="33">I48/3</f>
        <v>20.589015</v>
      </c>
      <c r="K48" s="81"/>
      <c r="L48" s="21">
        <v>1</v>
      </c>
      <c r="M48" s="21">
        <v>2</v>
      </c>
      <c r="N48" s="21">
        <v>3</v>
      </c>
      <c r="O48" s="81"/>
      <c r="P48" s="71"/>
      <c r="S48" s="13" t="s">
        <v>26</v>
      </c>
      <c r="T48">
        <v>3</v>
      </c>
    </row>
    <row r="49" spans="5:25" ht="15.75">
      <c r="E49" s="20" t="s">
        <v>6</v>
      </c>
      <c r="F49" s="46">
        <f t="shared" si="29"/>
        <v>24.702100000000002</v>
      </c>
      <c r="G49" s="43">
        <f t="shared" si="30"/>
        <v>19.414570000000001</v>
      </c>
      <c r="H49" s="43">
        <f t="shared" si="31"/>
        <v>10.403189999999999</v>
      </c>
      <c r="I49" s="43">
        <f t="shared" si="32"/>
        <v>54.519859999999994</v>
      </c>
      <c r="J49" s="43">
        <f t="shared" si="33"/>
        <v>18.173286666666666</v>
      </c>
      <c r="K49" s="22">
        <v>1</v>
      </c>
      <c r="L49" s="7">
        <f>I47</f>
        <v>79.196685000000002</v>
      </c>
      <c r="M49" s="7">
        <f>I50</f>
        <v>53.166804999999997</v>
      </c>
      <c r="N49" s="7">
        <f>I53</f>
        <v>46.61721</v>
      </c>
      <c r="O49" s="7">
        <f>SUM(L49:N49)</f>
        <v>178.98070000000001</v>
      </c>
      <c r="P49" s="7">
        <f>O49/9</f>
        <v>19.886744444444446</v>
      </c>
      <c r="S49" s="13" t="s">
        <v>43</v>
      </c>
      <c r="T49">
        <f>(I56^2)/(T46*T47*T48)</f>
        <v>10506.954399414557</v>
      </c>
    </row>
    <row r="50" spans="5:25" ht="15.75">
      <c r="E50" s="20" t="s">
        <v>4</v>
      </c>
      <c r="F50" s="46">
        <f t="shared" si="29"/>
        <v>30.358645000000003</v>
      </c>
      <c r="G50" s="43">
        <f t="shared" si="30"/>
        <v>7.8436750000000002</v>
      </c>
      <c r="H50" s="43">
        <f t="shared" si="31"/>
        <v>14.964485</v>
      </c>
      <c r="I50" s="43">
        <f t="shared" si="32"/>
        <v>53.166804999999997</v>
      </c>
      <c r="J50" s="43">
        <f t="shared" si="33"/>
        <v>17.722268333333332</v>
      </c>
      <c r="K50" s="22">
        <v>2</v>
      </c>
      <c r="L50" s="7">
        <f>I48</f>
        <v>61.767045000000003</v>
      </c>
      <c r="M50" s="7">
        <f>I51</f>
        <v>59.800649999999997</v>
      </c>
      <c r="N50" s="7">
        <f>I54</f>
        <v>52.605732500000002</v>
      </c>
      <c r="O50" s="7">
        <f t="shared" ref="O50:O51" si="34">SUM(L50:N50)</f>
        <v>174.1734275</v>
      </c>
      <c r="P50" s="7">
        <f t="shared" ref="P50:P51" si="35">O50/9</f>
        <v>19.352603055555555</v>
      </c>
    </row>
    <row r="51" spans="5:25" ht="15.75">
      <c r="E51" s="20" t="s">
        <v>7</v>
      </c>
      <c r="F51" s="46">
        <f t="shared" si="29"/>
        <v>32.463209999999997</v>
      </c>
      <c r="G51" s="43">
        <f t="shared" si="30"/>
        <v>7.1208099999999996</v>
      </c>
      <c r="H51" s="43">
        <f t="shared" si="31"/>
        <v>20.216630000000002</v>
      </c>
      <c r="I51" s="43">
        <f t="shared" si="32"/>
        <v>59.800649999999997</v>
      </c>
      <c r="J51" s="43">
        <f t="shared" si="33"/>
        <v>19.93355</v>
      </c>
      <c r="K51" s="23">
        <v>3</v>
      </c>
      <c r="L51" s="7">
        <f>I49</f>
        <v>54.519859999999994</v>
      </c>
      <c r="M51" s="7">
        <f>I52</f>
        <v>65.032574999999994</v>
      </c>
      <c r="N51" s="7">
        <f>I55</f>
        <v>59.916915000000003</v>
      </c>
      <c r="O51" s="7">
        <f t="shared" si="34"/>
        <v>179.46934999999999</v>
      </c>
      <c r="P51" s="7">
        <f t="shared" si="35"/>
        <v>19.941038888888887</v>
      </c>
      <c r="R51" s="49" t="s">
        <v>44</v>
      </c>
      <c r="S51" s="49" t="s">
        <v>45</v>
      </c>
      <c r="T51" s="50" t="s">
        <v>46</v>
      </c>
      <c r="U51" s="51" t="s">
        <v>47</v>
      </c>
      <c r="V51" s="51" t="s">
        <v>48</v>
      </c>
      <c r="W51" s="51"/>
      <c r="X51" s="51" t="s">
        <v>49</v>
      </c>
      <c r="Y51" s="51" t="s">
        <v>50</v>
      </c>
    </row>
    <row r="52" spans="5:25" ht="15.75">
      <c r="E52" s="20" t="s">
        <v>8</v>
      </c>
      <c r="F52" s="46">
        <f t="shared" si="29"/>
        <v>23.935424999999999</v>
      </c>
      <c r="G52" s="43">
        <f t="shared" si="30"/>
        <v>14.87518</v>
      </c>
      <c r="H52" s="43">
        <f t="shared" si="31"/>
        <v>26.221969999999999</v>
      </c>
      <c r="I52" s="43">
        <f t="shared" si="32"/>
        <v>65.032574999999994</v>
      </c>
      <c r="J52" s="43">
        <f t="shared" si="33"/>
        <v>21.677524999999999</v>
      </c>
      <c r="K52" t="s">
        <v>14</v>
      </c>
      <c r="L52" s="7">
        <f>SUM(L49:L51)</f>
        <v>195.48358999999999</v>
      </c>
      <c r="M52" s="7">
        <f t="shared" ref="M52:N52" si="36">SUM(M49:M51)</f>
        <v>178.00002999999998</v>
      </c>
      <c r="N52" s="7">
        <f t="shared" si="36"/>
        <v>159.13985750000001</v>
      </c>
      <c r="O52" s="7"/>
      <c r="P52" s="7"/>
      <c r="R52" s="24" t="s">
        <v>36</v>
      </c>
      <c r="S52" s="24">
        <v>2</v>
      </c>
      <c r="T52" s="31">
        <f>SUMSQ(F56:H56)/(T47*T48)-T49</f>
        <v>551.30979677847972</v>
      </c>
      <c r="U52" s="31">
        <f>T52/S52</f>
        <v>275.65489838923986</v>
      </c>
      <c r="V52" s="31">
        <f>U52/$U$57</f>
        <v>6.4174128099326939</v>
      </c>
      <c r="W52" s="31" t="str">
        <f>IF(V52&lt;X52,"tn",IF(V52&lt;Y52,"*","**"))</f>
        <v>**</v>
      </c>
      <c r="X52" s="31">
        <f>FINV(5%,$S52,$S$57)</f>
        <v>3.6337234676434944</v>
      </c>
      <c r="Y52" s="31">
        <f>FINV(1%,$S52,$S$57)</f>
        <v>6.2262352803748033</v>
      </c>
    </row>
    <row r="53" spans="5:25" ht="15.75">
      <c r="E53" s="20" t="s">
        <v>9</v>
      </c>
      <c r="F53" s="46">
        <f t="shared" si="29"/>
        <v>23.829270000000001</v>
      </c>
      <c r="G53" s="43">
        <f t="shared" si="30"/>
        <v>5.6666549999999996</v>
      </c>
      <c r="H53" s="43">
        <f t="shared" si="31"/>
        <v>17.121285</v>
      </c>
      <c r="I53" s="43">
        <f t="shared" si="32"/>
        <v>46.61721</v>
      </c>
      <c r="J53" s="43">
        <f t="shared" si="33"/>
        <v>15.539070000000001</v>
      </c>
      <c r="K53" t="s">
        <v>2</v>
      </c>
      <c r="L53" s="7">
        <f>L52/9</f>
        <v>21.720398888888887</v>
      </c>
      <c r="M53" s="7">
        <f t="shared" ref="M53:N53" si="37">M52/9</f>
        <v>19.777781111111111</v>
      </c>
      <c r="N53" s="7">
        <f t="shared" si="37"/>
        <v>17.68220638888889</v>
      </c>
      <c r="O53" s="7"/>
      <c r="P53" s="7"/>
      <c r="R53" s="24" t="s">
        <v>0</v>
      </c>
      <c r="S53" s="24">
        <v>8</v>
      </c>
      <c r="T53" s="31">
        <f>SUMSQ(I47:I55)/T46-T49</f>
        <v>233.8204892737358</v>
      </c>
      <c r="U53" s="31">
        <f t="shared" ref="U53:U57" si="38">T53/S53</f>
        <v>29.227561159216975</v>
      </c>
      <c r="V53" s="31">
        <f t="shared" ref="V53:V56" si="39">U53/$U$57</f>
        <v>0.68043530690826959</v>
      </c>
      <c r="W53" s="31" t="str">
        <f t="shared" ref="W53:W56" si="40">IF(V53&lt;X53,"tn",IF(V53&lt;Y53,"*","**"))</f>
        <v>tn</v>
      </c>
      <c r="X53" s="31">
        <f t="shared" ref="X53:X56" si="41">FINV(5%,$S53,$S$57)</f>
        <v>2.5910961799713066</v>
      </c>
      <c r="Y53" s="31">
        <f t="shared" ref="Y53:Y56" si="42">FINV(1%,$S53,$S$57)</f>
        <v>3.8895721400399905</v>
      </c>
    </row>
    <row r="54" spans="5:25" ht="15.75">
      <c r="E54" s="20" t="s">
        <v>10</v>
      </c>
      <c r="F54" s="46">
        <f t="shared" si="29"/>
        <v>20.203150000000001</v>
      </c>
      <c r="G54" s="43">
        <f t="shared" si="30"/>
        <v>13.569305</v>
      </c>
      <c r="H54" s="43">
        <f t="shared" si="31"/>
        <v>18.833277500000001</v>
      </c>
      <c r="I54" s="43">
        <f t="shared" si="32"/>
        <v>52.605732500000002</v>
      </c>
      <c r="J54" s="43">
        <f t="shared" si="33"/>
        <v>17.535244166666669</v>
      </c>
      <c r="R54" s="24" t="s">
        <v>51</v>
      </c>
      <c r="S54" s="24">
        <v>2</v>
      </c>
      <c r="T54" s="31">
        <f>SUMSQ(O49:O51)/(T46*T48)-T49</f>
        <v>1.9035349199148186</v>
      </c>
      <c r="U54" s="31">
        <f t="shared" si="38"/>
        <v>0.9517674599574093</v>
      </c>
      <c r="V54" s="31">
        <f t="shared" si="39"/>
        <v>2.2157722301684304E-2</v>
      </c>
      <c r="W54" s="31" t="str">
        <f t="shared" si="40"/>
        <v>tn</v>
      </c>
      <c r="X54" s="31">
        <f t="shared" si="41"/>
        <v>3.6337234676434944</v>
      </c>
      <c r="Y54" s="31">
        <f t="shared" si="42"/>
        <v>6.2262352803748033</v>
      </c>
    </row>
    <row r="55" spans="5:25" ht="15.75">
      <c r="E55" s="20" t="s">
        <v>11</v>
      </c>
      <c r="F55" s="46">
        <f t="shared" si="29"/>
        <v>21.642140000000001</v>
      </c>
      <c r="G55" s="43">
        <f t="shared" si="30"/>
        <v>13.072229999999999</v>
      </c>
      <c r="H55" s="43">
        <f t="shared" si="31"/>
        <v>25.202545000000001</v>
      </c>
      <c r="I55" s="43">
        <f>SUM(F55:H55)</f>
        <v>59.916915000000003</v>
      </c>
      <c r="J55" s="43">
        <f t="shared" si="33"/>
        <v>19.972305000000002</v>
      </c>
      <c r="R55" s="24" t="s">
        <v>26</v>
      </c>
      <c r="S55" s="24">
        <v>2</v>
      </c>
      <c r="T55" s="31">
        <f>SUMSQ(L52:N52)/(T46*T47)-T49</f>
        <v>73.41658774203097</v>
      </c>
      <c r="U55" s="31">
        <f t="shared" si="38"/>
        <v>36.708293871015485</v>
      </c>
      <c r="V55" s="31">
        <f t="shared" si="39"/>
        <v>0.85459129039668869</v>
      </c>
      <c r="W55" s="31" t="str">
        <f>IF(V55&lt;X55,"tn",IF(V55&lt;Y55,"*","**"))</f>
        <v>tn</v>
      </c>
      <c r="X55" s="31">
        <f t="shared" si="41"/>
        <v>3.6337234676434944</v>
      </c>
      <c r="Y55" s="31">
        <f t="shared" si="42"/>
        <v>6.2262352803748033</v>
      </c>
    </row>
    <row r="56" spans="5:25" ht="15.75">
      <c r="E56" s="47" t="s">
        <v>42</v>
      </c>
      <c r="F56" s="48">
        <f>SUM(F47:F55)</f>
        <v>222.28857000000002</v>
      </c>
      <c r="G56" s="48">
        <f t="shared" ref="G56:J56" si="43">SUM(G47:G55)</f>
        <v>123.87614500000002</v>
      </c>
      <c r="H56" s="48">
        <f t="shared" si="43"/>
        <v>186.45876249999998</v>
      </c>
      <c r="I56" s="48">
        <f t="shared" si="43"/>
        <v>532.62347750000004</v>
      </c>
      <c r="J56" s="48">
        <f t="shared" si="43"/>
        <v>177.54115916666669</v>
      </c>
      <c r="R56" s="24" t="s">
        <v>38</v>
      </c>
      <c r="S56" s="24">
        <v>4</v>
      </c>
      <c r="T56" s="31">
        <f>T53-T54-T55</f>
        <v>158.50036661179001</v>
      </c>
      <c r="U56" s="31">
        <f t="shared" si="38"/>
        <v>39.625091652947503</v>
      </c>
      <c r="V56" s="31">
        <f t="shared" si="39"/>
        <v>0.92249610746735267</v>
      </c>
      <c r="W56" s="31" t="str">
        <f t="shared" si="40"/>
        <v>tn</v>
      </c>
      <c r="X56" s="31">
        <f t="shared" si="41"/>
        <v>3.006917279999981</v>
      </c>
      <c r="Y56" s="31">
        <f t="shared" si="42"/>
        <v>4.7725779998133984</v>
      </c>
    </row>
    <row r="57" spans="5:25" ht="15.75">
      <c r="E57" s="47" t="s">
        <v>79</v>
      </c>
      <c r="F57" s="44">
        <f>AVERAGE(F47:F55)</f>
        <v>24.698730000000001</v>
      </c>
      <c r="G57" s="44">
        <f t="shared" ref="G57:H57" si="44">AVERAGE(G47:G55)</f>
        <v>13.764016111111113</v>
      </c>
      <c r="H57" s="44">
        <f t="shared" si="44"/>
        <v>20.717640277777775</v>
      </c>
      <c r="I57" s="33"/>
      <c r="J57" s="44">
        <f>J56/9</f>
        <v>19.726795462962965</v>
      </c>
      <c r="R57" s="24" t="s">
        <v>39</v>
      </c>
      <c r="S57" s="24">
        <v>16</v>
      </c>
      <c r="T57" s="31">
        <f>T58-T53-T52</f>
        <v>687.26736223068292</v>
      </c>
      <c r="U57" s="31">
        <f t="shared" si="38"/>
        <v>42.954210139417683</v>
      </c>
      <c r="V57" s="25"/>
      <c r="W57" s="25"/>
      <c r="X57" s="25"/>
      <c r="Y57" s="26"/>
    </row>
    <row r="58" spans="5:25">
      <c r="R58" s="1" t="s">
        <v>14</v>
      </c>
      <c r="S58" s="1">
        <v>26</v>
      </c>
      <c r="T58" s="52">
        <f>SUMSQ(F47:H55)-T49</f>
        <v>1472.3976482828984</v>
      </c>
      <c r="U58" s="27"/>
      <c r="V58" s="27"/>
      <c r="W58" s="27"/>
      <c r="X58" s="27"/>
      <c r="Y58" s="28"/>
    </row>
    <row r="59" spans="5:25">
      <c r="R59" s="1"/>
      <c r="S59" s="1"/>
      <c r="T59" s="1"/>
      <c r="U59" s="1"/>
      <c r="V59" s="1"/>
      <c r="W59" s="1"/>
      <c r="X59" s="1"/>
      <c r="Y59" s="1"/>
    </row>
  </sheetData>
  <mergeCells count="37">
    <mergeCell ref="K47:K48"/>
    <mergeCell ref="L47:N47"/>
    <mergeCell ref="O47:O48"/>
    <mergeCell ref="P47:P48"/>
    <mergeCell ref="F32:I32"/>
    <mergeCell ref="M32:P32"/>
    <mergeCell ref="T32:W32"/>
    <mergeCell ref="E45:E46"/>
    <mergeCell ref="F45:H45"/>
    <mergeCell ref="I45:I46"/>
    <mergeCell ref="J45:J46"/>
    <mergeCell ref="G17:G18"/>
    <mergeCell ref="H17:H18"/>
    <mergeCell ref="C17:C18"/>
    <mergeCell ref="D17:F17"/>
    <mergeCell ref="C3:C4"/>
    <mergeCell ref="D3:G3"/>
    <mergeCell ref="J3:J4"/>
    <mergeCell ref="K3:N3"/>
    <mergeCell ref="Q3:Q4"/>
    <mergeCell ref="R3:U3"/>
    <mergeCell ref="J18:K18"/>
    <mergeCell ref="K19:M19"/>
    <mergeCell ref="J19:J20"/>
    <mergeCell ref="N19:N20"/>
    <mergeCell ref="O19:O20"/>
    <mergeCell ref="Q21:R21"/>
    <mergeCell ref="AB30:AB31"/>
    <mergeCell ref="AC30:AC31"/>
    <mergeCell ref="AD30:AD31"/>
    <mergeCell ref="AE30:AE31"/>
    <mergeCell ref="AF30:AF31"/>
    <mergeCell ref="AB36:AB37"/>
    <mergeCell ref="AC36:AC37"/>
    <mergeCell ref="AD36:AD37"/>
    <mergeCell ref="AE36:AE37"/>
    <mergeCell ref="AF36:AF37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5:Z31"/>
  <sheetViews>
    <sheetView topLeftCell="G10" workbookViewId="0">
      <selection activeCell="O30" sqref="O30"/>
    </sheetView>
  </sheetViews>
  <sheetFormatPr defaultRowHeight="15"/>
  <cols>
    <col min="19" max="19" width="10.140625" customWidth="1"/>
    <col min="21" max="21" width="11.140625" customWidth="1"/>
  </cols>
  <sheetData>
    <row r="5" spans="3:22">
      <c r="C5" s="70" t="s">
        <v>0</v>
      </c>
      <c r="D5" s="69" t="s">
        <v>12</v>
      </c>
      <c r="E5" s="69"/>
      <c r="F5" s="69"/>
      <c r="G5" s="69"/>
      <c r="H5" s="2" t="s">
        <v>2</v>
      </c>
      <c r="J5" s="70" t="s">
        <v>0</v>
      </c>
      <c r="K5" s="69" t="s">
        <v>12</v>
      </c>
      <c r="L5" s="69"/>
      <c r="M5" s="69"/>
      <c r="N5" s="69"/>
      <c r="O5" s="2" t="s">
        <v>2</v>
      </c>
      <c r="Q5" s="70" t="s">
        <v>0</v>
      </c>
      <c r="R5" s="69" t="s">
        <v>12</v>
      </c>
      <c r="S5" s="69"/>
      <c r="T5" s="69"/>
      <c r="U5" s="69"/>
      <c r="V5" s="2" t="s">
        <v>2</v>
      </c>
    </row>
    <row r="6" spans="3:22">
      <c r="C6" s="71"/>
      <c r="D6" s="1">
        <v>1</v>
      </c>
      <c r="E6" s="1">
        <v>2</v>
      </c>
      <c r="F6" s="1">
        <v>3</v>
      </c>
      <c r="G6" s="1">
        <v>4</v>
      </c>
      <c r="H6" s="1"/>
      <c r="J6" s="71"/>
      <c r="K6" s="1">
        <v>1</v>
      </c>
      <c r="L6" s="1">
        <v>2</v>
      </c>
      <c r="M6" s="1">
        <v>3</v>
      </c>
      <c r="N6" s="1">
        <v>4</v>
      </c>
      <c r="O6" s="1"/>
      <c r="Q6" s="71"/>
      <c r="R6" s="1">
        <v>1</v>
      </c>
      <c r="S6" s="1">
        <v>2</v>
      </c>
      <c r="T6" s="1">
        <v>3</v>
      </c>
      <c r="U6" s="1">
        <v>4</v>
      </c>
      <c r="V6" s="1"/>
    </row>
    <row r="7" spans="3:22">
      <c r="C7" t="s">
        <v>3</v>
      </c>
      <c r="D7" s="3">
        <v>62.561</v>
      </c>
      <c r="E7" s="3">
        <v>41.99</v>
      </c>
      <c r="F7" s="3">
        <v>49.012999999999998</v>
      </c>
      <c r="G7" s="3">
        <v>123.52</v>
      </c>
      <c r="H7" s="3">
        <f>AVERAGE(D7:G7)</f>
        <v>69.271000000000001</v>
      </c>
      <c r="J7" t="s">
        <v>3</v>
      </c>
      <c r="K7" s="3">
        <v>21.231000000000002</v>
      </c>
      <c r="L7" s="3">
        <v>16.9848</v>
      </c>
      <c r="M7" s="3">
        <v>29.925599999999999</v>
      </c>
      <c r="N7" s="3">
        <v>630.33000000000004</v>
      </c>
      <c r="O7" s="3">
        <f>AVERAGE(K7:N7)</f>
        <v>174.61785</v>
      </c>
      <c r="Q7" t="s">
        <v>3</v>
      </c>
      <c r="R7" s="3">
        <v>39.226799999999997</v>
      </c>
      <c r="S7" s="3">
        <v>53.704000000000001</v>
      </c>
      <c r="T7" s="3">
        <v>126.1728</v>
      </c>
      <c r="U7" s="3">
        <v>60.598999999999997</v>
      </c>
      <c r="V7" s="3">
        <f>AVERAGE(R7:U7)</f>
        <v>69.925650000000005</v>
      </c>
    </row>
    <row r="8" spans="3:22">
      <c r="C8" t="s">
        <v>5</v>
      </c>
      <c r="D8" s="3">
        <v>27.297000000000001</v>
      </c>
      <c r="E8" s="3">
        <v>20.91</v>
      </c>
      <c r="F8" s="3">
        <v>39.488999999999997</v>
      </c>
      <c r="G8" s="3">
        <v>56.501399999999997</v>
      </c>
      <c r="H8" s="3">
        <f t="shared" ref="H8:H15" si="0">AVERAGE(D8:G8)</f>
        <v>36.049349999999997</v>
      </c>
      <c r="J8" t="s">
        <v>5</v>
      </c>
      <c r="K8" s="3">
        <v>42.462000000000003</v>
      </c>
      <c r="L8" s="3">
        <v>35.519799999999996</v>
      </c>
      <c r="M8" s="3">
        <v>16.175999999999998</v>
      </c>
      <c r="N8" s="3">
        <v>60.895899999999997</v>
      </c>
      <c r="O8" s="3">
        <f t="shared" ref="O8:O15" si="1">AVERAGE(K8:N8)</f>
        <v>38.763424999999998</v>
      </c>
      <c r="Q8" t="s">
        <v>5</v>
      </c>
      <c r="R8" s="3">
        <v>35.587200000000003</v>
      </c>
      <c r="S8" s="3">
        <v>56.776000000000003</v>
      </c>
      <c r="T8" s="3">
        <v>41.996940000000002</v>
      </c>
      <c r="U8" s="3">
        <v>46.29</v>
      </c>
      <c r="V8" s="3">
        <f t="shared" ref="V8:V15" si="2">AVERAGE(R8:U8)</f>
        <v>45.162534999999998</v>
      </c>
    </row>
    <row r="9" spans="3:22">
      <c r="C9" t="s">
        <v>6</v>
      </c>
      <c r="D9" s="3">
        <v>76.228999999999999</v>
      </c>
      <c r="E9" s="3">
        <v>28.648499999999999</v>
      </c>
      <c r="F9" s="3">
        <v>50.414999999999999</v>
      </c>
      <c r="G9" s="3">
        <v>50.55</v>
      </c>
      <c r="H9" s="3">
        <f t="shared" si="0"/>
        <v>51.460624999999993</v>
      </c>
      <c r="J9" t="s">
        <v>6</v>
      </c>
      <c r="K9" s="3">
        <v>56.776000000000003</v>
      </c>
      <c r="L9" s="3">
        <v>32.2104</v>
      </c>
      <c r="M9" s="3">
        <v>38.755000000000003</v>
      </c>
      <c r="N9" s="3">
        <v>32.945099999999996</v>
      </c>
      <c r="O9" s="3">
        <f t="shared" si="1"/>
        <v>40.171624999999999</v>
      </c>
      <c r="Q9" t="s">
        <v>6</v>
      </c>
      <c r="R9" s="3">
        <v>28.308</v>
      </c>
      <c r="S9" s="3">
        <v>16.3108</v>
      </c>
      <c r="T9" s="3">
        <v>19.411000000000001</v>
      </c>
      <c r="U9" s="3">
        <v>20.624400000000001</v>
      </c>
      <c r="V9" s="3">
        <f t="shared" si="2"/>
        <v>21.163550000000001</v>
      </c>
    </row>
    <row r="10" spans="3:22">
      <c r="C10" t="s">
        <v>4</v>
      </c>
      <c r="D10" s="3">
        <v>41.37</v>
      </c>
      <c r="E10" s="3">
        <v>58.395000000000003</v>
      </c>
      <c r="F10" s="3">
        <v>81.891000000000005</v>
      </c>
      <c r="G10" s="3">
        <v>89.379000000000005</v>
      </c>
      <c r="H10" s="3">
        <f t="shared" si="0"/>
        <v>67.758750000000006</v>
      </c>
      <c r="J10" t="s">
        <v>4</v>
      </c>
      <c r="K10" s="3">
        <v>30.491759999999999</v>
      </c>
      <c r="L10" s="3">
        <v>14.82</v>
      </c>
      <c r="M10" s="3">
        <v>23.354099999999999</v>
      </c>
      <c r="N10" s="3">
        <v>27.297000000000001</v>
      </c>
      <c r="O10" s="3">
        <f t="shared" si="1"/>
        <v>23.990714999999998</v>
      </c>
      <c r="Q10" t="s">
        <v>4</v>
      </c>
      <c r="R10" s="3">
        <v>38.417999999999999</v>
      </c>
      <c r="S10" s="3">
        <v>107.995</v>
      </c>
      <c r="T10" s="3">
        <v>43.978000000000002</v>
      </c>
      <c r="U10" s="3">
        <v>59.682699999999997</v>
      </c>
      <c r="V10" s="3">
        <f t="shared" si="2"/>
        <v>62.518425000000008</v>
      </c>
    </row>
    <row r="11" spans="3:22">
      <c r="C11" t="s">
        <v>7</v>
      </c>
      <c r="D11" s="3">
        <v>94.813800000000001</v>
      </c>
      <c r="E11" s="3">
        <v>54.459000000000003</v>
      </c>
      <c r="F11" s="3">
        <v>56.346400000000003</v>
      </c>
      <c r="G11" s="3">
        <v>48.042720000000003</v>
      </c>
      <c r="H11" s="3">
        <f t="shared" si="0"/>
        <v>63.415480000000009</v>
      </c>
      <c r="J11" t="s">
        <v>7</v>
      </c>
      <c r="K11" s="3">
        <v>11.862399999999999</v>
      </c>
      <c r="L11" s="3">
        <v>12.132</v>
      </c>
      <c r="M11" s="3">
        <v>16.209299999999999</v>
      </c>
      <c r="N11" s="3">
        <v>29.655999999999999</v>
      </c>
      <c r="O11" s="3">
        <f t="shared" si="1"/>
        <v>17.464925000000001</v>
      </c>
      <c r="Q11" t="s">
        <v>7</v>
      </c>
      <c r="R11" s="3">
        <v>48.123600000000003</v>
      </c>
      <c r="S11" s="3">
        <v>42.462000000000003</v>
      </c>
      <c r="T11" s="3">
        <v>39.186</v>
      </c>
      <c r="U11" s="3">
        <v>66.523799999999994</v>
      </c>
      <c r="V11" s="3">
        <f t="shared" si="2"/>
        <v>49.07385</v>
      </c>
    </row>
    <row r="12" spans="3:22">
      <c r="C12" t="s">
        <v>8</v>
      </c>
      <c r="D12" s="3">
        <v>53.582999999999998</v>
      </c>
      <c r="E12" s="3">
        <v>48.628999999999998</v>
      </c>
      <c r="F12" s="3">
        <v>55.86</v>
      </c>
      <c r="G12" s="3">
        <v>33.214700000000001</v>
      </c>
      <c r="H12" s="3">
        <f t="shared" si="0"/>
        <v>47.821674999999999</v>
      </c>
      <c r="J12" t="s">
        <v>8</v>
      </c>
      <c r="K12" s="3">
        <v>10.784000000000001</v>
      </c>
      <c r="L12" s="3">
        <v>30.734400000000001</v>
      </c>
      <c r="M12" s="3">
        <v>32.351999999999997</v>
      </c>
      <c r="N12" s="3">
        <v>49.033499999999997</v>
      </c>
      <c r="O12" s="3">
        <f t="shared" si="1"/>
        <v>30.725974999999998</v>
      </c>
      <c r="Q12" t="s">
        <v>8</v>
      </c>
      <c r="R12" s="3">
        <v>44.82</v>
      </c>
      <c r="S12" s="3">
        <v>49.539000000000001</v>
      </c>
      <c r="T12" s="3">
        <v>49.741199999999999</v>
      </c>
      <c r="U12" s="3">
        <v>77.894000000000005</v>
      </c>
      <c r="V12" s="3">
        <f t="shared" si="2"/>
        <v>55.498550000000002</v>
      </c>
    </row>
    <row r="13" spans="3:22">
      <c r="C13" t="s">
        <v>9</v>
      </c>
      <c r="D13" s="3">
        <v>26.6904</v>
      </c>
      <c r="E13" s="3">
        <v>52.410200000000003</v>
      </c>
      <c r="F13" s="3">
        <v>54.835999999999999</v>
      </c>
      <c r="G13" s="3">
        <v>47.314799999999998</v>
      </c>
      <c r="H13" s="3">
        <f t="shared" si="0"/>
        <v>45.312849999999997</v>
      </c>
      <c r="J13" t="s">
        <v>9</v>
      </c>
      <c r="K13" s="3">
        <v>4.2462</v>
      </c>
      <c r="L13" s="3">
        <v>10.11</v>
      </c>
      <c r="M13" s="3">
        <v>26.89</v>
      </c>
      <c r="N13" s="3">
        <v>7.5824999999999996</v>
      </c>
      <c r="O13" s="3">
        <f t="shared" si="1"/>
        <v>12.207174999999999</v>
      </c>
      <c r="Q13" t="s">
        <v>9</v>
      </c>
      <c r="R13" s="3">
        <v>67.784000000000006</v>
      </c>
      <c r="S13" s="3">
        <v>42.805</v>
      </c>
      <c r="T13" s="3">
        <v>54.2637</v>
      </c>
      <c r="U13" s="3">
        <v>32.351999999999997</v>
      </c>
      <c r="V13" s="3">
        <f t="shared" si="2"/>
        <v>49.301175000000001</v>
      </c>
    </row>
    <row r="14" spans="3:22">
      <c r="C14" t="s">
        <v>10</v>
      </c>
      <c r="D14" s="3">
        <v>51.223999999999997</v>
      </c>
      <c r="E14" s="3">
        <v>55.604999999999997</v>
      </c>
      <c r="F14" s="3">
        <v>53.313400000000001</v>
      </c>
      <c r="G14" s="3">
        <v>53.777999999999999</v>
      </c>
      <c r="H14" s="3">
        <f>AVERAGE(D14:G14)</f>
        <v>53.4801</v>
      </c>
      <c r="J14" t="s">
        <v>10</v>
      </c>
      <c r="K14" s="3">
        <v>21.837599999999998</v>
      </c>
      <c r="L14" s="3">
        <v>30.397400000000001</v>
      </c>
      <c r="M14" s="3">
        <v>15.0976</v>
      </c>
      <c r="N14" s="3">
        <v>28.5776</v>
      </c>
      <c r="O14" s="3">
        <f t="shared" si="1"/>
        <v>23.977550000000001</v>
      </c>
      <c r="Q14" t="s">
        <v>10</v>
      </c>
      <c r="R14" s="3">
        <v>60.39</v>
      </c>
      <c r="S14" s="3">
        <v>13.48</v>
      </c>
      <c r="T14" s="3">
        <v>60.053400000000003</v>
      </c>
      <c r="U14" s="3">
        <v>31.885999999999999</v>
      </c>
      <c r="V14" s="3">
        <f t="shared" si="2"/>
        <v>41.452350000000003</v>
      </c>
    </row>
    <row r="15" spans="3:22">
      <c r="C15" t="s">
        <v>11</v>
      </c>
      <c r="D15" s="3">
        <v>46.040999999999997</v>
      </c>
      <c r="E15" s="3">
        <v>40.844000000000001</v>
      </c>
      <c r="F15" s="3">
        <v>69.219800000000006</v>
      </c>
      <c r="G15" s="3">
        <v>98.578999999999994</v>
      </c>
      <c r="H15" s="3">
        <f t="shared" si="0"/>
        <v>63.670950000000005</v>
      </c>
      <c r="J15" t="s">
        <v>11</v>
      </c>
      <c r="K15" s="3">
        <v>37.238500000000002</v>
      </c>
      <c r="L15" s="3">
        <v>20.1526</v>
      </c>
      <c r="M15" s="3">
        <v>17.739000000000001</v>
      </c>
      <c r="N15" s="3">
        <v>21.231000000000002</v>
      </c>
      <c r="O15" s="3">
        <f t="shared" si="1"/>
        <v>24.090274999999998</v>
      </c>
      <c r="Q15" t="s">
        <v>11</v>
      </c>
      <c r="R15" s="3">
        <v>32.067999999999998</v>
      </c>
      <c r="S15" s="3">
        <v>30.026</v>
      </c>
      <c r="T15" s="3">
        <v>31.81</v>
      </c>
      <c r="U15" s="3">
        <v>47.517000000000003</v>
      </c>
      <c r="V15" s="3">
        <f t="shared" si="2"/>
        <v>35.355249999999998</v>
      </c>
    </row>
    <row r="18" spans="6:26" ht="15.75">
      <c r="F18" s="75" t="s">
        <v>0</v>
      </c>
      <c r="G18" s="77" t="s">
        <v>1</v>
      </c>
      <c r="H18" s="77"/>
      <c r="I18" s="77"/>
      <c r="J18" s="78" t="s">
        <v>14</v>
      </c>
      <c r="K18" s="70" t="s">
        <v>79</v>
      </c>
      <c r="L18" s="64"/>
      <c r="M18" s="17"/>
      <c r="N18" s="17"/>
      <c r="O18" s="17"/>
      <c r="P18" s="64"/>
      <c r="Q18" s="17"/>
      <c r="R18" s="17"/>
      <c r="S18" s="17"/>
      <c r="T18" s="18"/>
      <c r="U18" s="19"/>
      <c r="V18" s="19"/>
      <c r="W18" s="19"/>
      <c r="X18" s="19"/>
      <c r="Y18" s="19"/>
      <c r="Z18" s="19"/>
    </row>
    <row r="19" spans="6:26" ht="15.75">
      <c r="F19" s="76"/>
      <c r="G19" s="45">
        <v>1</v>
      </c>
      <c r="H19" s="45">
        <v>2</v>
      </c>
      <c r="I19" s="45">
        <v>3</v>
      </c>
      <c r="J19" s="79"/>
      <c r="K19" s="71"/>
      <c r="L19" s="20"/>
      <c r="M19" s="13" t="s">
        <v>83</v>
      </c>
      <c r="N19" s="13"/>
      <c r="O19" s="13"/>
      <c r="P19" s="13"/>
      <c r="T19" s="13" t="s">
        <v>25</v>
      </c>
      <c r="U19">
        <v>3</v>
      </c>
    </row>
    <row r="20" spans="6:26" ht="15.75">
      <c r="F20" s="20" t="s">
        <v>3</v>
      </c>
      <c r="G20" s="46">
        <f t="shared" ref="G20:G28" si="3">H7</f>
        <v>69.271000000000001</v>
      </c>
      <c r="H20" s="43">
        <f t="shared" ref="H20:H28" si="4">O7</f>
        <v>174.61785</v>
      </c>
      <c r="I20" s="43">
        <f t="shared" ref="I20:I28" si="5">V7</f>
        <v>69.925650000000005</v>
      </c>
      <c r="J20" s="43">
        <f>SUM(G20:I20)</f>
        <v>313.81450000000001</v>
      </c>
      <c r="K20" s="43">
        <f>J20/3</f>
        <v>104.60483333333333</v>
      </c>
      <c r="L20" s="80" t="s">
        <v>19</v>
      </c>
      <c r="M20" s="82" t="s">
        <v>20</v>
      </c>
      <c r="N20" s="82"/>
      <c r="O20" s="82"/>
      <c r="P20" s="80" t="s">
        <v>14</v>
      </c>
      <c r="Q20" s="70" t="s">
        <v>2</v>
      </c>
      <c r="T20" s="13" t="s">
        <v>19</v>
      </c>
      <c r="U20">
        <v>3</v>
      </c>
    </row>
    <row r="21" spans="6:26" ht="15.75">
      <c r="F21" s="20" t="s">
        <v>5</v>
      </c>
      <c r="G21" s="46">
        <f t="shared" si="3"/>
        <v>36.049349999999997</v>
      </c>
      <c r="H21" s="43">
        <f t="shared" si="4"/>
        <v>38.763424999999998</v>
      </c>
      <c r="I21" s="43">
        <f t="shared" si="5"/>
        <v>45.162534999999998</v>
      </c>
      <c r="J21" s="43">
        <f t="shared" ref="J21:J27" si="6">SUM(G21:I21)</f>
        <v>119.97530999999998</v>
      </c>
      <c r="K21" s="43">
        <f t="shared" ref="K21:K29" si="7">J21/3</f>
        <v>39.991769999999995</v>
      </c>
      <c r="L21" s="81"/>
      <c r="M21" s="21">
        <v>1</v>
      </c>
      <c r="N21" s="21">
        <v>2</v>
      </c>
      <c r="O21" s="21">
        <v>3</v>
      </c>
      <c r="P21" s="81"/>
      <c r="Q21" s="71"/>
      <c r="T21" s="13" t="s">
        <v>26</v>
      </c>
      <c r="U21">
        <v>3</v>
      </c>
    </row>
    <row r="22" spans="6:26" ht="15.75">
      <c r="F22" s="20" t="s">
        <v>6</v>
      </c>
      <c r="G22" s="46">
        <f t="shared" si="3"/>
        <v>51.460624999999993</v>
      </c>
      <c r="H22" s="43">
        <f t="shared" si="4"/>
        <v>40.171624999999999</v>
      </c>
      <c r="I22" s="43">
        <f t="shared" si="5"/>
        <v>21.163550000000001</v>
      </c>
      <c r="J22" s="43">
        <f t="shared" si="6"/>
        <v>112.7958</v>
      </c>
      <c r="K22" s="43">
        <f t="shared" si="7"/>
        <v>37.598599999999998</v>
      </c>
      <c r="L22" s="22">
        <v>1</v>
      </c>
      <c r="M22" s="7">
        <f>J20</f>
        <v>313.81450000000001</v>
      </c>
      <c r="N22" s="7">
        <f>J23</f>
        <v>154.26789000000002</v>
      </c>
      <c r="O22" s="7">
        <f>J26</f>
        <v>106.8212</v>
      </c>
      <c r="P22" s="7">
        <f>SUM(M22:O22)</f>
        <v>574.90359000000001</v>
      </c>
      <c r="Q22" s="7">
        <f>P22/9</f>
        <v>63.878176666666668</v>
      </c>
      <c r="T22" s="13" t="s">
        <v>43</v>
      </c>
      <c r="U22">
        <f>(J29^2)/(U19*U20*U21)</f>
        <v>63918.961950542856</v>
      </c>
    </row>
    <row r="23" spans="6:26" ht="15.75">
      <c r="F23" s="20" t="s">
        <v>4</v>
      </c>
      <c r="G23" s="46">
        <f t="shared" si="3"/>
        <v>67.758750000000006</v>
      </c>
      <c r="H23" s="43">
        <f t="shared" si="4"/>
        <v>23.990714999999998</v>
      </c>
      <c r="I23" s="43">
        <f t="shared" si="5"/>
        <v>62.518425000000008</v>
      </c>
      <c r="J23" s="43">
        <f t="shared" si="6"/>
        <v>154.26789000000002</v>
      </c>
      <c r="K23" s="43">
        <f t="shared" si="7"/>
        <v>51.422630000000005</v>
      </c>
      <c r="L23" s="22">
        <v>2</v>
      </c>
      <c r="M23" s="7">
        <f>J21</f>
        <v>119.97530999999998</v>
      </c>
      <c r="N23" s="7">
        <f>J24</f>
        <v>129.95425500000002</v>
      </c>
      <c r="O23" s="7">
        <f>J27</f>
        <v>118.91</v>
      </c>
      <c r="P23" s="7">
        <f t="shared" ref="P23:P24" si="8">SUM(M23:O23)</f>
        <v>368.83956499999999</v>
      </c>
      <c r="Q23" s="7">
        <f t="shared" ref="Q23:Q24" si="9">P23/9</f>
        <v>40.982173888888887</v>
      </c>
    </row>
    <row r="24" spans="6:26" ht="15.75">
      <c r="F24" s="20" t="s">
        <v>7</v>
      </c>
      <c r="G24" s="46">
        <f t="shared" si="3"/>
        <v>63.415480000000009</v>
      </c>
      <c r="H24" s="43">
        <f t="shared" si="4"/>
        <v>17.464925000000001</v>
      </c>
      <c r="I24" s="43">
        <f t="shared" si="5"/>
        <v>49.07385</v>
      </c>
      <c r="J24" s="43">
        <f t="shared" si="6"/>
        <v>129.95425500000002</v>
      </c>
      <c r="K24" s="43">
        <f t="shared" si="7"/>
        <v>43.318085000000004</v>
      </c>
      <c r="L24" s="23">
        <v>3</v>
      </c>
      <c r="M24" s="7">
        <f>J22</f>
        <v>112.7958</v>
      </c>
      <c r="N24" s="7">
        <f>J25</f>
        <v>134.0462</v>
      </c>
      <c r="O24" s="7">
        <f>J28</f>
        <v>123.11647499999999</v>
      </c>
      <c r="P24" s="7">
        <f t="shared" si="8"/>
        <v>369.95847499999996</v>
      </c>
      <c r="Q24" s="7">
        <f t="shared" si="9"/>
        <v>41.106497222222217</v>
      </c>
      <c r="S24" s="49" t="s">
        <v>44</v>
      </c>
      <c r="T24" s="49" t="s">
        <v>45</v>
      </c>
      <c r="U24" s="49" t="s">
        <v>46</v>
      </c>
      <c r="V24" s="34" t="s">
        <v>47</v>
      </c>
      <c r="W24" s="34" t="s">
        <v>48</v>
      </c>
      <c r="X24" s="34"/>
      <c r="Y24" s="34" t="s">
        <v>49</v>
      </c>
      <c r="Z24" s="34" t="s">
        <v>50</v>
      </c>
    </row>
    <row r="25" spans="6:26" ht="15.75">
      <c r="F25" s="20" t="s">
        <v>8</v>
      </c>
      <c r="G25" s="46">
        <f t="shared" si="3"/>
        <v>47.821674999999999</v>
      </c>
      <c r="H25" s="43">
        <f t="shared" si="4"/>
        <v>30.725974999999998</v>
      </c>
      <c r="I25" s="43">
        <f t="shared" si="5"/>
        <v>55.498550000000002</v>
      </c>
      <c r="J25" s="43">
        <f t="shared" si="6"/>
        <v>134.0462</v>
      </c>
      <c r="K25" s="43">
        <f t="shared" si="7"/>
        <v>44.682066666666664</v>
      </c>
      <c r="L25" s="1" t="s">
        <v>14</v>
      </c>
      <c r="M25" s="89">
        <f>SUM(M22:M24)</f>
        <v>546.58560999999997</v>
      </c>
      <c r="N25" s="89">
        <f t="shared" ref="N25:O25" si="10">SUM(N22:N24)</f>
        <v>418.26834500000007</v>
      </c>
      <c r="O25" s="89">
        <f t="shared" si="10"/>
        <v>348.84767499999998</v>
      </c>
      <c r="P25" s="89"/>
      <c r="Q25" s="89"/>
      <c r="S25" s="24" t="s">
        <v>36</v>
      </c>
      <c r="T25" s="53">
        <v>2</v>
      </c>
      <c r="U25" s="54">
        <f>SUMSQ(G29:I29)/(U20*U21)-U22</f>
        <v>711.66801154891436</v>
      </c>
      <c r="V25" s="54">
        <f>U25/T25</f>
        <v>355.83400577445718</v>
      </c>
      <c r="W25" s="54">
        <f>V25/$V$30</f>
        <v>0.48147905589799078</v>
      </c>
      <c r="X25" s="54" t="str">
        <f>IF(W25&lt;Y25,"tn",IF(W25&lt;Z25,"*","**"))</f>
        <v>tn</v>
      </c>
      <c r="Y25" s="54">
        <f>FINV(5%,$T25,$T$30)</f>
        <v>3.6337234676434944</v>
      </c>
      <c r="Z25" s="54">
        <f>FINV(1%,$T25,$T$30)</f>
        <v>6.2262352803748033</v>
      </c>
    </row>
    <row r="26" spans="6:26" ht="15.75">
      <c r="F26" s="20" t="s">
        <v>9</v>
      </c>
      <c r="G26" s="46">
        <f t="shared" si="3"/>
        <v>45.312849999999997</v>
      </c>
      <c r="H26" s="43">
        <f t="shared" si="4"/>
        <v>12.207174999999999</v>
      </c>
      <c r="I26" s="43">
        <f t="shared" si="5"/>
        <v>49.301175000000001</v>
      </c>
      <c r="J26" s="43">
        <f t="shared" si="6"/>
        <v>106.8212</v>
      </c>
      <c r="K26" s="43">
        <f t="shared" si="7"/>
        <v>35.607066666666668</v>
      </c>
      <c r="L26" s="1" t="s">
        <v>2</v>
      </c>
      <c r="M26" s="89">
        <f>M25/9</f>
        <v>60.731734444444442</v>
      </c>
      <c r="N26" s="89">
        <f t="shared" ref="N26:O26" si="11">N25/9</f>
        <v>46.47426055555556</v>
      </c>
      <c r="O26" s="89">
        <f t="shared" si="11"/>
        <v>38.760852777777778</v>
      </c>
      <c r="P26" s="89"/>
      <c r="Q26" s="89"/>
      <c r="S26" s="24" t="s">
        <v>0</v>
      </c>
      <c r="T26" s="53">
        <v>8</v>
      </c>
      <c r="U26" s="54">
        <f>SUMSQ(J20:J28)/U19-U22</f>
        <v>11067.573121273439</v>
      </c>
      <c r="V26" s="54">
        <f t="shared" ref="V26:V30" si="12">U26/T26</f>
        <v>1383.4466401591799</v>
      </c>
      <c r="W26" s="54">
        <f t="shared" ref="W26:W29" si="13">V26/$V$30</f>
        <v>1.8719418925106679</v>
      </c>
      <c r="X26" s="54" t="str">
        <f t="shared" ref="X26:X29" si="14">IF(W26&lt;Y26,"tn",IF(W26&lt;Z26,"*","**"))</f>
        <v>tn</v>
      </c>
      <c r="Y26" s="54">
        <f t="shared" ref="Y26:Y29" si="15">FINV(5%,$T26,$T$30)</f>
        <v>2.5910961799713066</v>
      </c>
      <c r="Z26" s="54">
        <f t="shared" ref="Z26:Z29" si="16">FINV(1%,$T26,$T$30)</f>
        <v>3.8895721400399905</v>
      </c>
    </row>
    <row r="27" spans="6:26" ht="15.75">
      <c r="F27" s="20" t="s">
        <v>10</v>
      </c>
      <c r="G27" s="46">
        <f t="shared" si="3"/>
        <v>53.4801</v>
      </c>
      <c r="H27" s="43">
        <f t="shared" si="4"/>
        <v>23.977550000000001</v>
      </c>
      <c r="I27" s="43">
        <f t="shared" si="5"/>
        <v>41.452350000000003</v>
      </c>
      <c r="J27" s="43">
        <f t="shared" si="6"/>
        <v>118.91</v>
      </c>
      <c r="K27" s="43">
        <f t="shared" si="7"/>
        <v>39.636666666666663</v>
      </c>
      <c r="S27" s="24" t="s">
        <v>51</v>
      </c>
      <c r="T27" s="53">
        <v>2</v>
      </c>
      <c r="U27" s="54">
        <f>SUMSQ(P22:P24)/(U19*U21)-U22</f>
        <v>3128.3753526352375</v>
      </c>
      <c r="V27" s="54">
        <f t="shared" si="12"/>
        <v>1564.1876763176188</v>
      </c>
      <c r="W27" s="54">
        <f t="shared" si="13"/>
        <v>2.1165026203764263</v>
      </c>
      <c r="X27" s="54" t="str">
        <f t="shared" si="14"/>
        <v>tn</v>
      </c>
      <c r="Y27" s="54">
        <f t="shared" si="15"/>
        <v>3.6337234676434944</v>
      </c>
      <c r="Z27" s="54">
        <f t="shared" si="16"/>
        <v>6.2262352803748033</v>
      </c>
    </row>
    <row r="28" spans="6:26" ht="15.75">
      <c r="F28" s="20" t="s">
        <v>11</v>
      </c>
      <c r="G28" s="46">
        <f t="shared" si="3"/>
        <v>63.670950000000005</v>
      </c>
      <c r="H28" s="43">
        <f t="shared" si="4"/>
        <v>24.090274999999998</v>
      </c>
      <c r="I28" s="43">
        <f t="shared" si="5"/>
        <v>35.355249999999998</v>
      </c>
      <c r="J28" s="43">
        <f>SUM(G28:I28)</f>
        <v>123.11647499999999</v>
      </c>
      <c r="K28" s="43">
        <f t="shared" si="7"/>
        <v>41.038824999999996</v>
      </c>
      <c r="S28" s="24" t="s">
        <v>26</v>
      </c>
      <c r="T28" s="53">
        <v>2</v>
      </c>
      <c r="U28" s="54">
        <f>SUMSQ(M25:O25)/(U19*U20)-U22</f>
        <v>2236.4755873479007</v>
      </c>
      <c r="V28" s="54">
        <f t="shared" si="12"/>
        <v>1118.2377936739504</v>
      </c>
      <c r="W28" s="54">
        <f t="shared" si="13"/>
        <v>1.5130877556116769</v>
      </c>
      <c r="X28" s="54" t="str">
        <f>IF(W28&lt;Y28,"tn",IF(W28&lt;Z28,"*","**"))</f>
        <v>tn</v>
      </c>
      <c r="Y28" s="54">
        <f t="shared" si="15"/>
        <v>3.6337234676434944</v>
      </c>
      <c r="Z28" s="54">
        <f t="shared" si="16"/>
        <v>6.2262352803748033</v>
      </c>
    </row>
    <row r="29" spans="6:26" ht="15.75">
      <c r="F29" s="47" t="s">
        <v>42</v>
      </c>
      <c r="G29" s="48">
        <f>SUM(G20:G28)</f>
        <v>498.24078000000003</v>
      </c>
      <c r="H29" s="48">
        <f t="shared" ref="H29:J29" si="17">SUM(H20:H28)</f>
        <v>386.00951500000008</v>
      </c>
      <c r="I29" s="48">
        <f t="shared" si="17"/>
        <v>429.45133500000003</v>
      </c>
      <c r="J29" s="48">
        <f t="shared" si="17"/>
        <v>1313.70163</v>
      </c>
      <c r="K29" s="44">
        <f t="shared" si="7"/>
        <v>437.90054333333336</v>
      </c>
      <c r="S29" s="24" t="s">
        <v>38</v>
      </c>
      <c r="T29" s="53">
        <v>4</v>
      </c>
      <c r="U29" s="54">
        <f>U26-U27-U28</f>
        <v>5702.7221812903008</v>
      </c>
      <c r="V29" s="54">
        <f t="shared" si="12"/>
        <v>1425.6805453225752</v>
      </c>
      <c r="W29" s="54">
        <f t="shared" si="13"/>
        <v>1.9290885970272844</v>
      </c>
      <c r="X29" s="54" t="str">
        <f t="shared" si="14"/>
        <v>tn</v>
      </c>
      <c r="Y29" s="54">
        <f t="shared" si="15"/>
        <v>3.006917279999981</v>
      </c>
      <c r="Z29" s="54">
        <f t="shared" si="16"/>
        <v>4.7725779998133984</v>
      </c>
    </row>
    <row r="30" spans="6:26" ht="15.75">
      <c r="F30" s="47" t="s">
        <v>81</v>
      </c>
      <c r="G30" s="44">
        <f>AVERAGE(G20:G28)</f>
        <v>55.360086666666668</v>
      </c>
      <c r="H30" s="44">
        <f t="shared" ref="H30:I30" si="18">AVERAGE(H20:H28)</f>
        <v>42.889946111111122</v>
      </c>
      <c r="I30" s="44">
        <f t="shared" si="18"/>
        <v>47.716815000000004</v>
      </c>
      <c r="J30" s="33"/>
      <c r="K30" s="44">
        <f>K29/9</f>
        <v>48.655615925925929</v>
      </c>
      <c r="S30" s="24" t="s">
        <v>39</v>
      </c>
      <c r="T30" s="53">
        <v>16</v>
      </c>
      <c r="U30" s="54">
        <f>U31-U26-U25</f>
        <v>11824.697300223881</v>
      </c>
      <c r="V30" s="54">
        <f t="shared" si="12"/>
        <v>739.04358126399256</v>
      </c>
      <c r="W30" s="55"/>
      <c r="X30" s="55"/>
      <c r="Y30" s="55"/>
      <c r="Z30" s="55"/>
    </row>
    <row r="31" spans="6:26">
      <c r="S31" s="1" t="s">
        <v>14</v>
      </c>
      <c r="T31" s="56">
        <v>26</v>
      </c>
      <c r="U31" s="57">
        <f>SUMSQ(G20:I28)-U22</f>
        <v>23603.938433046234</v>
      </c>
      <c r="V31" s="58"/>
      <c r="W31" s="58"/>
      <c r="X31" s="58"/>
      <c r="Y31" s="58"/>
      <c r="Z31" s="58"/>
    </row>
  </sheetData>
  <mergeCells count="14">
    <mergeCell ref="M20:O20"/>
    <mergeCell ref="P20:P21"/>
    <mergeCell ref="Q20:Q21"/>
    <mergeCell ref="F18:F19"/>
    <mergeCell ref="G18:I18"/>
    <mergeCell ref="J18:J19"/>
    <mergeCell ref="K18:K19"/>
    <mergeCell ref="L20:L21"/>
    <mergeCell ref="R5:U5"/>
    <mergeCell ref="C5:C6"/>
    <mergeCell ref="D5:G5"/>
    <mergeCell ref="J5:J6"/>
    <mergeCell ref="K5:N5"/>
    <mergeCell ref="Q5:Q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3:X31"/>
  <sheetViews>
    <sheetView zoomScale="71" zoomScaleNormal="71" workbookViewId="0">
      <selection activeCell="J24" sqref="J24:O24"/>
    </sheetView>
  </sheetViews>
  <sheetFormatPr defaultRowHeight="15"/>
  <cols>
    <col min="19" max="19" width="10.7109375" customWidth="1"/>
  </cols>
  <sheetData>
    <row r="3" spans="2:21">
      <c r="B3" s="70" t="s">
        <v>0</v>
      </c>
      <c r="C3" s="69" t="s">
        <v>12</v>
      </c>
      <c r="D3" s="69"/>
      <c r="E3" s="69"/>
      <c r="F3" s="69"/>
      <c r="G3" s="2" t="s">
        <v>2</v>
      </c>
      <c r="I3" s="70" t="s">
        <v>0</v>
      </c>
      <c r="J3" s="69" t="s">
        <v>12</v>
      </c>
      <c r="K3" s="69"/>
      <c r="L3" s="69"/>
      <c r="M3" s="69"/>
      <c r="N3" s="2" t="s">
        <v>2</v>
      </c>
      <c r="P3" s="70" t="s">
        <v>0</v>
      </c>
      <c r="Q3" s="69" t="s">
        <v>12</v>
      </c>
      <c r="R3" s="69"/>
      <c r="S3" s="69"/>
      <c r="T3" s="69"/>
      <c r="U3" s="2" t="s">
        <v>2</v>
      </c>
    </row>
    <row r="4" spans="2:21">
      <c r="B4" s="71"/>
      <c r="C4" s="1">
        <v>1</v>
      </c>
      <c r="D4" s="1">
        <v>2</v>
      </c>
      <c r="E4" s="1">
        <v>3</v>
      </c>
      <c r="F4" s="1">
        <v>4</v>
      </c>
      <c r="G4" s="1"/>
      <c r="I4" s="71"/>
      <c r="J4" s="1">
        <v>1</v>
      </c>
      <c r="K4" s="1">
        <v>2</v>
      </c>
      <c r="L4" s="1">
        <v>3</v>
      </c>
      <c r="M4" s="1">
        <v>4</v>
      </c>
      <c r="N4" s="1"/>
      <c r="P4" s="71"/>
      <c r="Q4" s="1">
        <v>1</v>
      </c>
      <c r="R4" s="1">
        <v>2</v>
      </c>
      <c r="S4" s="1">
        <v>3</v>
      </c>
      <c r="T4" s="1">
        <v>4</v>
      </c>
      <c r="U4" s="1"/>
    </row>
    <row r="5" spans="2:21">
      <c r="B5" t="s">
        <v>3</v>
      </c>
      <c r="C5" s="3">
        <f>17.5*9.6*0.674</f>
        <v>113.23200000000001</v>
      </c>
      <c r="D5" s="3">
        <f>12.5*9.5*0.674</f>
        <v>80.037500000000009</v>
      </c>
      <c r="E5" s="3">
        <f>19*11.5*0.674</f>
        <v>147.26900000000001</v>
      </c>
      <c r="F5" s="3">
        <f>18.3*14*0.674</f>
        <v>172.6788</v>
      </c>
      <c r="G5" s="3">
        <f>AVERAGE(C5:F5)</f>
        <v>128.30432500000001</v>
      </c>
      <c r="I5" t="s">
        <v>3</v>
      </c>
      <c r="J5" s="3">
        <f>9*7*0.674</f>
        <v>42.462000000000003</v>
      </c>
      <c r="K5" s="3">
        <f>11.3*7.8*0.674</f>
        <v>59.406360000000006</v>
      </c>
      <c r="L5" s="3">
        <f>12*9*0.674</f>
        <v>72.792000000000002</v>
      </c>
      <c r="M5" s="3">
        <f>11.8*6.8*0.674</f>
        <v>54.08176000000001</v>
      </c>
      <c r="N5" s="3">
        <f>AVERAGE(J5:M5)</f>
        <v>57.185530000000007</v>
      </c>
      <c r="P5" t="s">
        <v>3</v>
      </c>
      <c r="Q5" s="3">
        <f>11*8.3*0.674</f>
        <v>61.536200000000015</v>
      </c>
      <c r="R5" s="3">
        <f>14.4*9*0.674</f>
        <v>87.350400000000008</v>
      </c>
      <c r="S5" s="3">
        <f>21*15*0.674</f>
        <v>212.31</v>
      </c>
      <c r="T5" s="3">
        <f>17.2*11.1*0.674</f>
        <v>128.68008</v>
      </c>
      <c r="U5" s="3">
        <f>AVERAGE(Q5:T5)</f>
        <v>122.46916999999999</v>
      </c>
    </row>
    <row r="6" spans="2:21">
      <c r="B6" t="s">
        <v>5</v>
      </c>
      <c r="C6" s="3">
        <f>11*6*0.674</f>
        <v>44.484000000000002</v>
      </c>
      <c r="D6" s="3">
        <f>13.9*8*0.674</f>
        <v>74.948800000000006</v>
      </c>
      <c r="E6" s="3">
        <f>9.5*6.4*0.674</f>
        <v>40.979200000000006</v>
      </c>
      <c r="F6" s="3">
        <f>13.4*8*0.674</f>
        <v>72.252800000000008</v>
      </c>
      <c r="G6" s="3">
        <f t="shared" ref="G6:G13" si="0">AVERAGE(C6:F6)</f>
        <v>58.166200000000011</v>
      </c>
      <c r="I6" t="s">
        <v>5</v>
      </c>
      <c r="J6" s="3">
        <f>J5</f>
        <v>42.462000000000003</v>
      </c>
      <c r="K6" s="3">
        <f>K5</f>
        <v>59.406360000000006</v>
      </c>
      <c r="L6" s="3">
        <f>L5</f>
        <v>72.792000000000002</v>
      </c>
      <c r="M6" s="3">
        <f>M5</f>
        <v>54.08176000000001</v>
      </c>
      <c r="N6" s="3">
        <f t="shared" ref="N6:N13" si="1">AVERAGE(J6:M6)</f>
        <v>57.185530000000007</v>
      </c>
      <c r="P6" t="s">
        <v>5</v>
      </c>
      <c r="Q6" s="3">
        <f>13.5*8*0.674</f>
        <v>72.792000000000002</v>
      </c>
      <c r="R6" s="3">
        <f>14.3*9.5*0.674</f>
        <v>91.562899999999999</v>
      </c>
      <c r="S6" s="3">
        <f>15*9*0.674</f>
        <v>90.990000000000009</v>
      </c>
      <c r="T6" s="3">
        <f>15*10.4*0.674</f>
        <v>105.14400000000001</v>
      </c>
      <c r="U6" s="3">
        <f t="shared" ref="U6:U13" si="2">AVERAGE(Q6:T6)</f>
        <v>90.122225</v>
      </c>
    </row>
    <row r="7" spans="2:21">
      <c r="B7" t="s">
        <v>6</v>
      </c>
      <c r="C7" s="3">
        <f>18*9.9*0.674</f>
        <v>120.10680000000002</v>
      </c>
      <c r="D7" s="3">
        <f>12*7.5*0.674</f>
        <v>60.660000000000004</v>
      </c>
      <c r="E7" s="3">
        <f>17*8.5*0.674</f>
        <v>97.393000000000001</v>
      </c>
      <c r="F7" s="3">
        <f>15*9*0.674</f>
        <v>90.990000000000009</v>
      </c>
      <c r="G7" s="3">
        <f t="shared" si="0"/>
        <v>92.287450000000007</v>
      </c>
      <c r="I7" t="s">
        <v>6</v>
      </c>
      <c r="J7" s="3">
        <f>15*10.1*0.674</f>
        <v>102.111</v>
      </c>
      <c r="K7" s="3">
        <f>13*7*0.674</f>
        <v>61.334000000000003</v>
      </c>
      <c r="L7" s="3">
        <f>8*4.9*0.674</f>
        <v>26.420800000000003</v>
      </c>
      <c r="M7" s="3">
        <f>13.7*9.9*0.674</f>
        <v>91.414619999999999</v>
      </c>
      <c r="N7" s="3">
        <f t="shared" si="1"/>
        <v>70.320104999999998</v>
      </c>
      <c r="P7" t="s">
        <v>6</v>
      </c>
      <c r="Q7" s="3">
        <f>9*6.9*0.674</f>
        <v>41.855400000000003</v>
      </c>
      <c r="R7" s="3">
        <f>9*6*0.674</f>
        <v>36.396000000000001</v>
      </c>
      <c r="S7" s="3">
        <f>9*7.4*0.674</f>
        <v>44.888400000000011</v>
      </c>
      <c r="T7" s="3">
        <v>43.81</v>
      </c>
      <c r="U7" s="3">
        <f t="shared" si="2"/>
        <v>41.737450000000003</v>
      </c>
    </row>
    <row r="8" spans="2:21">
      <c r="B8" t="s">
        <v>4</v>
      </c>
      <c r="C8" s="3">
        <f>13.5*9*0.674</f>
        <v>81.891000000000005</v>
      </c>
      <c r="D8" s="3">
        <f>18*11.5*0.674</f>
        <v>139.518</v>
      </c>
      <c r="E8" s="3">
        <f>16*10*0.674</f>
        <v>107.84</v>
      </c>
      <c r="F8" s="3">
        <f>18.5*12.9*0.674</f>
        <v>160.85010000000003</v>
      </c>
      <c r="G8" s="3">
        <f t="shared" si="0"/>
        <v>122.52477500000001</v>
      </c>
      <c r="I8" t="s">
        <v>4</v>
      </c>
      <c r="J8" s="3">
        <f>11.2*6.8*0.674</f>
        <v>51.33184</v>
      </c>
      <c r="K8" s="3">
        <f>11*7*0.674</f>
        <v>51.898000000000003</v>
      </c>
      <c r="L8" s="3">
        <f>9*5.9*0.674</f>
        <v>35.789400000000001</v>
      </c>
      <c r="M8" s="3">
        <f>11.8*8*0.674</f>
        <v>63.625600000000006</v>
      </c>
      <c r="N8" s="3">
        <f t="shared" si="1"/>
        <v>50.661209999999997</v>
      </c>
      <c r="P8" t="s">
        <v>4</v>
      </c>
      <c r="Q8" s="3">
        <f>14*9*0.674</f>
        <v>84.924000000000007</v>
      </c>
      <c r="R8" s="3">
        <f>16.2*12*0.674</f>
        <v>131.0256</v>
      </c>
      <c r="S8" s="3">
        <f>22*15*0.674</f>
        <v>222.42000000000002</v>
      </c>
      <c r="T8" s="3">
        <f>15*10.4*0.674</f>
        <v>105.14400000000001</v>
      </c>
      <c r="U8" s="3">
        <f t="shared" si="2"/>
        <v>135.8784</v>
      </c>
    </row>
    <row r="9" spans="2:21">
      <c r="B9" t="s">
        <v>7</v>
      </c>
      <c r="C9" s="3">
        <f>17.9*11*0.674</f>
        <v>132.7106</v>
      </c>
      <c r="D9" s="3">
        <f>15.5*8*0.674</f>
        <v>83.576000000000008</v>
      </c>
      <c r="E9" s="3">
        <f>15*10.2*0.674</f>
        <v>103.122</v>
      </c>
      <c r="F9" s="3">
        <f>15*8.1*0.674</f>
        <v>81.891000000000005</v>
      </c>
      <c r="G9" s="3">
        <f t="shared" si="0"/>
        <v>100.32490000000001</v>
      </c>
      <c r="I9" t="s">
        <v>7</v>
      </c>
      <c r="J9" s="3">
        <f>10*8.1*0.674</f>
        <v>54.594000000000001</v>
      </c>
      <c r="K9" s="3">
        <f>11.3*7.8*0.674</f>
        <v>59.406360000000006</v>
      </c>
      <c r="L9" s="3">
        <f>12*9*0.674</f>
        <v>72.792000000000002</v>
      </c>
      <c r="M9" s="3">
        <f>11.8*6.8*0.674</f>
        <v>54.08176000000001</v>
      </c>
      <c r="N9" s="3">
        <f t="shared" si="1"/>
        <v>60.218530000000001</v>
      </c>
      <c r="P9" t="s">
        <v>7</v>
      </c>
      <c r="Q9" s="3">
        <f>13.5*9.2*0.674</f>
        <v>83.710799999999992</v>
      </c>
      <c r="R9" s="3">
        <f>18*10.5*0.674</f>
        <v>127.38600000000001</v>
      </c>
      <c r="S9" s="3">
        <f>16*10*0.674</f>
        <v>107.84</v>
      </c>
      <c r="T9" s="3">
        <f>17*11*0.674</f>
        <v>126.03800000000001</v>
      </c>
      <c r="U9" s="3">
        <f t="shared" si="2"/>
        <v>111.2437</v>
      </c>
    </row>
    <row r="10" spans="2:21">
      <c r="B10" t="s">
        <v>8</v>
      </c>
      <c r="C10" s="3">
        <f>17.9*10*0.674</f>
        <v>120.646</v>
      </c>
      <c r="D10" s="3">
        <f>15.5*10*0.674</f>
        <v>104.47000000000001</v>
      </c>
      <c r="E10" s="3">
        <f>17*11.3*0.674</f>
        <v>129.47540000000004</v>
      </c>
      <c r="F10" s="3">
        <f>9*5*0.674</f>
        <v>30.330000000000002</v>
      </c>
      <c r="G10" s="3">
        <f t="shared" si="0"/>
        <v>96.230350000000001</v>
      </c>
      <c r="I10" t="s">
        <v>8</v>
      </c>
      <c r="J10" s="3">
        <f>14*10.5*0.674</f>
        <v>99.078000000000003</v>
      </c>
      <c r="K10" s="3">
        <f>11.7*7.8*0.674</f>
        <v>61.509239999999998</v>
      </c>
      <c r="L10" s="3">
        <f>14.2*8*0.674</f>
        <v>76.566400000000002</v>
      </c>
      <c r="M10" s="3">
        <f>14.2*8*0.674</f>
        <v>76.566400000000002</v>
      </c>
      <c r="N10" s="3">
        <f t="shared" si="1"/>
        <v>78.430009999999996</v>
      </c>
      <c r="P10" t="s">
        <v>8</v>
      </c>
      <c r="Q10" s="3">
        <f>16*9.5*0.674</f>
        <v>102.44800000000001</v>
      </c>
      <c r="R10" s="3">
        <f>13.5*8*0.674</f>
        <v>72.792000000000002</v>
      </c>
      <c r="S10" s="3">
        <f>16*7.6*0.674</f>
        <v>81.958399999999997</v>
      </c>
      <c r="T10" s="3">
        <f>19.1*11*0.674</f>
        <v>141.60740000000001</v>
      </c>
      <c r="U10" s="3">
        <f t="shared" si="2"/>
        <v>99.701449999999994</v>
      </c>
    </row>
    <row r="11" spans="2:21">
      <c r="B11" t="s">
        <v>9</v>
      </c>
      <c r="C11" s="3">
        <f>11*8*0.674</f>
        <v>59.312000000000005</v>
      </c>
      <c r="D11" s="3">
        <f>15*10.2*0.674</f>
        <v>103.122</v>
      </c>
      <c r="E11" s="3">
        <f>18*10*0.674</f>
        <v>121.32000000000001</v>
      </c>
      <c r="F11" s="3">
        <f>15*8*0.674</f>
        <v>80.88000000000001</v>
      </c>
      <c r="G11" s="3">
        <f t="shared" si="0"/>
        <v>91.158500000000004</v>
      </c>
      <c r="I11" t="s">
        <v>9</v>
      </c>
      <c r="J11" s="3">
        <f>7.9*6*0.674</f>
        <v>31.947600000000005</v>
      </c>
      <c r="K11" s="3">
        <f>9*8.3*0.674</f>
        <v>50.347800000000007</v>
      </c>
      <c r="L11" s="3">
        <f>10.8*8.4*0.674</f>
        <v>61.145280000000014</v>
      </c>
      <c r="M11" s="3">
        <f>8.5*6.7*0.674</f>
        <v>38.384300000000003</v>
      </c>
      <c r="N11" s="3">
        <f t="shared" si="1"/>
        <v>45.45624500000001</v>
      </c>
      <c r="P11" t="s">
        <v>9</v>
      </c>
      <c r="Q11" s="3">
        <f>13*8*0.674</f>
        <v>70.096000000000004</v>
      </c>
      <c r="R11" s="3">
        <f>10*7*0.674</f>
        <v>47.18</v>
      </c>
      <c r="S11" s="3">
        <f>10*6.5*0.674</f>
        <v>43.81</v>
      </c>
      <c r="T11" s="3">
        <f>12.5*9.1*0.674</f>
        <v>76.667500000000004</v>
      </c>
      <c r="U11" s="3">
        <f t="shared" si="2"/>
        <v>59.438375000000008</v>
      </c>
    </row>
    <row r="12" spans="2:21">
      <c r="B12" t="s">
        <v>10</v>
      </c>
      <c r="C12" s="3">
        <f>15.5*10.5*0.674</f>
        <v>109.6935</v>
      </c>
      <c r="D12" s="3">
        <f>14.9*10*0.674</f>
        <v>100.426</v>
      </c>
      <c r="E12" s="3">
        <f>17*10*0.674</f>
        <v>114.58000000000001</v>
      </c>
      <c r="F12" s="3">
        <f>11.1*8*0.674</f>
        <v>59.851199999999999</v>
      </c>
      <c r="G12" s="3">
        <f>AVERAGE(C12:F12)</f>
        <v>96.137675000000016</v>
      </c>
      <c r="I12" t="s">
        <v>10</v>
      </c>
      <c r="J12" s="3">
        <f>8.8*6.6*0.674</f>
        <v>39.145920000000004</v>
      </c>
      <c r="K12" s="3">
        <f>11.7*8*0.674</f>
        <v>63.086399999999998</v>
      </c>
      <c r="L12" s="3">
        <f>9*7.7*0.674</f>
        <v>46.708199999999998</v>
      </c>
      <c r="M12" s="3">
        <f>8*6*0.674</f>
        <v>32.352000000000004</v>
      </c>
      <c r="N12" s="3">
        <f t="shared" si="1"/>
        <v>45.323129999999999</v>
      </c>
      <c r="P12" t="s">
        <v>10</v>
      </c>
      <c r="Q12" s="3">
        <f>14.6*8*0.674</f>
        <v>78.723200000000006</v>
      </c>
      <c r="R12" s="3">
        <f>15*7.2*0.674</f>
        <v>72.792000000000002</v>
      </c>
      <c r="S12" s="3">
        <f>17*9*0.674</f>
        <v>103.122</v>
      </c>
      <c r="T12" s="3">
        <f>16.2*6.5*0.674</f>
        <v>70.972200000000001</v>
      </c>
      <c r="U12" s="3">
        <f t="shared" si="2"/>
        <v>81.402349999999998</v>
      </c>
    </row>
    <row r="13" spans="2:21">
      <c r="B13" t="s">
        <v>11</v>
      </c>
      <c r="C13" s="3">
        <f>14.5*9*0.674</f>
        <v>87.957000000000008</v>
      </c>
      <c r="D13" s="3">
        <f>15*9.5*0.674</f>
        <v>96.045000000000002</v>
      </c>
      <c r="E13" s="3">
        <f>16.2*10*0.674</f>
        <v>109.188</v>
      </c>
      <c r="F13" s="3">
        <f>17*15*0.674</f>
        <v>171.87</v>
      </c>
      <c r="G13" s="3">
        <f t="shared" si="0"/>
        <v>116.265</v>
      </c>
      <c r="I13" t="s">
        <v>11</v>
      </c>
      <c r="J13" s="3">
        <f>12.8*7.1*0.674</f>
        <v>61.253120000000003</v>
      </c>
      <c r="K13" s="3">
        <f>10.5*5.9*0.674</f>
        <v>41.754300000000008</v>
      </c>
      <c r="L13" s="3">
        <f>11*6*0.674</f>
        <v>44.484000000000002</v>
      </c>
      <c r="M13" s="3">
        <f>11.2*7*0.674</f>
        <v>52.8416</v>
      </c>
      <c r="N13" s="3">
        <f t="shared" si="1"/>
        <v>50.083255000000001</v>
      </c>
      <c r="P13" t="s">
        <v>11</v>
      </c>
      <c r="Q13" s="3">
        <f>16*11.5*0.674</f>
        <v>124.01600000000001</v>
      </c>
      <c r="R13" s="3">
        <f>16*9.5*0.674</f>
        <v>102.44800000000001</v>
      </c>
      <c r="S13" s="3">
        <f>14.5*9*0.674</f>
        <v>87.957000000000008</v>
      </c>
      <c r="T13" s="3">
        <f>13*8.3*0.674</f>
        <v>72.724600000000009</v>
      </c>
      <c r="U13" s="3">
        <f t="shared" si="2"/>
        <v>96.7864</v>
      </c>
    </row>
    <row r="17" spans="4:24" ht="15.75">
      <c r="D17" s="75" t="s">
        <v>0</v>
      </c>
      <c r="E17" s="77" t="s">
        <v>1</v>
      </c>
      <c r="F17" s="77"/>
      <c r="G17" s="77"/>
      <c r="H17" s="78" t="s">
        <v>14</v>
      </c>
      <c r="I17" s="70" t="s">
        <v>79</v>
      </c>
      <c r="J17" s="64"/>
      <c r="K17" s="17"/>
      <c r="L17" s="17"/>
      <c r="M17" s="17"/>
      <c r="N17" s="64"/>
      <c r="O17" s="17"/>
      <c r="P17" s="17"/>
      <c r="Q17" s="17"/>
      <c r="R17" s="18"/>
      <c r="S17" s="19"/>
      <c r="T17" s="19"/>
      <c r="U17" s="19"/>
      <c r="V17" s="19"/>
      <c r="W17" s="19"/>
      <c r="X17" s="19"/>
    </row>
    <row r="18" spans="4:24" ht="15.75">
      <c r="D18" s="76"/>
      <c r="E18" s="45">
        <v>1</v>
      </c>
      <c r="F18" s="45">
        <v>2</v>
      </c>
      <c r="G18" s="45">
        <v>3</v>
      </c>
      <c r="H18" s="79"/>
      <c r="I18" s="71"/>
      <c r="J18" s="20"/>
      <c r="K18" s="13" t="s">
        <v>83</v>
      </c>
      <c r="L18" s="13"/>
      <c r="M18" s="13"/>
      <c r="N18" s="13"/>
      <c r="R18" s="13" t="s">
        <v>25</v>
      </c>
      <c r="S18">
        <v>3</v>
      </c>
    </row>
    <row r="19" spans="4:24" ht="15.75">
      <c r="D19" s="20" t="s">
        <v>3</v>
      </c>
      <c r="E19" s="46">
        <f t="shared" ref="E19:E27" si="3">G5</f>
        <v>128.30432500000001</v>
      </c>
      <c r="F19" s="43">
        <f t="shared" ref="F19:F27" si="4">N5</f>
        <v>57.185530000000007</v>
      </c>
      <c r="G19" s="43">
        <f t="shared" ref="G19:G27" si="5">U5</f>
        <v>122.46916999999999</v>
      </c>
      <c r="H19" s="43">
        <f>SUM(E19:G19)</f>
        <v>307.959025</v>
      </c>
      <c r="I19" s="43">
        <f>H19/3</f>
        <v>102.65300833333333</v>
      </c>
      <c r="J19" s="80" t="s">
        <v>19</v>
      </c>
      <c r="K19" s="82" t="s">
        <v>20</v>
      </c>
      <c r="L19" s="82"/>
      <c r="M19" s="82"/>
      <c r="N19" s="80" t="s">
        <v>14</v>
      </c>
      <c r="O19" s="70" t="s">
        <v>2</v>
      </c>
      <c r="R19" s="13" t="s">
        <v>19</v>
      </c>
      <c r="S19">
        <v>3</v>
      </c>
    </row>
    <row r="20" spans="4:24" ht="15.75">
      <c r="D20" s="20" t="s">
        <v>5</v>
      </c>
      <c r="E20" s="46">
        <f t="shared" si="3"/>
        <v>58.166200000000011</v>
      </c>
      <c r="F20" s="43">
        <f t="shared" si="4"/>
        <v>57.185530000000007</v>
      </c>
      <c r="G20" s="43">
        <f t="shared" si="5"/>
        <v>90.122225</v>
      </c>
      <c r="H20" s="43">
        <f t="shared" ref="H20:H26" si="6">SUM(E20:G20)</f>
        <v>205.47395500000002</v>
      </c>
      <c r="I20" s="43">
        <f t="shared" ref="I20:I27" si="7">H20/3</f>
        <v>68.491318333333339</v>
      </c>
      <c r="J20" s="81"/>
      <c r="K20" s="21">
        <v>1</v>
      </c>
      <c r="L20" s="21">
        <v>2</v>
      </c>
      <c r="M20" s="21">
        <v>3</v>
      </c>
      <c r="N20" s="81"/>
      <c r="O20" s="71"/>
      <c r="R20" s="13" t="s">
        <v>26</v>
      </c>
      <c r="S20">
        <v>3</v>
      </c>
    </row>
    <row r="21" spans="4:24" ht="15.75">
      <c r="D21" s="20" t="s">
        <v>6</v>
      </c>
      <c r="E21" s="46">
        <f t="shared" si="3"/>
        <v>92.287450000000007</v>
      </c>
      <c r="F21" s="43">
        <f t="shared" si="4"/>
        <v>70.320104999999998</v>
      </c>
      <c r="G21" s="43">
        <f t="shared" si="5"/>
        <v>41.737450000000003</v>
      </c>
      <c r="H21" s="43">
        <f t="shared" si="6"/>
        <v>204.34500499999999</v>
      </c>
      <c r="I21" s="43">
        <f t="shared" si="7"/>
        <v>68.115001666666657</v>
      </c>
      <c r="J21" s="22">
        <v>1</v>
      </c>
      <c r="K21" s="7">
        <f>H19</f>
        <v>307.959025</v>
      </c>
      <c r="L21" s="7">
        <f>H22</f>
        <v>309.06438500000002</v>
      </c>
      <c r="M21" s="7">
        <f>H25</f>
        <v>196.05312000000004</v>
      </c>
      <c r="N21" s="7">
        <f>SUM(K21:M21)</f>
        <v>813.07653000000005</v>
      </c>
      <c r="O21" s="7">
        <f>N21/9</f>
        <v>90.341836666666666</v>
      </c>
      <c r="R21" s="13" t="s">
        <v>43</v>
      </c>
      <c r="S21">
        <f>(H28^2)/(S18*S19*S20)</f>
        <v>188341.31496978577</v>
      </c>
    </row>
    <row r="22" spans="4:24" ht="15.75">
      <c r="D22" s="20" t="s">
        <v>4</v>
      </c>
      <c r="E22" s="46">
        <f t="shared" si="3"/>
        <v>122.52477500000001</v>
      </c>
      <c r="F22" s="43">
        <f t="shared" si="4"/>
        <v>50.661209999999997</v>
      </c>
      <c r="G22" s="43">
        <f t="shared" si="5"/>
        <v>135.8784</v>
      </c>
      <c r="H22" s="43">
        <f t="shared" si="6"/>
        <v>309.06438500000002</v>
      </c>
      <c r="I22" s="43">
        <f t="shared" si="7"/>
        <v>103.02146166666667</v>
      </c>
      <c r="J22" s="22">
        <v>2</v>
      </c>
      <c r="K22" s="7">
        <f>H20</f>
        <v>205.47395500000002</v>
      </c>
      <c r="L22" s="7">
        <f>H23</f>
        <v>271.78712999999999</v>
      </c>
      <c r="M22" s="7">
        <f>H26</f>
        <v>222.86315500000001</v>
      </c>
      <c r="N22" s="7">
        <f t="shared" ref="N22:N23" si="8">SUM(K22:M22)</f>
        <v>700.12423999999999</v>
      </c>
      <c r="O22" s="7">
        <f t="shared" ref="O22:O23" si="9">N22/9</f>
        <v>77.791582222222218</v>
      </c>
    </row>
    <row r="23" spans="4:24" ht="15.75">
      <c r="D23" s="20" t="s">
        <v>7</v>
      </c>
      <c r="E23" s="46">
        <f t="shared" si="3"/>
        <v>100.32490000000001</v>
      </c>
      <c r="F23" s="43">
        <f t="shared" si="4"/>
        <v>60.218530000000001</v>
      </c>
      <c r="G23" s="43">
        <f t="shared" si="5"/>
        <v>111.2437</v>
      </c>
      <c r="H23" s="43">
        <f t="shared" si="6"/>
        <v>271.78712999999999</v>
      </c>
      <c r="I23" s="43">
        <f t="shared" si="7"/>
        <v>90.595709999999997</v>
      </c>
      <c r="J23" s="23">
        <v>3</v>
      </c>
      <c r="K23" s="7">
        <f>H21</f>
        <v>204.34500499999999</v>
      </c>
      <c r="L23" s="7">
        <f>H24</f>
        <v>274.36180999999999</v>
      </c>
      <c r="M23" s="7">
        <f>H27</f>
        <v>263.13465500000001</v>
      </c>
      <c r="N23" s="7">
        <f t="shared" si="8"/>
        <v>741.84147000000007</v>
      </c>
      <c r="O23" s="7">
        <f t="shared" si="9"/>
        <v>82.42683000000001</v>
      </c>
      <c r="Q23" s="49" t="s">
        <v>44</v>
      </c>
      <c r="R23" s="49" t="s">
        <v>45</v>
      </c>
      <c r="S23" s="49" t="s">
        <v>46</v>
      </c>
      <c r="T23" s="34" t="s">
        <v>47</v>
      </c>
      <c r="U23" s="34" t="s">
        <v>48</v>
      </c>
      <c r="V23" s="34"/>
      <c r="W23" s="34" t="s">
        <v>49</v>
      </c>
      <c r="X23" s="34" t="s">
        <v>50</v>
      </c>
    </row>
    <row r="24" spans="4:24" ht="15.75">
      <c r="D24" s="20" t="s">
        <v>8</v>
      </c>
      <c r="E24" s="46">
        <f t="shared" si="3"/>
        <v>96.230350000000001</v>
      </c>
      <c r="F24" s="43">
        <f t="shared" si="4"/>
        <v>78.430009999999996</v>
      </c>
      <c r="G24" s="43">
        <f t="shared" si="5"/>
        <v>99.701449999999994</v>
      </c>
      <c r="H24" s="43">
        <f t="shared" si="6"/>
        <v>274.36180999999999</v>
      </c>
      <c r="I24" s="43">
        <f t="shared" si="7"/>
        <v>91.453936666666664</v>
      </c>
      <c r="J24" s="1" t="s">
        <v>14</v>
      </c>
      <c r="K24" s="89">
        <f>SUM(K21:K23)</f>
        <v>717.77798500000006</v>
      </c>
      <c r="L24" s="89">
        <f t="shared" ref="L24:M24" si="10">SUM(L21:L23)</f>
        <v>855.21332500000005</v>
      </c>
      <c r="M24" s="89">
        <f t="shared" si="10"/>
        <v>682.05093000000011</v>
      </c>
      <c r="N24" s="89"/>
      <c r="O24" s="89"/>
      <c r="Q24" s="24" t="s">
        <v>36</v>
      </c>
      <c r="R24" s="53">
        <v>2</v>
      </c>
      <c r="S24" s="54">
        <f>SUMSQ(E28:G28)/(S19*S20)-S21</f>
        <v>9564.9101226673229</v>
      </c>
      <c r="T24" s="54">
        <f>S24/R24</f>
        <v>4782.4550613336614</v>
      </c>
      <c r="U24" s="54">
        <f>T24/$T$29</f>
        <v>12.295379158135672</v>
      </c>
      <c r="V24" s="54" t="str">
        <f>IF(U24&lt;W24,"tn",IF(U24&lt;X24,"*","**"))</f>
        <v>**</v>
      </c>
      <c r="W24" s="54">
        <f>FINV(5%,$R24,$R$29)</f>
        <v>3.6337234676434944</v>
      </c>
      <c r="X24" s="54">
        <f>FINV(1%,$R24,$R$29)</f>
        <v>6.2262352803748033</v>
      </c>
    </row>
    <row r="25" spans="4:24" ht="15.75">
      <c r="D25" s="20" t="s">
        <v>9</v>
      </c>
      <c r="E25" s="46">
        <f t="shared" si="3"/>
        <v>91.158500000000004</v>
      </c>
      <c r="F25" s="43">
        <f t="shared" si="4"/>
        <v>45.45624500000001</v>
      </c>
      <c r="G25" s="43">
        <f t="shared" si="5"/>
        <v>59.438375000000008</v>
      </c>
      <c r="H25" s="43">
        <f t="shared" si="6"/>
        <v>196.05312000000004</v>
      </c>
      <c r="I25" s="43">
        <f t="shared" si="7"/>
        <v>65.351040000000012</v>
      </c>
      <c r="J25" s="1" t="s">
        <v>2</v>
      </c>
      <c r="K25" s="89">
        <f>K24/9</f>
        <v>79.753109444444448</v>
      </c>
      <c r="L25" s="89">
        <f t="shared" ref="L25:M25" si="11">L24/9</f>
        <v>95.023702777777785</v>
      </c>
      <c r="M25" s="89">
        <f t="shared" si="11"/>
        <v>75.783436666666674</v>
      </c>
      <c r="N25" s="89"/>
      <c r="O25" s="89"/>
      <c r="Q25" s="24" t="s">
        <v>0</v>
      </c>
      <c r="R25" s="53">
        <v>8</v>
      </c>
      <c r="S25" s="54">
        <f>SUMSQ(H19:H27)/S18-S21</f>
        <v>5266.4475657279836</v>
      </c>
      <c r="T25" s="54">
        <f t="shared" ref="T25:T29" si="12">S25/R25</f>
        <v>658.30594571599795</v>
      </c>
      <c r="U25" s="54">
        <f t="shared" ref="U25:U28" si="13">T25/$T$29</f>
        <v>1.6924615288232532</v>
      </c>
      <c r="V25" s="54" t="str">
        <f t="shared" ref="V25:V28" si="14">IF(U25&lt;W25,"tn",IF(U25&lt;X25,"*","**"))</f>
        <v>tn</v>
      </c>
      <c r="W25" s="54">
        <f t="shared" ref="W25:W28" si="15">FINV(5%,$R25,$R$29)</f>
        <v>2.5910961799713066</v>
      </c>
      <c r="X25" s="54">
        <f t="shared" ref="X25:X27" si="16">FINV(1%,$R25,$R$29)</f>
        <v>3.8895721400399905</v>
      </c>
    </row>
    <row r="26" spans="4:24" ht="15.75">
      <c r="D26" s="20" t="s">
        <v>10</v>
      </c>
      <c r="E26" s="46">
        <f t="shared" si="3"/>
        <v>96.137675000000016</v>
      </c>
      <c r="F26" s="43">
        <f t="shared" si="4"/>
        <v>45.323129999999999</v>
      </c>
      <c r="G26" s="43">
        <f t="shared" si="5"/>
        <v>81.402349999999998</v>
      </c>
      <c r="H26" s="43">
        <f t="shared" si="6"/>
        <v>222.86315500000001</v>
      </c>
      <c r="I26" s="43">
        <f t="shared" si="7"/>
        <v>74.287718333333331</v>
      </c>
      <c r="Q26" s="24" t="s">
        <v>51</v>
      </c>
      <c r="R26" s="53">
        <v>2</v>
      </c>
      <c r="S26" s="54">
        <f>SUMSQ(N21:N23)/(S18*S20)-S21</f>
        <v>724.92521734529873</v>
      </c>
      <c r="T26" s="54">
        <f t="shared" si="12"/>
        <v>362.46260867264937</v>
      </c>
      <c r="U26" s="54">
        <f t="shared" si="13"/>
        <v>0.93186765941808625</v>
      </c>
      <c r="V26" s="54" t="str">
        <f t="shared" si="14"/>
        <v>tn</v>
      </c>
      <c r="W26" s="54">
        <f t="shared" si="15"/>
        <v>3.6337234676434944</v>
      </c>
      <c r="X26" s="54">
        <f t="shared" si="16"/>
        <v>6.2262352803748033</v>
      </c>
    </row>
    <row r="27" spans="4:24" ht="15.75">
      <c r="D27" s="20" t="s">
        <v>11</v>
      </c>
      <c r="E27" s="46">
        <f t="shared" si="3"/>
        <v>116.265</v>
      </c>
      <c r="F27" s="43">
        <f t="shared" si="4"/>
        <v>50.083255000000001</v>
      </c>
      <c r="G27" s="43">
        <f t="shared" si="5"/>
        <v>96.7864</v>
      </c>
      <c r="H27" s="43">
        <f>SUM(E27:G27)</f>
        <v>263.13465500000001</v>
      </c>
      <c r="I27" s="43">
        <f t="shared" si="7"/>
        <v>87.711551666666665</v>
      </c>
      <c r="Q27" s="24" t="s">
        <v>26</v>
      </c>
      <c r="R27" s="53">
        <v>2</v>
      </c>
      <c r="S27" s="54">
        <f>SUMSQ(K24:M24)/(S18*S19)-S21</f>
        <v>1857.4114882232097</v>
      </c>
      <c r="T27" s="54">
        <f t="shared" si="12"/>
        <v>928.70574411160487</v>
      </c>
      <c r="U27" s="54">
        <f t="shared" si="13"/>
        <v>2.3876417245427084</v>
      </c>
      <c r="V27" s="54" t="str">
        <f>IF(U27&lt;W27,"tn",IF(U27&lt;X27,"*","**"))</f>
        <v>tn</v>
      </c>
      <c r="W27" s="54">
        <f t="shared" si="15"/>
        <v>3.6337234676434944</v>
      </c>
      <c r="X27" s="54">
        <f t="shared" si="16"/>
        <v>6.2262352803748033</v>
      </c>
    </row>
    <row r="28" spans="4:24" ht="15.75">
      <c r="D28" s="47" t="s">
        <v>42</v>
      </c>
      <c r="E28" s="48">
        <f>SUM(E19:E27)</f>
        <v>901.39917500000001</v>
      </c>
      <c r="F28" s="48">
        <f t="shared" ref="F28:G28" si="17">SUM(F19:F27)</f>
        <v>514.86354499999993</v>
      </c>
      <c r="G28" s="48">
        <f t="shared" si="17"/>
        <v>838.77951999999993</v>
      </c>
      <c r="H28" s="44">
        <f>SUM(E28:G28)</f>
        <v>2255.0422399999998</v>
      </c>
      <c r="I28" s="44">
        <f>H28/3</f>
        <v>751.68074666666655</v>
      </c>
      <c r="Q28" s="24" t="s">
        <v>38</v>
      </c>
      <c r="R28" s="53">
        <v>4</v>
      </c>
      <c r="S28" s="54">
        <f>S25-S26-S27</f>
        <v>2684.1108601594751</v>
      </c>
      <c r="T28" s="54">
        <f t="shared" si="12"/>
        <v>671.02771503986878</v>
      </c>
      <c r="U28" s="54">
        <f t="shared" si="13"/>
        <v>1.7251683656661092</v>
      </c>
      <c r="V28" s="54" t="str">
        <f t="shared" si="14"/>
        <v>tn</v>
      </c>
      <c r="W28" s="54">
        <f t="shared" si="15"/>
        <v>3.006917279999981</v>
      </c>
      <c r="X28" s="54">
        <f>FINV(1%,$R28,$R$29)</f>
        <v>4.7725779998133984</v>
      </c>
    </row>
    <row r="29" spans="4:24" ht="15.75">
      <c r="D29" s="47" t="s">
        <v>81</v>
      </c>
      <c r="E29" s="44">
        <f>AVERAGE(E19:E27)</f>
        <v>100.15546388888889</v>
      </c>
      <c r="F29" s="44">
        <f t="shared" ref="F29:G29" si="18">AVERAGE(F19:F27)</f>
        <v>57.20706055555555</v>
      </c>
      <c r="G29" s="44">
        <f t="shared" si="18"/>
        <v>93.197724444444432</v>
      </c>
      <c r="H29" s="33"/>
      <c r="I29" s="44">
        <f>I28/9</f>
        <v>83.520082962962945</v>
      </c>
      <c r="Q29" s="24" t="s">
        <v>39</v>
      </c>
      <c r="R29" s="53">
        <v>16</v>
      </c>
      <c r="S29" s="54">
        <f>S30-S25-S24</f>
        <v>6223.4177569633466</v>
      </c>
      <c r="T29" s="54">
        <f t="shared" si="12"/>
        <v>388.96360981020916</v>
      </c>
      <c r="U29" s="55"/>
      <c r="V29" s="55"/>
      <c r="W29" s="55"/>
      <c r="X29" s="55"/>
    </row>
    <row r="30" spans="4:24">
      <c r="Q30" s="60" t="s">
        <v>14</v>
      </c>
      <c r="R30" s="56">
        <v>26</v>
      </c>
      <c r="S30" s="57">
        <f>SUMSQ(E19:G27)-S21</f>
        <v>21054.775445358653</v>
      </c>
      <c r="T30" s="58"/>
      <c r="U30" s="58"/>
      <c r="V30" s="58"/>
      <c r="W30" s="58"/>
      <c r="X30" s="58"/>
    </row>
    <row r="31" spans="4:24">
      <c r="K31" t="s">
        <v>82</v>
      </c>
    </row>
  </sheetData>
  <mergeCells count="14">
    <mergeCell ref="J19:J20"/>
    <mergeCell ref="K19:M19"/>
    <mergeCell ref="N19:N20"/>
    <mergeCell ref="O19:O20"/>
    <mergeCell ref="Q3:T3"/>
    <mergeCell ref="J3:M3"/>
    <mergeCell ref="P3:P4"/>
    <mergeCell ref="D17:D18"/>
    <mergeCell ref="E17:G17"/>
    <mergeCell ref="H17:H18"/>
    <mergeCell ref="I17:I18"/>
    <mergeCell ref="B3:B4"/>
    <mergeCell ref="C3:F3"/>
    <mergeCell ref="I3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4:AE52"/>
  <sheetViews>
    <sheetView tabSelected="1" zoomScale="59" zoomScaleNormal="59" workbookViewId="0">
      <selection activeCell="S29" sqref="S29"/>
    </sheetView>
  </sheetViews>
  <sheetFormatPr defaultRowHeight="15"/>
  <cols>
    <col min="7" max="7" width="12.7109375" customWidth="1"/>
    <col min="11" max="11" width="10.5703125" customWidth="1"/>
    <col min="24" max="24" width="12.28515625" customWidth="1"/>
    <col min="26" max="26" width="13.5703125" customWidth="1"/>
    <col min="27" max="27" width="14" customWidth="1"/>
  </cols>
  <sheetData>
    <row r="4" spans="2:21">
      <c r="B4" s="70" t="s">
        <v>0</v>
      </c>
      <c r="C4" s="69" t="s">
        <v>12</v>
      </c>
      <c r="D4" s="69"/>
      <c r="E4" s="69"/>
      <c r="F4" s="69"/>
      <c r="G4" s="2" t="s">
        <v>2</v>
      </c>
      <c r="I4" s="70" t="s">
        <v>0</v>
      </c>
      <c r="J4" s="69" t="s">
        <v>40</v>
      </c>
      <c r="K4" s="69"/>
      <c r="L4" s="69"/>
      <c r="M4" s="69"/>
      <c r="N4" s="2" t="s">
        <v>2</v>
      </c>
      <c r="P4" s="70" t="s">
        <v>0</v>
      </c>
      <c r="Q4" s="69" t="s">
        <v>41</v>
      </c>
      <c r="R4" s="69"/>
      <c r="S4" s="69"/>
      <c r="T4" s="69"/>
      <c r="U4" s="2" t="s">
        <v>2</v>
      </c>
    </row>
    <row r="5" spans="2:21">
      <c r="B5" s="71"/>
      <c r="C5" s="1">
        <v>1</v>
      </c>
      <c r="D5" s="1">
        <v>2</v>
      </c>
      <c r="E5" s="1">
        <v>3</v>
      </c>
      <c r="F5" s="1">
        <v>4</v>
      </c>
      <c r="G5" s="1"/>
      <c r="I5" s="71"/>
      <c r="J5" s="1">
        <v>1</v>
      </c>
      <c r="K5" s="1">
        <v>2</v>
      </c>
      <c r="L5" s="1">
        <v>3</v>
      </c>
      <c r="M5" s="1">
        <v>4</v>
      </c>
      <c r="N5" s="1"/>
      <c r="P5" s="71"/>
      <c r="Q5" s="1">
        <v>1</v>
      </c>
      <c r="R5" s="1">
        <v>2</v>
      </c>
      <c r="S5" s="1">
        <v>3</v>
      </c>
      <c r="T5" s="1">
        <v>4</v>
      </c>
      <c r="U5" s="1"/>
    </row>
    <row r="6" spans="2:21">
      <c r="B6" t="s">
        <v>3</v>
      </c>
      <c r="C6" s="3">
        <v>105.3057</v>
      </c>
      <c r="D6" s="3">
        <v>113.55500000000001</v>
      </c>
      <c r="E6" s="3">
        <v>128.06</v>
      </c>
      <c r="F6" s="3">
        <v>183.41560000000001</v>
      </c>
      <c r="G6" s="3">
        <f>AVERAGE(C6:F6)</f>
        <v>132.58407500000001</v>
      </c>
      <c r="I6" t="s">
        <v>3</v>
      </c>
      <c r="J6" s="3">
        <v>62.985300000000002</v>
      </c>
      <c r="K6" s="3">
        <v>73.337900000000005</v>
      </c>
      <c r="L6" s="3">
        <v>111.21</v>
      </c>
      <c r="M6" s="3">
        <v>86.272000000000006</v>
      </c>
      <c r="N6" s="3">
        <f>AVERAGE(J6:M6)</f>
        <v>83.451300000000003</v>
      </c>
      <c r="P6" t="s">
        <v>3</v>
      </c>
      <c r="Q6" s="3">
        <v>79.781300000000002</v>
      </c>
      <c r="R6" s="3">
        <v>97.885000000000005</v>
      </c>
      <c r="S6" s="3">
        <v>230.42699999999999</v>
      </c>
      <c r="T6" s="3">
        <v>152.863</v>
      </c>
      <c r="U6" s="3">
        <f>AVERAGE(Q6:T6)</f>
        <v>140.23907500000001</v>
      </c>
    </row>
    <row r="7" spans="2:21">
      <c r="B7" t="s">
        <v>5</v>
      </c>
      <c r="C7" s="3">
        <v>78.725200000000001</v>
      </c>
      <c r="D7" s="3">
        <v>88.428799999999995</v>
      </c>
      <c r="E7" s="3">
        <v>47.18</v>
      </c>
      <c r="F7" s="3">
        <v>85.935000000000002</v>
      </c>
      <c r="G7" s="3">
        <f t="shared" ref="G7:G14" si="0">AVERAGE(C7:F7)</f>
        <v>75.067250000000001</v>
      </c>
      <c r="I7" t="s">
        <v>5</v>
      </c>
      <c r="J7" s="3">
        <v>76.888999999999996</v>
      </c>
      <c r="K7" s="3">
        <v>65.9846</v>
      </c>
      <c r="L7" s="3">
        <v>131.767</v>
      </c>
      <c r="M7" s="3">
        <v>112.05249999999999</v>
      </c>
      <c r="N7" s="3">
        <f t="shared" ref="N7:N14" si="1">AVERAGE(J7:M7)</f>
        <v>96.673275000000004</v>
      </c>
      <c r="P7" t="s">
        <v>5</v>
      </c>
      <c r="Q7" s="3">
        <v>120.3764</v>
      </c>
      <c r="R7" s="3">
        <v>138.74289999999999</v>
      </c>
      <c r="S7" s="3">
        <v>103.9038</v>
      </c>
      <c r="T7" s="3">
        <v>72.792000000000002</v>
      </c>
      <c r="U7" s="3">
        <f t="shared" ref="U7:U14" si="2">AVERAGE(Q7:T7)</f>
        <v>108.95377500000001</v>
      </c>
    </row>
    <row r="8" spans="2:21">
      <c r="B8" t="s">
        <v>6</v>
      </c>
      <c r="C8" s="3">
        <v>120.996</v>
      </c>
      <c r="D8" s="3">
        <v>80.3947</v>
      </c>
      <c r="E8" s="3">
        <v>88.320899999999995</v>
      </c>
      <c r="F8" s="3">
        <v>87.350399999999993</v>
      </c>
      <c r="G8" s="3">
        <f t="shared" si="0"/>
        <v>94.265499999999989</v>
      </c>
      <c r="I8" t="s">
        <v>6</v>
      </c>
      <c r="J8" s="3">
        <v>145.9075</v>
      </c>
      <c r="K8" s="3">
        <v>86.945999999999998</v>
      </c>
      <c r="L8" s="3">
        <v>32.756399999999999</v>
      </c>
      <c r="M8" s="3">
        <v>99.684600000000003</v>
      </c>
      <c r="N8" s="3">
        <f t="shared" si="1"/>
        <v>91.323624999999993</v>
      </c>
      <c r="P8" t="s">
        <v>6</v>
      </c>
      <c r="Q8" s="3">
        <v>69.219800000000006</v>
      </c>
      <c r="R8" s="3">
        <v>51.426200000000001</v>
      </c>
      <c r="S8" s="3">
        <v>70.096000000000004</v>
      </c>
      <c r="T8" s="3">
        <v>51.898000000000003</v>
      </c>
      <c r="U8" s="3">
        <f t="shared" si="2"/>
        <v>60.660000000000004</v>
      </c>
    </row>
    <row r="9" spans="2:21">
      <c r="B9" t="s">
        <v>4</v>
      </c>
      <c r="C9" s="3">
        <v>74.982500000000002</v>
      </c>
      <c r="D9" s="3">
        <v>101.97620000000001</v>
      </c>
      <c r="E9" s="3">
        <v>68.882800000000003</v>
      </c>
      <c r="F9" s="3">
        <v>191.80018000000001</v>
      </c>
      <c r="G9" s="3">
        <f t="shared" si="0"/>
        <v>109.41042000000002</v>
      </c>
      <c r="I9" t="s">
        <v>4</v>
      </c>
      <c r="J9" s="3">
        <v>75.353200000000001</v>
      </c>
      <c r="K9" s="3">
        <v>77.981800000000007</v>
      </c>
      <c r="L9" s="3">
        <v>57.8292</v>
      </c>
      <c r="M9" s="3">
        <v>81.284400000000005</v>
      </c>
      <c r="N9" s="3">
        <f t="shared" si="1"/>
        <v>73.11215</v>
      </c>
      <c r="P9" t="s">
        <v>4</v>
      </c>
      <c r="Q9" s="3">
        <v>90.531679999999994</v>
      </c>
      <c r="R9" s="3">
        <v>180.733</v>
      </c>
      <c r="S9" s="3">
        <v>213.90700000000001</v>
      </c>
      <c r="T9" s="3">
        <v>112.8276</v>
      </c>
      <c r="U9" s="3">
        <f t="shared" si="2"/>
        <v>149.49982</v>
      </c>
    </row>
    <row r="10" spans="2:21">
      <c r="B10" t="s">
        <v>7</v>
      </c>
      <c r="C10" s="3">
        <v>139.01249999999999</v>
      </c>
      <c r="D10" s="3">
        <v>120.309</v>
      </c>
      <c r="E10" s="3">
        <v>112.1536</v>
      </c>
      <c r="F10" s="3">
        <v>82.902000000000001</v>
      </c>
      <c r="G10" s="3">
        <f t="shared" si="0"/>
        <v>113.594275</v>
      </c>
      <c r="I10" t="s">
        <v>7</v>
      </c>
      <c r="J10" s="3">
        <v>76.162000000000006</v>
      </c>
      <c r="K10" s="3">
        <v>87.471699999999998</v>
      </c>
      <c r="L10" s="3">
        <v>93.719700000000003</v>
      </c>
      <c r="M10" s="3">
        <v>67.332599999999999</v>
      </c>
      <c r="N10" s="3">
        <f t="shared" si="1"/>
        <v>81.171500000000009</v>
      </c>
      <c r="P10" t="s">
        <v>7</v>
      </c>
      <c r="Q10" s="3">
        <v>136.76133999999999</v>
      </c>
      <c r="R10" s="3">
        <v>154.6156</v>
      </c>
      <c r="S10" s="3">
        <v>134.04499999999999</v>
      </c>
      <c r="T10" s="3">
        <v>107.977</v>
      </c>
      <c r="U10" s="3">
        <f t="shared" si="2"/>
        <v>133.34973499999998</v>
      </c>
    </row>
    <row r="11" spans="2:21">
      <c r="B11" t="s">
        <v>8</v>
      </c>
      <c r="C11" s="3">
        <v>124.95959999999999</v>
      </c>
      <c r="D11" s="3">
        <v>109.86199999999999</v>
      </c>
      <c r="E11" s="3">
        <v>149.2775</v>
      </c>
      <c r="F11" s="3">
        <v>45.966799999999999</v>
      </c>
      <c r="G11" s="3">
        <f t="shared" si="0"/>
        <v>107.516475</v>
      </c>
      <c r="I11" t="s">
        <v>8</v>
      </c>
      <c r="J11" s="3">
        <v>81.891000000000005</v>
      </c>
      <c r="K11" s="3">
        <v>84.924000000000007</v>
      </c>
      <c r="L11" s="3">
        <v>66.725999999999999</v>
      </c>
      <c r="M11" s="3">
        <v>73.843000000000004</v>
      </c>
      <c r="N11" s="3">
        <f t="shared" si="1"/>
        <v>76.846000000000004</v>
      </c>
      <c r="P11" t="s">
        <v>8</v>
      </c>
      <c r="Q11" s="3">
        <v>143.22499999999999</v>
      </c>
      <c r="R11" s="3">
        <v>90.585599999999999</v>
      </c>
      <c r="S11" s="3">
        <v>113.55</v>
      </c>
      <c r="T11" s="3">
        <v>110.536</v>
      </c>
      <c r="U11" s="3">
        <f t="shared" si="2"/>
        <v>114.47414999999999</v>
      </c>
    </row>
    <row r="12" spans="2:21">
      <c r="B12" t="s">
        <v>9</v>
      </c>
      <c r="C12" s="3">
        <v>46.101599999999998</v>
      </c>
      <c r="D12" s="3">
        <v>128.71369999999999</v>
      </c>
      <c r="E12" s="3">
        <v>109.17449999999999</v>
      </c>
      <c r="F12" s="3">
        <v>97.055999999999997</v>
      </c>
      <c r="G12" s="3">
        <f t="shared" si="0"/>
        <v>95.261449999999982</v>
      </c>
      <c r="I12" t="s">
        <v>9</v>
      </c>
      <c r="J12" s="3">
        <v>41.99</v>
      </c>
      <c r="K12" s="3">
        <v>66.725999999999999</v>
      </c>
      <c r="L12" s="3">
        <v>82.74</v>
      </c>
      <c r="M12" s="3">
        <v>48.783999999999999</v>
      </c>
      <c r="N12" s="3">
        <f t="shared" si="1"/>
        <v>60.06</v>
      </c>
      <c r="P12" t="s">
        <v>9</v>
      </c>
      <c r="Q12" s="3">
        <v>74.058999999999997</v>
      </c>
      <c r="R12" s="3">
        <v>60.79</v>
      </c>
      <c r="S12" s="3">
        <v>83.980400000000003</v>
      </c>
      <c r="T12" s="3">
        <v>71.174000000000007</v>
      </c>
      <c r="U12" s="3">
        <f t="shared" si="2"/>
        <v>72.50085</v>
      </c>
    </row>
    <row r="13" spans="2:21">
      <c r="B13" t="s">
        <v>10</v>
      </c>
      <c r="C13" s="3">
        <v>113.232</v>
      </c>
      <c r="D13" s="3">
        <v>122.331</v>
      </c>
      <c r="E13" s="3">
        <v>142.34880000000001</v>
      </c>
      <c r="F13" s="3">
        <v>73.25</v>
      </c>
      <c r="G13" s="3">
        <f>AVERAGE(C13:F13)</f>
        <v>112.79044999999999</v>
      </c>
      <c r="I13" t="s">
        <v>10</v>
      </c>
      <c r="J13" s="3">
        <v>53.073500000000003</v>
      </c>
      <c r="K13" s="3">
        <v>88.968000000000004</v>
      </c>
      <c r="L13" s="3">
        <v>75.218400000000003</v>
      </c>
      <c r="M13" s="3">
        <v>62.985300000000002</v>
      </c>
      <c r="N13" s="3">
        <f t="shared" si="1"/>
        <v>70.061300000000003</v>
      </c>
      <c r="P13" t="s">
        <v>10</v>
      </c>
      <c r="Q13" s="3">
        <v>137.011</v>
      </c>
      <c r="R13" s="3">
        <v>123.8138</v>
      </c>
      <c r="S13" s="3">
        <v>42.057600000000001</v>
      </c>
      <c r="T13" s="3">
        <v>82.793999999999997</v>
      </c>
      <c r="U13" s="3">
        <f t="shared" si="2"/>
        <v>96.419099999999986</v>
      </c>
    </row>
    <row r="14" spans="2:21">
      <c r="B14" t="s">
        <v>11</v>
      </c>
      <c r="C14" s="3">
        <v>75.184700000000007</v>
      </c>
      <c r="D14" s="3">
        <v>104.47</v>
      </c>
      <c r="E14" s="3">
        <v>123.74639999999999</v>
      </c>
      <c r="F14" s="3">
        <v>212.31</v>
      </c>
      <c r="G14" s="3">
        <f t="shared" si="0"/>
        <v>128.927775</v>
      </c>
      <c r="I14" t="s">
        <v>11</v>
      </c>
      <c r="J14" s="3">
        <v>74.948800000000006</v>
      </c>
      <c r="K14" s="3">
        <v>67.9392</v>
      </c>
      <c r="L14" s="3">
        <v>54.997999999999998</v>
      </c>
      <c r="M14" s="3">
        <v>64.353499999999997</v>
      </c>
      <c r="N14" s="3">
        <f t="shared" si="1"/>
        <v>65.559875000000005</v>
      </c>
      <c r="P14" t="s">
        <v>11</v>
      </c>
      <c r="Q14" s="3">
        <v>194.71860000000001</v>
      </c>
      <c r="R14" s="3">
        <v>137.172</v>
      </c>
      <c r="S14" s="3">
        <v>122.331</v>
      </c>
      <c r="T14" s="3">
        <v>69.394999999999996</v>
      </c>
      <c r="U14" s="3">
        <f t="shared" si="2"/>
        <v>130.90415000000002</v>
      </c>
    </row>
    <row r="19" spans="3:31" ht="15.75">
      <c r="C19" s="70" t="s">
        <v>18</v>
      </c>
      <c r="D19" s="69" t="s">
        <v>52</v>
      </c>
      <c r="E19" s="69"/>
      <c r="F19" s="69"/>
      <c r="G19" s="70" t="s">
        <v>14</v>
      </c>
      <c r="H19" s="70" t="s">
        <v>2</v>
      </c>
      <c r="K19" s="75" t="s">
        <v>0</v>
      </c>
      <c r="L19" s="77" t="s">
        <v>1</v>
      </c>
      <c r="M19" s="77"/>
      <c r="N19" s="77"/>
      <c r="O19" s="78" t="s">
        <v>14</v>
      </c>
      <c r="P19" s="70" t="s">
        <v>79</v>
      </c>
      <c r="Q19" s="64"/>
      <c r="R19" s="17"/>
      <c r="S19" s="17"/>
      <c r="T19" s="17"/>
      <c r="U19" s="64"/>
      <c r="V19" s="17"/>
      <c r="W19" s="17"/>
      <c r="X19" s="17"/>
      <c r="Y19" s="18"/>
      <c r="Z19" s="19"/>
      <c r="AA19" s="19"/>
      <c r="AB19" s="19"/>
      <c r="AC19" s="19"/>
      <c r="AD19" s="19"/>
      <c r="AE19" s="19"/>
    </row>
    <row r="20" spans="3:31" ht="15.75">
      <c r="C20" s="71"/>
      <c r="D20" s="1">
        <v>1</v>
      </c>
      <c r="E20" s="1">
        <v>2</v>
      </c>
      <c r="F20" s="1">
        <v>3</v>
      </c>
      <c r="G20" s="71"/>
      <c r="H20" s="71"/>
      <c r="K20" s="76"/>
      <c r="L20" s="45">
        <v>1</v>
      </c>
      <c r="M20" s="45">
        <v>2</v>
      </c>
      <c r="N20" s="45">
        <v>3</v>
      </c>
      <c r="O20" s="79"/>
      <c r="P20" s="71"/>
      <c r="Q20" s="65"/>
      <c r="R20" s="66" t="s">
        <v>83</v>
      </c>
      <c r="S20" s="66"/>
      <c r="T20" s="66"/>
      <c r="U20" s="66"/>
      <c r="V20" s="24"/>
      <c r="Y20" s="13" t="s">
        <v>25</v>
      </c>
      <c r="Z20">
        <v>3</v>
      </c>
    </row>
    <row r="21" spans="3:31" ht="15.75">
      <c r="C21" t="s">
        <v>3</v>
      </c>
      <c r="D21" s="3">
        <v>132.58000000000001</v>
      </c>
      <c r="E21" s="3">
        <f t="shared" ref="E21:E29" si="3">N6</f>
        <v>83.451300000000003</v>
      </c>
      <c r="F21" s="3">
        <f t="shared" ref="F21:F29" si="4">U6</f>
        <v>140.23907500000001</v>
      </c>
      <c r="G21" s="3">
        <f>SUM(D21:F21)</f>
        <v>356.27037500000006</v>
      </c>
      <c r="H21">
        <f>G21/3</f>
        <v>118.75679166666669</v>
      </c>
      <c r="K21" s="20" t="s">
        <v>3</v>
      </c>
      <c r="L21" s="46">
        <f t="shared" ref="L21:L29" si="5">D21</f>
        <v>132.58000000000001</v>
      </c>
      <c r="M21" s="43">
        <f t="shared" ref="M21:M29" si="6">E21</f>
        <v>83.451300000000003</v>
      </c>
      <c r="N21" s="43">
        <f t="shared" ref="N21:N29" si="7">F21</f>
        <v>140.23907500000001</v>
      </c>
      <c r="O21" s="43">
        <f>SUM(L21:N21)</f>
        <v>356.27037500000006</v>
      </c>
      <c r="P21" s="43">
        <f>O21/3</f>
        <v>118.75679166666669</v>
      </c>
      <c r="Q21" s="88" t="s">
        <v>19</v>
      </c>
      <c r="R21" s="81" t="s">
        <v>20</v>
      </c>
      <c r="S21" s="81"/>
      <c r="T21" s="81"/>
      <c r="U21" s="88" t="s">
        <v>14</v>
      </c>
      <c r="V21" s="86" t="s">
        <v>2</v>
      </c>
      <c r="Y21" s="13" t="s">
        <v>19</v>
      </c>
      <c r="Z21">
        <v>3</v>
      </c>
    </row>
    <row r="22" spans="3:31" ht="15.75">
      <c r="C22" t="s">
        <v>5</v>
      </c>
      <c r="D22" s="3">
        <v>75.069999999999993</v>
      </c>
      <c r="E22" s="3">
        <f t="shared" si="3"/>
        <v>96.673275000000004</v>
      </c>
      <c r="F22" s="3">
        <f t="shared" si="4"/>
        <v>108.95377500000001</v>
      </c>
      <c r="G22" s="3">
        <f t="shared" ref="G22:G28" si="8">SUM(D22:F22)</f>
        <v>280.69704999999999</v>
      </c>
      <c r="H22">
        <f t="shared" ref="H22:H29" si="9">G22/3</f>
        <v>93.565683333333325</v>
      </c>
      <c r="K22" s="20" t="s">
        <v>5</v>
      </c>
      <c r="L22" s="46">
        <f t="shared" si="5"/>
        <v>75.069999999999993</v>
      </c>
      <c r="M22" s="43">
        <f t="shared" si="6"/>
        <v>96.673275000000004</v>
      </c>
      <c r="N22" s="43">
        <f t="shared" si="7"/>
        <v>108.95377500000001</v>
      </c>
      <c r="O22" s="43">
        <f t="shared" ref="O22:O28" si="10">SUM(L22:N22)</f>
        <v>280.69704999999999</v>
      </c>
      <c r="P22" s="43">
        <f t="shared" ref="P22:P30" si="11">O22/3</f>
        <v>93.565683333333325</v>
      </c>
      <c r="Q22" s="81"/>
      <c r="R22" s="21">
        <v>1</v>
      </c>
      <c r="S22" s="21">
        <v>2</v>
      </c>
      <c r="T22" s="21">
        <v>3</v>
      </c>
      <c r="U22" s="81"/>
      <c r="V22" s="71"/>
      <c r="Y22" s="13" t="s">
        <v>26</v>
      </c>
      <c r="Z22">
        <v>3</v>
      </c>
    </row>
    <row r="23" spans="3:31" ht="15.75">
      <c r="C23" t="s">
        <v>6</v>
      </c>
      <c r="D23" s="3">
        <v>94.27</v>
      </c>
      <c r="E23" s="3">
        <f t="shared" si="3"/>
        <v>91.323624999999993</v>
      </c>
      <c r="F23" s="3">
        <f t="shared" si="4"/>
        <v>60.660000000000004</v>
      </c>
      <c r="G23" s="3">
        <f t="shared" si="8"/>
        <v>246.25362499999997</v>
      </c>
      <c r="H23">
        <f t="shared" si="9"/>
        <v>82.084541666666652</v>
      </c>
      <c r="K23" s="20" t="s">
        <v>6</v>
      </c>
      <c r="L23" s="46">
        <f t="shared" si="5"/>
        <v>94.27</v>
      </c>
      <c r="M23" s="43">
        <f t="shared" si="6"/>
        <v>91.323624999999993</v>
      </c>
      <c r="N23" s="43">
        <f t="shared" si="7"/>
        <v>60.660000000000004</v>
      </c>
      <c r="O23" s="43">
        <f t="shared" si="10"/>
        <v>246.25362499999997</v>
      </c>
      <c r="P23" s="43">
        <f t="shared" si="11"/>
        <v>82.084541666666652</v>
      </c>
      <c r="Q23" s="22">
        <v>1</v>
      </c>
      <c r="R23" s="7">
        <f>O21</f>
        <v>356.27037500000006</v>
      </c>
      <c r="S23" s="7">
        <f>O24</f>
        <v>332.02197000000001</v>
      </c>
      <c r="T23" s="7">
        <f>O27</f>
        <v>227.82229999999998</v>
      </c>
      <c r="U23" s="7">
        <f>SUM(R23:T23)</f>
        <v>916.11464500000011</v>
      </c>
      <c r="V23" s="7">
        <f>U23/9</f>
        <v>101.79051611111112</v>
      </c>
      <c r="Y23" s="13" t="s">
        <v>43</v>
      </c>
      <c r="Z23">
        <f>(O30^2)/(Z20*Z21*Z22)</f>
        <v>264958.91835504404</v>
      </c>
    </row>
    <row r="24" spans="3:31" ht="15.75">
      <c r="C24" t="s">
        <v>4</v>
      </c>
      <c r="D24" s="3">
        <v>109.41</v>
      </c>
      <c r="E24" s="3">
        <f t="shared" si="3"/>
        <v>73.11215</v>
      </c>
      <c r="F24" s="3">
        <f t="shared" si="4"/>
        <v>149.49982</v>
      </c>
      <c r="G24" s="3">
        <f t="shared" si="8"/>
        <v>332.02197000000001</v>
      </c>
      <c r="H24">
        <f t="shared" si="9"/>
        <v>110.67399</v>
      </c>
      <c r="K24" s="20" t="s">
        <v>4</v>
      </c>
      <c r="L24" s="46">
        <f t="shared" si="5"/>
        <v>109.41</v>
      </c>
      <c r="M24" s="43">
        <f t="shared" si="6"/>
        <v>73.11215</v>
      </c>
      <c r="N24" s="43">
        <f t="shared" si="7"/>
        <v>149.49982</v>
      </c>
      <c r="O24" s="43">
        <f t="shared" si="10"/>
        <v>332.02197000000001</v>
      </c>
      <c r="P24" s="43">
        <f t="shared" si="11"/>
        <v>110.67399</v>
      </c>
      <c r="Q24" s="22">
        <v>2</v>
      </c>
      <c r="R24" s="7">
        <f>O22</f>
        <v>280.69704999999999</v>
      </c>
      <c r="S24" s="7">
        <f>O25</f>
        <v>328.11123499999997</v>
      </c>
      <c r="T24" s="7">
        <f>O28</f>
        <v>279.27085</v>
      </c>
      <c r="U24" s="7">
        <f t="shared" ref="U24:U25" si="12">SUM(R24:T24)</f>
        <v>888.07913499999995</v>
      </c>
      <c r="V24" s="7">
        <f t="shared" ref="V24:V25" si="13">U24/9</f>
        <v>98.675459444444442</v>
      </c>
    </row>
    <row r="25" spans="3:31" ht="15.75">
      <c r="C25" t="s">
        <v>7</v>
      </c>
      <c r="D25" s="3">
        <v>113.59</v>
      </c>
      <c r="E25" s="3">
        <f t="shared" si="3"/>
        <v>81.171500000000009</v>
      </c>
      <c r="F25" s="3">
        <f t="shared" si="4"/>
        <v>133.34973499999998</v>
      </c>
      <c r="G25" s="3">
        <f t="shared" si="8"/>
        <v>328.11123499999997</v>
      </c>
      <c r="H25">
        <f t="shared" si="9"/>
        <v>109.37041166666666</v>
      </c>
      <c r="K25" s="20" t="s">
        <v>7</v>
      </c>
      <c r="L25" s="46">
        <f t="shared" si="5"/>
        <v>113.59</v>
      </c>
      <c r="M25" s="43">
        <f t="shared" si="6"/>
        <v>81.171500000000009</v>
      </c>
      <c r="N25" s="43">
        <f t="shared" si="7"/>
        <v>133.34973499999998</v>
      </c>
      <c r="O25" s="43">
        <f t="shared" si="10"/>
        <v>328.11123499999997</v>
      </c>
      <c r="P25" s="43">
        <f t="shared" si="11"/>
        <v>109.37041166666666</v>
      </c>
      <c r="Q25" s="23">
        <v>3</v>
      </c>
      <c r="R25" s="7">
        <f>O23</f>
        <v>246.25362499999997</v>
      </c>
      <c r="S25" s="7">
        <f>O26</f>
        <v>298.83662500000003</v>
      </c>
      <c r="T25" s="7">
        <f>O29</f>
        <v>325.39179999999999</v>
      </c>
      <c r="U25" s="7">
        <f t="shared" si="12"/>
        <v>870.48204999999996</v>
      </c>
      <c r="V25" s="7">
        <f t="shared" si="13"/>
        <v>96.720227777777779</v>
      </c>
      <c r="X25" s="49" t="s">
        <v>44</v>
      </c>
      <c r="Y25" s="49" t="s">
        <v>45</v>
      </c>
      <c r="Z25" s="49" t="s">
        <v>46</v>
      </c>
      <c r="AA25" s="34" t="s">
        <v>47</v>
      </c>
      <c r="AB25" s="34" t="s">
        <v>48</v>
      </c>
      <c r="AC25" s="34"/>
      <c r="AD25" s="34" t="s">
        <v>49</v>
      </c>
      <c r="AE25" s="34" t="s">
        <v>50</v>
      </c>
    </row>
    <row r="26" spans="3:31" ht="15.75">
      <c r="C26" t="s">
        <v>8</v>
      </c>
      <c r="D26" s="3">
        <f t="shared" ref="D21:D29" si="14">G11</f>
        <v>107.516475</v>
      </c>
      <c r="E26" s="3">
        <f t="shared" si="3"/>
        <v>76.846000000000004</v>
      </c>
      <c r="F26" s="3">
        <f t="shared" si="4"/>
        <v>114.47414999999999</v>
      </c>
      <c r="G26" s="3">
        <f t="shared" si="8"/>
        <v>298.83662500000003</v>
      </c>
      <c r="H26">
        <f t="shared" si="9"/>
        <v>99.612208333333342</v>
      </c>
      <c r="K26" s="20" t="s">
        <v>8</v>
      </c>
      <c r="L26" s="46">
        <f t="shared" si="5"/>
        <v>107.516475</v>
      </c>
      <c r="M26" s="43">
        <f t="shared" si="6"/>
        <v>76.846000000000004</v>
      </c>
      <c r="N26" s="43">
        <f t="shared" si="7"/>
        <v>114.47414999999999</v>
      </c>
      <c r="O26" s="43">
        <f t="shared" si="10"/>
        <v>298.83662500000003</v>
      </c>
      <c r="P26" s="43">
        <f t="shared" si="11"/>
        <v>99.612208333333342</v>
      </c>
      <c r="Q26" t="s">
        <v>14</v>
      </c>
      <c r="R26" s="7">
        <f>SUM(R23:R25)</f>
        <v>883.22104999999999</v>
      </c>
      <c r="S26" s="7">
        <f t="shared" ref="S26:T26" si="15">SUM(S23:S25)</f>
        <v>958.96983</v>
      </c>
      <c r="T26" s="7">
        <f t="shared" si="15"/>
        <v>832.48495000000003</v>
      </c>
      <c r="U26" s="7"/>
      <c r="V26" s="7"/>
      <c r="X26" s="62" t="s">
        <v>36</v>
      </c>
      <c r="Y26" s="53">
        <v>2</v>
      </c>
      <c r="Z26" s="59">
        <f>SUMSQ(L30:N30)/(Z21*Z22)-Z23</f>
        <v>6305.9324277561973</v>
      </c>
      <c r="AA26" s="59">
        <f>Z26/Y26</f>
        <v>3152.9662138780986</v>
      </c>
      <c r="AB26" s="54">
        <f>AA26/$AA$31</f>
        <v>7.9897574477840747</v>
      </c>
      <c r="AC26" s="59" t="str">
        <f>IF(AB26&lt;AD26,"tn",IF(AB26&lt;AE26,"*","**"))</f>
        <v>**</v>
      </c>
      <c r="AD26" s="59">
        <f>FINV(5%,$AA26,$AA$31)</f>
        <v>1.1364537259793472</v>
      </c>
      <c r="AE26" s="59">
        <f>FINV(1%,$AA26,$AA$31)</f>
        <v>1.1990632172062021</v>
      </c>
    </row>
    <row r="27" spans="3:31" ht="15.75">
      <c r="C27" t="s">
        <v>9</v>
      </c>
      <c r="D27" s="3">
        <f t="shared" si="14"/>
        <v>95.261449999999982</v>
      </c>
      <c r="E27" s="3">
        <f t="shared" si="3"/>
        <v>60.06</v>
      </c>
      <c r="F27" s="3">
        <f t="shared" si="4"/>
        <v>72.50085</v>
      </c>
      <c r="G27" s="3">
        <f t="shared" si="8"/>
        <v>227.82229999999998</v>
      </c>
      <c r="H27">
        <f t="shared" si="9"/>
        <v>75.940766666666661</v>
      </c>
      <c r="K27" s="20" t="s">
        <v>9</v>
      </c>
      <c r="L27" s="46">
        <f t="shared" si="5"/>
        <v>95.261449999999982</v>
      </c>
      <c r="M27" s="43">
        <f t="shared" si="6"/>
        <v>60.06</v>
      </c>
      <c r="N27" s="43">
        <f t="shared" si="7"/>
        <v>72.50085</v>
      </c>
      <c r="O27" s="43">
        <f t="shared" si="10"/>
        <v>227.82229999999998</v>
      </c>
      <c r="P27" s="43">
        <f t="shared" si="11"/>
        <v>75.940766666666661</v>
      </c>
      <c r="Q27" t="s">
        <v>2</v>
      </c>
      <c r="R27" s="7">
        <f>R26/9</f>
        <v>98.135672222222226</v>
      </c>
      <c r="S27" s="7">
        <f t="shared" ref="S27:T27" si="16">S26/9</f>
        <v>106.55220333333334</v>
      </c>
      <c r="T27" s="7">
        <f t="shared" si="16"/>
        <v>92.498327777777774</v>
      </c>
      <c r="U27" s="7"/>
      <c r="V27" s="7"/>
      <c r="X27" s="62" t="s">
        <v>0</v>
      </c>
      <c r="Y27" s="53">
        <v>8</v>
      </c>
      <c r="Z27" s="59">
        <f>SUMSQ(O21:O29)/Z20-Z23</f>
        <v>4819.1459411336109</v>
      </c>
      <c r="AA27" s="59">
        <f t="shared" ref="AA27:AA31" si="17">Z27/Y27</f>
        <v>602.39324264170136</v>
      </c>
      <c r="AB27" s="54">
        <f t="shared" ref="AB27:AB30" si="18">AA27/$AA$31</f>
        <v>1.5264914275663768</v>
      </c>
      <c r="AC27" s="59" t="str">
        <f t="shared" ref="AC27:AC30" si="19">IF(AB27&lt;AD27,"tn",IF(AB27&lt;AE27,"*","**"))</f>
        <v>**</v>
      </c>
      <c r="AD27" s="59">
        <f t="shared" ref="AD27:AD30" si="20">FINV(5%,$AA27,$AA$31)</f>
        <v>1.1644778140268532</v>
      </c>
      <c r="AE27" s="59">
        <f t="shared" ref="AE27:AE30" si="21">FINV(1%,$AA27,$AA$31)</f>
        <v>1.2407150686869923</v>
      </c>
    </row>
    <row r="28" spans="3:31" ht="15.75">
      <c r="C28" t="s">
        <v>10</v>
      </c>
      <c r="D28" s="3">
        <f t="shared" si="14"/>
        <v>112.79044999999999</v>
      </c>
      <c r="E28" s="3">
        <f t="shared" si="3"/>
        <v>70.061300000000003</v>
      </c>
      <c r="F28" s="3">
        <f t="shared" si="4"/>
        <v>96.419099999999986</v>
      </c>
      <c r="G28" s="3">
        <f t="shared" si="8"/>
        <v>279.27085</v>
      </c>
      <c r="H28">
        <f t="shared" si="9"/>
        <v>93.090283333333332</v>
      </c>
      <c r="K28" s="20" t="s">
        <v>10</v>
      </c>
      <c r="L28" s="46">
        <f t="shared" si="5"/>
        <v>112.79044999999999</v>
      </c>
      <c r="M28" s="43">
        <f t="shared" si="6"/>
        <v>70.061300000000003</v>
      </c>
      <c r="N28" s="43">
        <f t="shared" si="7"/>
        <v>96.419099999999986</v>
      </c>
      <c r="O28" s="43">
        <f t="shared" si="10"/>
        <v>279.27085</v>
      </c>
      <c r="P28" s="43">
        <f t="shared" si="11"/>
        <v>93.090283333333332</v>
      </c>
      <c r="X28" s="62" t="s">
        <v>51</v>
      </c>
      <c r="Y28" s="53">
        <v>2</v>
      </c>
      <c r="Z28" s="59">
        <f>SUMSQ(U23:U25)/(Z20*Z22)-Z23</f>
        <v>117.70299807004631</v>
      </c>
      <c r="AA28" s="59">
        <f t="shared" si="17"/>
        <v>58.851499035023153</v>
      </c>
      <c r="AB28" s="54">
        <f t="shared" si="18"/>
        <v>0.149132331535511</v>
      </c>
      <c r="AC28" s="59" t="str">
        <f t="shared" si="19"/>
        <v>tn</v>
      </c>
      <c r="AD28" s="59">
        <f t="shared" si="20"/>
        <v>1.3581595775460351</v>
      </c>
      <c r="AE28" s="59">
        <f t="shared" si="21"/>
        <v>1.5378012176962392</v>
      </c>
    </row>
    <row r="29" spans="3:31" ht="15.75">
      <c r="C29" t="s">
        <v>11</v>
      </c>
      <c r="D29" s="3">
        <f t="shared" si="14"/>
        <v>128.927775</v>
      </c>
      <c r="E29" s="3">
        <f t="shared" si="3"/>
        <v>65.559875000000005</v>
      </c>
      <c r="F29" s="3">
        <f t="shared" si="4"/>
        <v>130.90415000000002</v>
      </c>
      <c r="G29" s="3">
        <f>SUM(D29:F29)</f>
        <v>325.39179999999999</v>
      </c>
      <c r="H29">
        <f t="shared" si="9"/>
        <v>108.46393333333333</v>
      </c>
      <c r="K29" s="20" t="s">
        <v>11</v>
      </c>
      <c r="L29" s="46">
        <f t="shared" si="5"/>
        <v>128.927775</v>
      </c>
      <c r="M29" s="43">
        <f t="shared" si="6"/>
        <v>65.559875000000005</v>
      </c>
      <c r="N29" s="43">
        <f t="shared" si="7"/>
        <v>130.90415000000002</v>
      </c>
      <c r="O29" s="43">
        <f>SUM(L29:N29)</f>
        <v>325.39179999999999</v>
      </c>
      <c r="P29" s="43">
        <f t="shared" si="11"/>
        <v>108.46393333333333</v>
      </c>
      <c r="X29" s="62" t="s">
        <v>26</v>
      </c>
      <c r="Y29" s="53">
        <v>2</v>
      </c>
      <c r="Z29" s="59">
        <f>SUMSQ(R26:T26)/(Z20*Z21)-Z23</f>
        <v>900.38719938194845</v>
      </c>
      <c r="AA29" s="59">
        <f t="shared" si="17"/>
        <v>450.19359969097422</v>
      </c>
      <c r="AB29" s="54">
        <f t="shared" si="18"/>
        <v>1.1408107230085118</v>
      </c>
      <c r="AC29" s="59" t="str">
        <f>IF(AB29&lt;AD29,"tn",IF(AB29&lt;AE29,"*","**"))</f>
        <v>tn</v>
      </c>
      <c r="AD29" s="59">
        <f t="shared" si="20"/>
        <v>1.1748881291879338</v>
      </c>
      <c r="AE29" s="59">
        <f t="shared" si="21"/>
        <v>1.2562770299905779</v>
      </c>
    </row>
    <row r="30" spans="3:31" ht="15.75">
      <c r="C30" t="s">
        <v>16</v>
      </c>
      <c r="D30" s="3">
        <f>SUM(D21:D29)</f>
        <v>969.41615000000002</v>
      </c>
      <c r="E30" s="3">
        <f t="shared" ref="E30:G30" si="22">SUM(E21:E29)</f>
        <v>698.25902500000007</v>
      </c>
      <c r="F30" s="3">
        <f t="shared" si="22"/>
        <v>1007.0006550000001</v>
      </c>
      <c r="G30" s="3">
        <f t="shared" si="22"/>
        <v>2674.6758299999992</v>
      </c>
      <c r="K30" s="47" t="s">
        <v>42</v>
      </c>
      <c r="L30" s="48">
        <f>SUM(L21:L29)</f>
        <v>969.41615000000002</v>
      </c>
      <c r="M30" s="48">
        <f t="shared" ref="M30:N30" si="23">SUM(M21:M29)</f>
        <v>698.25902500000007</v>
      </c>
      <c r="N30" s="48">
        <f t="shared" si="23"/>
        <v>1007.0006550000001</v>
      </c>
      <c r="O30" s="44">
        <f>SUM(L30:N30)</f>
        <v>2674.6758300000001</v>
      </c>
      <c r="P30" s="44">
        <f t="shared" si="11"/>
        <v>891.55861000000004</v>
      </c>
      <c r="X30" s="62" t="s">
        <v>38</v>
      </c>
      <c r="Y30" s="53">
        <v>4</v>
      </c>
      <c r="Z30" s="59">
        <f>Z27-Z28-Z29</f>
        <v>3801.0557436816161</v>
      </c>
      <c r="AA30" s="59">
        <f t="shared" si="17"/>
        <v>950.26393592040404</v>
      </c>
      <c r="AB30" s="54">
        <f t="shared" si="18"/>
        <v>2.4080113278607422</v>
      </c>
      <c r="AC30" s="59" t="str">
        <f t="shared" si="19"/>
        <v>**</v>
      </c>
      <c r="AD30" s="59">
        <f t="shared" si="20"/>
        <v>1.1524140952848132</v>
      </c>
      <c r="AE30" s="59">
        <f t="shared" si="21"/>
        <v>1.2227417182497939</v>
      </c>
    </row>
    <row r="31" spans="3:31" ht="15.75">
      <c r="K31" s="47" t="s">
        <v>81</v>
      </c>
      <c r="L31" s="44">
        <f>AVERAGE(L21:L29)</f>
        <v>107.71290555555555</v>
      </c>
      <c r="M31" s="44">
        <f t="shared" ref="M31:N31" si="24">AVERAGE(M21:M29)</f>
        <v>77.584336111111114</v>
      </c>
      <c r="N31" s="44">
        <f t="shared" si="24"/>
        <v>111.88896166666667</v>
      </c>
      <c r="O31" s="33"/>
      <c r="P31" s="44">
        <f>P30/9</f>
        <v>99.062067777777784</v>
      </c>
      <c r="X31" s="62" t="s">
        <v>39</v>
      </c>
      <c r="Y31" s="53">
        <v>16</v>
      </c>
      <c r="Z31" s="59">
        <f>Z32-Z27-Z26</f>
        <v>6314.0163830681704</v>
      </c>
      <c r="AA31" s="59">
        <f t="shared" si="17"/>
        <v>394.62602394176065</v>
      </c>
      <c r="AB31" s="55"/>
      <c r="AC31" s="55"/>
      <c r="AD31" s="55"/>
      <c r="AE31" s="55"/>
    </row>
    <row r="32" spans="3:31">
      <c r="X32" s="63" t="s">
        <v>14</v>
      </c>
      <c r="Y32" s="56">
        <v>26</v>
      </c>
      <c r="Z32" s="61">
        <f>SUMSQ(L21:N29)-Z23</f>
        <v>17439.094751957979</v>
      </c>
      <c r="AA32" s="58"/>
      <c r="AB32" s="58"/>
      <c r="AC32" s="58"/>
      <c r="AD32" s="58"/>
      <c r="AE32" s="58"/>
    </row>
    <row r="35" spans="13:31">
      <c r="Z35" t="s">
        <v>65</v>
      </c>
      <c r="AA35" t="s">
        <v>66</v>
      </c>
      <c r="AB35">
        <v>3.649</v>
      </c>
    </row>
    <row r="37" spans="13:31">
      <c r="Y37" s="35"/>
      <c r="Z37" s="35" t="s">
        <v>53</v>
      </c>
      <c r="AA37" s="35"/>
      <c r="AB37" s="35" t="s">
        <v>54</v>
      </c>
      <c r="AC37" s="35"/>
      <c r="AD37" s="35" t="s">
        <v>55</v>
      </c>
      <c r="AE37" s="36"/>
    </row>
    <row r="38" spans="13:31">
      <c r="Y38" s="35" t="s">
        <v>56</v>
      </c>
      <c r="Z38" s="37">
        <f>H21</f>
        <v>118.75679166666669</v>
      </c>
      <c r="AA38" s="37" t="s">
        <v>57</v>
      </c>
      <c r="AB38" s="37">
        <f>P24</f>
        <v>110.67399</v>
      </c>
      <c r="AC38" s="37" t="s">
        <v>57</v>
      </c>
      <c r="AD38" s="37">
        <f>P27</f>
        <v>75.940766666666661</v>
      </c>
      <c r="AE38" s="36" t="s">
        <v>67</v>
      </c>
    </row>
    <row r="39" spans="13:31">
      <c r="Y39" s="35" t="s">
        <v>58</v>
      </c>
      <c r="Z39" s="37">
        <f>H22</f>
        <v>93.565683333333325</v>
      </c>
      <c r="AA39" s="37" t="s">
        <v>57</v>
      </c>
      <c r="AB39" s="37">
        <f>P25</f>
        <v>109.37041166666666</v>
      </c>
      <c r="AC39" s="37" t="s">
        <v>57</v>
      </c>
      <c r="AD39" s="37">
        <f>P28</f>
        <v>93.090283333333332</v>
      </c>
      <c r="AE39" s="36" t="s">
        <v>67</v>
      </c>
    </row>
    <row r="40" spans="13:31">
      <c r="M40" s="70" t="s">
        <v>13</v>
      </c>
      <c r="N40" s="69" t="s">
        <v>20</v>
      </c>
      <c r="O40" s="69"/>
      <c r="P40" s="69"/>
      <c r="Q40" s="69"/>
      <c r="R40" s="69"/>
      <c r="S40" s="69"/>
      <c r="T40" s="69"/>
      <c r="U40" s="69"/>
      <c r="V40" s="69"/>
      <c r="W40" s="70" t="s">
        <v>60</v>
      </c>
      <c r="Y40" s="35" t="s">
        <v>59</v>
      </c>
      <c r="Z40" s="37">
        <f>H23</f>
        <v>82.084541666666652</v>
      </c>
      <c r="AA40" s="37" t="s">
        <v>57</v>
      </c>
      <c r="AB40" s="37">
        <f>P26</f>
        <v>99.612208333333342</v>
      </c>
      <c r="AC40" s="37" t="s">
        <v>57</v>
      </c>
      <c r="AD40" s="37">
        <f>P29</f>
        <v>108.46393333333333</v>
      </c>
      <c r="AE40" s="36" t="s">
        <v>67</v>
      </c>
    </row>
    <row r="41" spans="13:31">
      <c r="M41" s="86"/>
      <c r="N41" s="86" t="s">
        <v>53</v>
      </c>
      <c r="O41" s="86"/>
      <c r="P41" s="86"/>
      <c r="Q41" s="86" t="s">
        <v>54</v>
      </c>
      <c r="R41" s="86"/>
      <c r="S41" s="86"/>
      <c r="T41" s="86" t="s">
        <v>55</v>
      </c>
      <c r="U41" s="86"/>
      <c r="V41" s="86"/>
      <c r="W41" s="86"/>
      <c r="Y41" s="35" t="s">
        <v>60</v>
      </c>
      <c r="Z41" s="83">
        <f>AB35*(AA31/3)^0.5</f>
        <v>41.851024792770822</v>
      </c>
      <c r="AA41" s="84"/>
      <c r="AB41" s="84"/>
      <c r="AC41" s="84"/>
      <c r="AD41" s="84"/>
      <c r="AE41" s="85"/>
    </row>
    <row r="42" spans="13:31">
      <c r="M42" s="9" t="s">
        <v>56</v>
      </c>
      <c r="N42" s="40">
        <f>P21</f>
        <v>118.75679166666669</v>
      </c>
      <c r="O42" s="40" t="s">
        <v>57</v>
      </c>
      <c r="P42" s="40" t="s">
        <v>63</v>
      </c>
      <c r="Q42" s="40">
        <f>P24</f>
        <v>110.67399</v>
      </c>
      <c r="R42" s="40" t="s">
        <v>64</v>
      </c>
      <c r="S42" s="40" t="s">
        <v>61</v>
      </c>
      <c r="T42" s="40">
        <f>P27</f>
        <v>75.940766666666661</v>
      </c>
      <c r="U42" s="40" t="s">
        <v>67</v>
      </c>
      <c r="V42" s="40" t="s">
        <v>61</v>
      </c>
      <c r="W42" s="67">
        <f>Z48</f>
        <v>41.851024792770822</v>
      </c>
    </row>
    <row r="43" spans="13:31">
      <c r="M43" s="41" t="s">
        <v>58</v>
      </c>
      <c r="N43" s="42">
        <f>P22</f>
        <v>93.565683333333325</v>
      </c>
      <c r="O43" s="42" t="s">
        <v>57</v>
      </c>
      <c r="P43" s="42" t="s">
        <v>61</v>
      </c>
      <c r="Q43" s="42">
        <f>P25</f>
        <v>109.37041166666666</v>
      </c>
      <c r="R43" s="42" t="s">
        <v>61</v>
      </c>
      <c r="S43" s="42" t="s">
        <v>61</v>
      </c>
      <c r="T43" s="42">
        <f>P28</f>
        <v>93.090283333333332</v>
      </c>
      <c r="U43" s="42" t="s">
        <v>67</v>
      </c>
      <c r="V43" s="42" t="s">
        <v>61</v>
      </c>
      <c r="W43" s="86"/>
    </row>
    <row r="44" spans="13:31">
      <c r="M44" s="41" t="s">
        <v>59</v>
      </c>
      <c r="N44" s="42">
        <f>P23</f>
        <v>82.084541666666652</v>
      </c>
      <c r="O44" s="42" t="s">
        <v>57</v>
      </c>
      <c r="P44" s="42" t="s">
        <v>61</v>
      </c>
      <c r="Q44" s="42">
        <f>P26</f>
        <v>99.612208333333342</v>
      </c>
      <c r="R44" s="42" t="s">
        <v>61</v>
      </c>
      <c r="S44" s="42" t="s">
        <v>63</v>
      </c>
      <c r="T44" s="42">
        <f>P29</f>
        <v>108.46393333333333</v>
      </c>
      <c r="U44" s="42" t="s">
        <v>67</v>
      </c>
      <c r="V44" s="42" t="s">
        <v>61</v>
      </c>
      <c r="W44" s="86"/>
      <c r="Y44" s="38"/>
      <c r="Z44" s="36" t="s">
        <v>56</v>
      </c>
      <c r="AA44" s="36"/>
      <c r="AB44" s="36" t="s">
        <v>58</v>
      </c>
      <c r="AC44" s="36"/>
      <c r="AD44" s="36" t="s">
        <v>59</v>
      </c>
      <c r="AE44" s="36"/>
    </row>
    <row r="45" spans="13:31">
      <c r="M45" s="8" t="s">
        <v>60</v>
      </c>
      <c r="N45" s="87">
        <f>Z41</f>
        <v>41.851024792770822</v>
      </c>
      <c r="O45" s="69"/>
      <c r="P45" s="69"/>
      <c r="Q45" s="69"/>
      <c r="R45" s="69"/>
      <c r="S45" s="69"/>
      <c r="T45" s="69"/>
      <c r="U45" s="69"/>
      <c r="V45" s="69"/>
      <c r="W45" s="71"/>
      <c r="Y45" s="36" t="s">
        <v>53</v>
      </c>
      <c r="Z45" s="39">
        <f>P21</f>
        <v>118.75679166666669</v>
      </c>
      <c r="AA45" s="39" t="s">
        <v>63</v>
      </c>
      <c r="AB45" s="39">
        <f>P22</f>
        <v>93.565683333333325</v>
      </c>
      <c r="AC45" s="39" t="s">
        <v>61</v>
      </c>
      <c r="AD45" s="39">
        <f>P23</f>
        <v>82.084541666666652</v>
      </c>
      <c r="AE45" s="36" t="s">
        <v>62</v>
      </c>
    </row>
    <row r="46" spans="13:31">
      <c r="Y46" s="36" t="s">
        <v>54</v>
      </c>
      <c r="Z46" s="39">
        <f>P24</f>
        <v>110.67399</v>
      </c>
      <c r="AA46" s="39" t="s">
        <v>64</v>
      </c>
      <c r="AB46" s="39">
        <f>P25</f>
        <v>109.37041166666666</v>
      </c>
      <c r="AC46" s="39" t="s">
        <v>61</v>
      </c>
      <c r="AD46" s="39">
        <f>P26</f>
        <v>99.612208333333342</v>
      </c>
      <c r="AE46" s="36" t="s">
        <v>61</v>
      </c>
    </row>
    <row r="47" spans="13:31">
      <c r="Y47" s="36" t="s">
        <v>55</v>
      </c>
      <c r="Z47" s="39">
        <f>P27</f>
        <v>75.940766666666661</v>
      </c>
      <c r="AA47" s="39" t="s">
        <v>61</v>
      </c>
      <c r="AB47" s="39">
        <f>P28</f>
        <v>93.090283333333332</v>
      </c>
      <c r="AC47" s="39" t="s">
        <v>61</v>
      </c>
      <c r="AD47" s="39">
        <f>P29</f>
        <v>108.46393333333333</v>
      </c>
      <c r="AE47" s="36" t="s">
        <v>62</v>
      </c>
    </row>
    <row r="48" spans="13:31">
      <c r="Y48" s="36" t="s">
        <v>60</v>
      </c>
      <c r="Z48" s="83">
        <f>AB35*(AA31/3)^0.5</f>
        <v>41.851024792770822</v>
      </c>
      <c r="AA48" s="84"/>
      <c r="AB48" s="84"/>
      <c r="AC48" s="84"/>
      <c r="AD48" s="84"/>
      <c r="AE48" s="85"/>
    </row>
    <row r="50" spans="21:24">
      <c r="U50" s="7">
        <f>Z41+Z40</f>
        <v>123.93556645943747</v>
      </c>
      <c r="X50" s="7">
        <f>Z48+Z47</f>
        <v>117.79179145943749</v>
      </c>
    </row>
    <row r="51" spans="21:24">
      <c r="U51" s="7">
        <f>AB40+Z41</f>
        <v>141.46323312610417</v>
      </c>
      <c r="X51" s="7">
        <f>Z48+AB47</f>
        <v>134.94130812610416</v>
      </c>
    </row>
    <row r="52" spans="21:24">
      <c r="U52" s="7">
        <f>AD38+Z41</f>
        <v>117.79179145943749</v>
      </c>
      <c r="X52" s="7">
        <f>Z48+AD45</f>
        <v>123.93556645943747</v>
      </c>
    </row>
  </sheetData>
  <mergeCells count="28">
    <mergeCell ref="U21:U22"/>
    <mergeCell ref="V21:V22"/>
    <mergeCell ref="L19:N19"/>
    <mergeCell ref="O19:O20"/>
    <mergeCell ref="P19:P20"/>
    <mergeCell ref="Q21:Q22"/>
    <mergeCell ref="R21:T21"/>
    <mergeCell ref="C19:C20"/>
    <mergeCell ref="D19:F19"/>
    <mergeCell ref="G19:G20"/>
    <mergeCell ref="H19:H20"/>
    <mergeCell ref="K19:K20"/>
    <mergeCell ref="Q4:T4"/>
    <mergeCell ref="B4:B5"/>
    <mergeCell ref="C4:F4"/>
    <mergeCell ref="I4:I5"/>
    <mergeCell ref="J4:M4"/>
    <mergeCell ref="P4:P5"/>
    <mergeCell ref="Z41:AE41"/>
    <mergeCell ref="Z48:AE48"/>
    <mergeCell ref="M40:M41"/>
    <mergeCell ref="N40:V40"/>
    <mergeCell ref="W40:W41"/>
    <mergeCell ref="N41:P41"/>
    <mergeCell ref="Q41:S41"/>
    <mergeCell ref="T41:V41"/>
    <mergeCell ref="W42:W45"/>
    <mergeCell ref="N45:V4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14 hst</vt:lpstr>
      <vt:lpstr>21 hst</vt:lpstr>
      <vt:lpstr>28 hst</vt:lpstr>
      <vt:lpstr>35 hst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compac</dc:creator>
  <cp:lastModifiedBy>compac</cp:lastModifiedBy>
  <dcterms:created xsi:type="dcterms:W3CDTF">2023-01-04T04:26:03Z</dcterms:created>
  <dcterms:modified xsi:type="dcterms:W3CDTF">2023-03-11T14:23:09Z</dcterms:modified>
</cp:coreProperties>
</file>