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45" windowWidth="20115" windowHeight="7995"/>
  </bookViews>
  <sheets>
    <sheet name="berat basah (2)" sheetId="4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E26" i="4"/>
  <c r="F26"/>
  <c r="D26"/>
  <c r="S28"/>
  <c r="R28"/>
  <c r="H49"/>
  <c r="P31" l="1"/>
  <c r="Q31"/>
  <c r="P32"/>
  <c r="Q32"/>
  <c r="P33"/>
  <c r="Q33"/>
  <c r="P34"/>
  <c r="Q34"/>
  <c r="Q30"/>
  <c r="P30"/>
  <c r="K35"/>
  <c r="K36"/>
  <c r="K34"/>
  <c r="K33"/>
  <c r="K32"/>
  <c r="K31"/>
  <c r="K30"/>
  <c r="K26"/>
  <c r="K23"/>
  <c r="K22"/>
  <c r="K21"/>
  <c r="K20"/>
  <c r="K25" l="1"/>
  <c r="Q21" s="1"/>
  <c r="G23"/>
  <c r="K24"/>
  <c r="P24" s="1"/>
  <c r="G22"/>
  <c r="G20"/>
  <c r="H20" s="1"/>
  <c r="G16"/>
  <c r="F25"/>
  <c r="G21"/>
  <c r="H21" s="1"/>
  <c r="G24"/>
  <c r="H24" s="1"/>
  <c r="D25"/>
  <c r="G17"/>
  <c r="H17" s="1"/>
  <c r="G18"/>
  <c r="H18" s="1"/>
  <c r="E25"/>
  <c r="G19"/>
  <c r="H19" s="1"/>
  <c r="F31" l="1"/>
  <c r="H23"/>
  <c r="F30"/>
  <c r="H22"/>
  <c r="Q22"/>
  <c r="P20"/>
  <c r="Q23"/>
  <c r="P22"/>
  <c r="Q24"/>
  <c r="P21"/>
  <c r="P23"/>
  <c r="Q20"/>
  <c r="G25"/>
  <c r="E30"/>
  <c r="D31"/>
  <c r="D32"/>
  <c r="E32"/>
  <c r="H16"/>
  <c r="D30"/>
  <c r="E31"/>
  <c r="F32"/>
  <c r="F33" l="1"/>
  <c r="F34" s="1"/>
  <c r="K16"/>
  <c r="L20" s="1"/>
  <c r="M20" s="1"/>
  <c r="H25"/>
  <c r="H26" s="1"/>
  <c r="U27"/>
  <c r="K48"/>
  <c r="L26"/>
  <c r="G30"/>
  <c r="D33"/>
  <c r="G32"/>
  <c r="H32" s="1"/>
  <c r="G31"/>
  <c r="H31" s="1"/>
  <c r="E33"/>
  <c r="E34" s="1"/>
  <c r="L30" l="1"/>
  <c r="M30" s="1"/>
  <c r="L21"/>
  <c r="M21" s="1"/>
  <c r="L36"/>
  <c r="L31"/>
  <c r="M31" s="1"/>
  <c r="U22"/>
  <c r="K43"/>
  <c r="U26"/>
  <c r="K47"/>
  <c r="K42"/>
  <c r="U21"/>
  <c r="L33"/>
  <c r="M33" s="1"/>
  <c r="L32"/>
  <c r="M32" s="1"/>
  <c r="G33"/>
  <c r="D34"/>
  <c r="L23"/>
  <c r="M23" s="1"/>
  <c r="H30"/>
  <c r="L22"/>
  <c r="L25" l="1"/>
  <c r="M25" s="1"/>
  <c r="N23" s="1"/>
  <c r="O23" s="1"/>
  <c r="L35"/>
  <c r="M35" s="1"/>
  <c r="N32" s="1"/>
  <c r="O32" s="1"/>
  <c r="U20"/>
  <c r="K41"/>
  <c r="U25"/>
  <c r="K46"/>
  <c r="L34"/>
  <c r="M34" s="1"/>
  <c r="M22"/>
  <c r="N22" s="1"/>
  <c r="O22" s="1"/>
  <c r="L24"/>
  <c r="M24" s="1"/>
  <c r="N34" l="1"/>
  <c r="O34" s="1"/>
  <c r="N24"/>
  <c r="O24" s="1"/>
  <c r="N21"/>
  <c r="O21" s="1"/>
  <c r="N30"/>
  <c r="O30" s="1"/>
  <c r="N20"/>
  <c r="O20" s="1"/>
  <c r="N31"/>
  <c r="O31" s="1"/>
  <c r="U23"/>
  <c r="U28" s="1"/>
  <c r="X23" s="1"/>
  <c r="N33"/>
  <c r="O33" s="1"/>
  <c r="X22" l="1"/>
</calcChain>
</file>

<file path=xl/sharedStrings.xml><?xml version="1.0" encoding="utf-8"?>
<sst xmlns="http://schemas.openxmlformats.org/spreadsheetml/2006/main" count="98" uniqueCount="63">
  <si>
    <t xml:space="preserve">perlakuan </t>
  </si>
  <si>
    <t>K1I1</t>
  </si>
  <si>
    <t>K1I2</t>
  </si>
  <si>
    <t>K1I3</t>
  </si>
  <si>
    <t>K2I1</t>
  </si>
  <si>
    <t>K2I2</t>
  </si>
  <si>
    <t>K2I3</t>
  </si>
  <si>
    <t>K3I1</t>
  </si>
  <si>
    <t>K3I2</t>
  </si>
  <si>
    <t>K3I3</t>
  </si>
  <si>
    <t xml:space="preserve">rata-rata berat basah pada umur 35 hst </t>
  </si>
  <si>
    <t>Perlakuan</t>
  </si>
  <si>
    <t>Ulangan</t>
  </si>
  <si>
    <t>I</t>
  </si>
  <si>
    <t xml:space="preserve">total </t>
  </si>
  <si>
    <t>k</t>
  </si>
  <si>
    <t>i</t>
  </si>
  <si>
    <t>r</t>
  </si>
  <si>
    <t>Fk</t>
  </si>
  <si>
    <t xml:space="preserve">tabel dua arah </t>
  </si>
  <si>
    <t>K</t>
  </si>
  <si>
    <t>TOTAL</t>
  </si>
  <si>
    <t>K1</t>
  </si>
  <si>
    <t>K2</t>
  </si>
  <si>
    <t>K3</t>
  </si>
  <si>
    <t>I1</t>
  </si>
  <si>
    <t>I2</t>
  </si>
  <si>
    <t>I3</t>
  </si>
  <si>
    <t xml:space="preserve">TOTAL </t>
  </si>
  <si>
    <t>RATA2</t>
  </si>
  <si>
    <t xml:space="preserve">ANALISIS RAGAM </t>
  </si>
  <si>
    <t>SK</t>
  </si>
  <si>
    <t>db</t>
  </si>
  <si>
    <t>JK</t>
  </si>
  <si>
    <t>KT</t>
  </si>
  <si>
    <t>Fhitung</t>
  </si>
  <si>
    <t>F 5%</t>
  </si>
  <si>
    <t>F 1%</t>
  </si>
  <si>
    <t>kelompok</t>
  </si>
  <si>
    <t>perlakuan</t>
  </si>
  <si>
    <t xml:space="preserve">K </t>
  </si>
  <si>
    <t>KI</t>
  </si>
  <si>
    <t>Galat</t>
  </si>
  <si>
    <t>rerata</t>
  </si>
  <si>
    <t xml:space="preserve">notasi </t>
  </si>
  <si>
    <t>k1</t>
  </si>
  <si>
    <t>k2</t>
  </si>
  <si>
    <t>k3</t>
  </si>
  <si>
    <t xml:space="preserve">bnj </t>
  </si>
  <si>
    <t>i1</t>
  </si>
  <si>
    <t>i2</t>
  </si>
  <si>
    <t>i3</t>
  </si>
  <si>
    <t>sd (3,16)</t>
  </si>
  <si>
    <t>notasi</t>
  </si>
  <si>
    <t>BNJ</t>
  </si>
  <si>
    <t>a</t>
  </si>
  <si>
    <t>ab</t>
  </si>
  <si>
    <t>b</t>
  </si>
  <si>
    <t>j</t>
  </si>
  <si>
    <t xml:space="preserve">Rataan </t>
  </si>
  <si>
    <t>Total</t>
  </si>
  <si>
    <t>Rataan</t>
  </si>
  <si>
    <t xml:space="preserve">Total </t>
  </si>
</sst>
</file>

<file path=xl/styles.xml><?xml version="1.0" encoding="utf-8"?>
<styleSheet xmlns="http://schemas.openxmlformats.org/spreadsheetml/2006/main">
  <numFmts count="2">
    <numFmt numFmtId="164" formatCode="0.000"/>
    <numFmt numFmtId="165" formatCode="#,##0.000"/>
  </numFmts>
  <fonts count="3">
    <font>
      <sz val="11"/>
      <color theme="1"/>
      <name val="Calibri"/>
      <family val="2"/>
      <scheme val="minor"/>
    </font>
    <font>
      <sz val="10"/>
      <name val="Arial"/>
      <family val="2"/>
    </font>
    <font>
      <sz val="12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1">
    <xf numFmtId="0" fontId="0" fillId="0" borderId="0" xfId="0"/>
    <xf numFmtId="0" fontId="0" fillId="0" borderId="1" xfId="0" applyBorder="1"/>
    <xf numFmtId="0" fontId="0" fillId="2" borderId="1" xfId="0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4" fontId="0" fillId="0" borderId="1" xfId="0" applyNumberFormat="1" applyBorder="1"/>
    <xf numFmtId="0" fontId="2" fillId="0" borderId="5" xfId="1" applyFont="1" applyBorder="1" applyAlignment="1">
      <alignment horizontal="center"/>
    </xf>
    <xf numFmtId="0" fontId="0" fillId="3" borderId="1" xfId="0" applyFill="1" applyBorder="1" applyAlignment="1">
      <alignment horizontal="center"/>
    </xf>
    <xf numFmtId="164" fontId="0" fillId="0" borderId="0" xfId="0" applyNumberFormat="1"/>
    <xf numFmtId="0" fontId="0" fillId="4" borderId="0" xfId="0" applyFill="1"/>
    <xf numFmtId="165" fontId="0" fillId="0" borderId="1" xfId="0" applyNumberFormat="1" applyBorder="1"/>
    <xf numFmtId="4" fontId="0" fillId="0" borderId="5" xfId="0" applyNumberFormat="1" applyBorder="1" applyAlignment="1">
      <alignment horizontal="center"/>
    </xf>
    <xf numFmtId="0" fontId="0" fillId="0" borderId="0" xfId="0" applyAlignment="1">
      <alignment horizontal="center"/>
    </xf>
    <xf numFmtId="165" fontId="0" fillId="0" borderId="0" xfId="0" applyNumberFormat="1"/>
    <xf numFmtId="0" fontId="0" fillId="0" borderId="5" xfId="0" applyBorder="1" applyAlignment="1">
      <alignment horizontal="center"/>
    </xf>
    <xf numFmtId="0" fontId="2" fillId="2" borderId="9" xfId="1" applyFont="1" applyFill="1" applyBorder="1" applyAlignment="1">
      <alignment horizontal="center"/>
    </xf>
    <xf numFmtId="0" fontId="0" fillId="0" borderId="0" xfId="0" applyBorder="1" applyAlignment="1">
      <alignment horizontal="center"/>
    </xf>
    <xf numFmtId="4" fontId="0" fillId="0" borderId="0" xfId="0" applyNumberFormat="1" applyBorder="1" applyAlignment="1">
      <alignment horizontal="center"/>
    </xf>
    <xf numFmtId="0" fontId="0" fillId="0" borderId="5" xfId="0" applyFill="1" applyBorder="1" applyAlignment="1">
      <alignment horizontal="center"/>
    </xf>
    <xf numFmtId="4" fontId="0" fillId="0" borderId="5" xfId="0" applyNumberFormat="1" applyFill="1" applyBorder="1" applyAlignment="1">
      <alignment horizontal="center"/>
    </xf>
    <xf numFmtId="2" fontId="0" fillId="0" borderId="0" xfId="0" applyNumberFormat="1" applyAlignment="1">
      <alignment horizontal="center"/>
    </xf>
    <xf numFmtId="2" fontId="0" fillId="5" borderId="0" xfId="0" applyNumberFormat="1" applyFill="1" applyAlignment="1">
      <alignment horizontal="center"/>
    </xf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/>
    </xf>
    <xf numFmtId="0" fontId="0" fillId="3" borderId="2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0" fontId="2" fillId="2" borderId="8" xfId="1" applyFont="1" applyFill="1" applyBorder="1" applyAlignment="1">
      <alignment horizontal="center" vertical="center"/>
    </xf>
    <xf numFmtId="0" fontId="2" fillId="2" borderId="9" xfId="1" applyFont="1" applyFill="1" applyBorder="1" applyAlignment="1">
      <alignment horizontal="center" vertical="center"/>
    </xf>
    <xf numFmtId="0" fontId="2" fillId="2" borderId="5" xfId="1" applyFont="1" applyFill="1" applyBorder="1" applyAlignment="1">
      <alignment horizontal="center"/>
    </xf>
    <xf numFmtId="0" fontId="0" fillId="3" borderId="4" xfId="0" applyFill="1" applyBorder="1" applyAlignment="1">
      <alignment horizontal="center"/>
    </xf>
    <xf numFmtId="0" fontId="0" fillId="3" borderId="5" xfId="0" applyFill="1" applyBorder="1" applyAlignment="1">
      <alignment horizontal="center"/>
    </xf>
    <xf numFmtId="0" fontId="0" fillId="3" borderId="6" xfId="0" applyFill="1" applyBorder="1" applyAlignment="1">
      <alignment horizontal="center"/>
    </xf>
    <xf numFmtId="0" fontId="0" fillId="0" borderId="0" xfId="0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165" fontId="0" fillId="0" borderId="0" xfId="0" applyNumberFormat="1" applyBorder="1"/>
    <xf numFmtId="0" fontId="0" fillId="0" borderId="0" xfId="0" applyBorder="1" applyAlignment="1">
      <alignment horizontal="center"/>
    </xf>
    <xf numFmtId="165" fontId="0" fillId="0" borderId="0" xfId="0" applyNumberFormat="1" applyBorder="1" applyAlignment="1">
      <alignment horizontal="center"/>
    </xf>
    <xf numFmtId="0" fontId="0" fillId="2" borderId="0" xfId="0" applyFill="1" applyBorder="1" applyAlignment="1">
      <alignment horizontal="center" vertical="center"/>
    </xf>
    <xf numFmtId="0" fontId="0" fillId="2" borderId="0" xfId="0" applyFill="1" applyBorder="1" applyAlignment="1">
      <alignment horizontal="center"/>
    </xf>
    <xf numFmtId="0" fontId="0" fillId="2" borderId="0" xfId="0" applyFill="1" applyBorder="1"/>
    <xf numFmtId="0" fontId="0" fillId="2" borderId="0" xfId="0" applyFill="1" applyBorder="1" applyAlignment="1">
      <alignment horizontal="center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C1:X49"/>
  <sheetViews>
    <sheetView tabSelected="1" zoomScale="80" zoomScaleNormal="80" workbookViewId="0">
      <selection activeCell="H5" sqref="H5"/>
    </sheetView>
  </sheetViews>
  <sheetFormatPr defaultRowHeight="15"/>
  <cols>
    <col min="3" max="3" width="10.7109375" customWidth="1"/>
    <col min="8" max="8" width="10.7109375" customWidth="1"/>
    <col min="10" max="10" width="10.7109375" customWidth="1"/>
    <col min="12" max="12" width="13.140625" customWidth="1"/>
    <col min="13" max="13" width="9.5703125" bestFit="1" customWidth="1"/>
    <col min="14" max="14" width="9.28515625" bestFit="1" customWidth="1"/>
    <col min="17" max="17" width="11.28515625" customWidth="1"/>
    <col min="19" max="19" width="6.140625" customWidth="1"/>
    <col min="20" max="20" width="10.28515625" customWidth="1"/>
  </cols>
  <sheetData>
    <row r="1" spans="3:22">
      <c r="C1" s="37"/>
      <c r="D1" s="38"/>
      <c r="E1" s="38"/>
      <c r="F1" s="38"/>
      <c r="G1" s="38"/>
      <c r="H1" s="37"/>
      <c r="I1" s="39"/>
      <c r="J1" s="37"/>
      <c r="K1" s="38"/>
      <c r="L1" s="38"/>
      <c r="M1" s="38"/>
      <c r="N1" s="38"/>
      <c r="O1" s="37"/>
      <c r="P1" s="39"/>
      <c r="Q1" s="37"/>
      <c r="R1" s="38"/>
      <c r="S1" s="38"/>
      <c r="T1" s="38"/>
      <c r="U1" s="38"/>
      <c r="V1" s="37"/>
    </row>
    <row r="2" spans="3:22">
      <c r="C2" s="37"/>
      <c r="D2" s="40"/>
      <c r="E2" s="40"/>
      <c r="F2" s="40"/>
      <c r="G2" s="40"/>
      <c r="H2" s="37"/>
      <c r="I2" s="39"/>
      <c r="J2" s="37"/>
      <c r="K2" s="40"/>
      <c r="L2" s="40"/>
      <c r="M2" s="40"/>
      <c r="N2" s="40"/>
      <c r="O2" s="37"/>
      <c r="P2" s="39"/>
      <c r="Q2" s="37"/>
      <c r="R2" s="40"/>
      <c r="S2" s="40"/>
      <c r="T2" s="40"/>
      <c r="U2" s="40"/>
      <c r="V2" s="37"/>
    </row>
    <row r="13" spans="3:22">
      <c r="C13" s="22" t="s">
        <v>10</v>
      </c>
      <c r="D13" s="22"/>
      <c r="E13" s="22"/>
      <c r="F13" s="22"/>
      <c r="G13" s="22"/>
      <c r="J13" t="s">
        <v>15</v>
      </c>
      <c r="K13">
        <v>3</v>
      </c>
    </row>
    <row r="14" spans="3:22" ht="15.75">
      <c r="C14" s="26" t="s">
        <v>11</v>
      </c>
      <c r="D14" s="28" t="s">
        <v>12</v>
      </c>
      <c r="E14" s="28"/>
      <c r="F14" s="28"/>
      <c r="G14" s="26" t="s">
        <v>60</v>
      </c>
      <c r="H14" s="26" t="s">
        <v>61</v>
      </c>
      <c r="J14" t="s">
        <v>16</v>
      </c>
      <c r="K14">
        <v>3</v>
      </c>
    </row>
    <row r="15" spans="3:22" ht="15.75">
      <c r="C15" s="27"/>
      <c r="D15" s="14">
        <v>1</v>
      </c>
      <c r="E15" s="14">
        <v>2</v>
      </c>
      <c r="F15" s="14">
        <v>3</v>
      </c>
      <c r="G15" s="27"/>
      <c r="H15" s="27"/>
      <c r="J15" t="s">
        <v>17</v>
      </c>
      <c r="K15">
        <v>3</v>
      </c>
    </row>
    <row r="16" spans="3:22">
      <c r="C16" s="15" t="s">
        <v>1</v>
      </c>
      <c r="D16" s="16">
        <v>64.5</v>
      </c>
      <c r="E16" s="16">
        <v>28.33</v>
      </c>
      <c r="F16" s="16">
        <v>72.67</v>
      </c>
      <c r="G16" s="16">
        <f t="shared" ref="G16:G25" si="0">SUM(D16:F16)</f>
        <v>165.5</v>
      </c>
      <c r="H16" s="16">
        <f>G16/3</f>
        <v>55.166666666666664</v>
      </c>
      <c r="J16" t="s">
        <v>18</v>
      </c>
      <c r="K16">
        <f>(G25^2)/(K13*K14*K15)</f>
        <v>91465.956300000005</v>
      </c>
    </row>
    <row r="17" spans="3:24">
      <c r="C17" s="15" t="s">
        <v>4</v>
      </c>
      <c r="D17" s="16">
        <v>46</v>
      </c>
      <c r="E17" s="16">
        <v>45</v>
      </c>
      <c r="F17" s="16">
        <v>59</v>
      </c>
      <c r="G17" s="16">
        <f t="shared" si="0"/>
        <v>150</v>
      </c>
      <c r="H17" s="16">
        <f t="shared" ref="H17:H25" si="1">G17/3</f>
        <v>50</v>
      </c>
    </row>
    <row r="18" spans="3:24">
      <c r="C18" s="15" t="s">
        <v>7</v>
      </c>
      <c r="D18" s="16">
        <v>37.67</v>
      </c>
      <c r="E18" s="16">
        <v>57.5</v>
      </c>
      <c r="F18" s="16">
        <v>21.25</v>
      </c>
      <c r="G18" s="16">
        <f t="shared" si="0"/>
        <v>116.42</v>
      </c>
      <c r="H18" s="16">
        <f t="shared" si="1"/>
        <v>38.806666666666665</v>
      </c>
      <c r="J18" t="s">
        <v>30</v>
      </c>
      <c r="T18" s="1" t="s">
        <v>0</v>
      </c>
      <c r="U18" s="1" t="s">
        <v>43</v>
      </c>
      <c r="V18" s="1" t="s">
        <v>53</v>
      </c>
    </row>
    <row r="19" spans="3:24" ht="15.75">
      <c r="C19" s="15" t="s">
        <v>2</v>
      </c>
      <c r="D19" s="16">
        <v>65.67</v>
      </c>
      <c r="E19" s="16">
        <v>23</v>
      </c>
      <c r="F19" s="16">
        <v>97</v>
      </c>
      <c r="G19" s="16">
        <f t="shared" si="0"/>
        <v>185.67000000000002</v>
      </c>
      <c r="H19" s="16">
        <f t="shared" si="1"/>
        <v>61.890000000000008</v>
      </c>
      <c r="J19" s="5" t="s">
        <v>31</v>
      </c>
      <c r="K19" s="5" t="s">
        <v>32</v>
      </c>
      <c r="L19" s="5" t="s">
        <v>33</v>
      </c>
      <c r="M19" s="5" t="s">
        <v>34</v>
      </c>
      <c r="N19" s="5" t="s">
        <v>35</v>
      </c>
      <c r="O19" s="5"/>
      <c r="P19" s="5" t="s">
        <v>36</v>
      </c>
      <c r="Q19" s="5" t="s">
        <v>37</v>
      </c>
      <c r="T19" s="1" t="s">
        <v>20</v>
      </c>
      <c r="U19" s="1"/>
      <c r="V19" s="1"/>
    </row>
    <row r="20" spans="3:24">
      <c r="C20" s="15" t="s">
        <v>5</v>
      </c>
      <c r="D20" s="16">
        <v>105</v>
      </c>
      <c r="E20" s="16">
        <v>30.33</v>
      </c>
      <c r="F20" s="16">
        <v>101</v>
      </c>
      <c r="G20" s="16">
        <f t="shared" si="0"/>
        <v>236.32999999999998</v>
      </c>
      <c r="H20" s="16">
        <f t="shared" si="1"/>
        <v>78.776666666666657</v>
      </c>
      <c r="J20" s="21" t="s">
        <v>38</v>
      </c>
      <c r="K20" s="11">
        <f>K15-1</f>
        <v>2</v>
      </c>
      <c r="L20" s="19">
        <f>SUMSQ(D25:F25)/(K13*K14)-K16</f>
        <v>10375.316066666666</v>
      </c>
      <c r="M20" s="19">
        <f>L20/K20</f>
        <v>5187.6580333333332</v>
      </c>
      <c r="N20" s="19">
        <f>M20/$M$25</f>
        <v>9.0616967168849918</v>
      </c>
      <c r="O20" s="19" t="str">
        <f>IF(N20&lt;P20,"tn",IF(N20&lt;Q20,"*","**"))</f>
        <v>**</v>
      </c>
      <c r="P20" s="19">
        <f>FINV(5%,$K20,$K$25)</f>
        <v>3.6337234675916301</v>
      </c>
      <c r="Q20" s="19">
        <f>FINV(1%,$K20,$K$25)</f>
        <v>6.2262352803113821</v>
      </c>
      <c r="T20" s="1" t="s">
        <v>22</v>
      </c>
      <c r="U20" s="9">
        <f>H30</f>
        <v>53.684444444444445</v>
      </c>
      <c r="V20" s="1" t="s">
        <v>55</v>
      </c>
    </row>
    <row r="21" spans="3:24">
      <c r="C21" s="15" t="s">
        <v>8</v>
      </c>
      <c r="D21" s="16">
        <v>113.33</v>
      </c>
      <c r="E21" s="16">
        <v>40</v>
      </c>
      <c r="F21" s="16">
        <v>123.67</v>
      </c>
      <c r="G21" s="16">
        <f t="shared" si="0"/>
        <v>277</v>
      </c>
      <c r="H21" s="16">
        <f t="shared" si="1"/>
        <v>92.333333333333329</v>
      </c>
      <c r="J21" s="21" t="s">
        <v>39</v>
      </c>
      <c r="K21" s="11">
        <f>(K13*K14)-1</f>
        <v>8</v>
      </c>
      <c r="L21" s="19">
        <f>SUMSQ(G16:G24)/K15-K16</f>
        <v>7044.1289333333261</v>
      </c>
      <c r="M21" s="19">
        <f t="shared" ref="M21:M25" si="2">L21/K21</f>
        <v>880.51611666666577</v>
      </c>
      <c r="N21" s="19">
        <f>M21/$M$25</f>
        <v>1.5380678433878485</v>
      </c>
      <c r="O21" s="19" t="str">
        <f t="shared" ref="O21:O24" si="3">IF(N21&lt;P21,"tn",IF(N21&lt;Q21,"*","**"))</f>
        <v>tn</v>
      </c>
      <c r="P21" s="19">
        <f>FINV(5%,$K21,$K$25)</f>
        <v>2.5910961798744014</v>
      </c>
      <c r="Q21" s="19">
        <f>FINV(1%,$K21,$K$25)</f>
        <v>3.8895721399261927</v>
      </c>
      <c r="T21" s="1" t="s">
        <v>23</v>
      </c>
      <c r="U21" s="9">
        <f>H31</f>
        <v>60.064444444444433</v>
      </c>
      <c r="V21" s="1" t="s">
        <v>55</v>
      </c>
    </row>
    <row r="22" spans="3:24">
      <c r="C22" s="15" t="s">
        <v>3</v>
      </c>
      <c r="D22" s="16">
        <v>93.33</v>
      </c>
      <c r="E22" s="16">
        <v>11.33</v>
      </c>
      <c r="F22" s="16">
        <v>27.33</v>
      </c>
      <c r="G22" s="16">
        <f t="shared" si="0"/>
        <v>131.99</v>
      </c>
      <c r="H22" s="16">
        <f t="shared" si="1"/>
        <v>43.99666666666667</v>
      </c>
      <c r="J22" s="21" t="s">
        <v>40</v>
      </c>
      <c r="K22" s="11">
        <f>K13-1</f>
        <v>2</v>
      </c>
      <c r="L22" s="19">
        <f>SUMSQ(G30:G32)/(K15*K14)-K16</f>
        <v>278.53086666665331</v>
      </c>
      <c r="M22" s="19">
        <f t="shared" si="2"/>
        <v>139.26543333332665</v>
      </c>
      <c r="N22" s="19">
        <f>M22/$M$25</f>
        <v>0.24326605799829196</v>
      </c>
      <c r="O22" s="19" t="str">
        <f t="shared" si="3"/>
        <v>tn</v>
      </c>
      <c r="P22" s="19">
        <f>FINV(5%,$K22,$K$25)</f>
        <v>3.6337234675916301</v>
      </c>
      <c r="Q22" s="19">
        <f>FINV(1%,$K22,$K$25)</f>
        <v>6.2262352803113821</v>
      </c>
      <c r="T22" s="1" t="s">
        <v>24</v>
      </c>
      <c r="U22" s="9">
        <f>H32</f>
        <v>60.861111111111114</v>
      </c>
      <c r="V22" s="1" t="s">
        <v>55</v>
      </c>
      <c r="X22" s="12">
        <f>U28+U25</f>
        <v>77.093826841590769</v>
      </c>
    </row>
    <row r="23" spans="3:24">
      <c r="C23" s="15" t="s">
        <v>6</v>
      </c>
      <c r="D23" s="16">
        <v>75</v>
      </c>
      <c r="E23" s="16">
        <v>20.75</v>
      </c>
      <c r="F23" s="16">
        <v>58.5</v>
      </c>
      <c r="G23" s="16">
        <f t="shared" si="0"/>
        <v>154.25</v>
      </c>
      <c r="H23" s="16">
        <f t="shared" si="1"/>
        <v>51.416666666666664</v>
      </c>
      <c r="J23" s="21" t="s">
        <v>13</v>
      </c>
      <c r="K23" s="11">
        <f>K14-1</f>
        <v>2</v>
      </c>
      <c r="L23" s="19">
        <f>SUMSQ(D33:F33)/(K15*K13)-K16</f>
        <v>5118.2449555555504</v>
      </c>
      <c r="M23" s="19">
        <f t="shared" si="2"/>
        <v>2559.1224777777752</v>
      </c>
      <c r="N23" s="19">
        <f>M23/$M$25</f>
        <v>4.4702236743397492</v>
      </c>
      <c r="O23" s="19" t="str">
        <f t="shared" si="3"/>
        <v>*</v>
      </c>
      <c r="P23" s="19">
        <f>FINV(5%,$K23,$K$25)</f>
        <v>3.6337234675916301</v>
      </c>
      <c r="Q23" s="19">
        <f>FINV(1%,$K23,$K$25)</f>
        <v>6.2262352803113821</v>
      </c>
      <c r="R23" t="s">
        <v>52</v>
      </c>
      <c r="S23" s="8">
        <v>3.649</v>
      </c>
      <c r="T23" s="1" t="s">
        <v>54</v>
      </c>
      <c r="U23" s="9">
        <f>S23*(M25/9)^0.5</f>
        <v>29.102715730479655</v>
      </c>
      <c r="V23" s="1"/>
      <c r="X23" s="12">
        <f>U28+U27</f>
        <v>78.054937952701877</v>
      </c>
    </row>
    <row r="24" spans="3:24">
      <c r="C24" s="15" t="s">
        <v>9</v>
      </c>
      <c r="D24" s="16">
        <v>57.5</v>
      </c>
      <c r="E24" s="16">
        <v>18.329999999999998</v>
      </c>
      <c r="F24" s="16">
        <v>78.5</v>
      </c>
      <c r="G24" s="16">
        <f t="shared" si="0"/>
        <v>154.32999999999998</v>
      </c>
      <c r="H24" s="16">
        <f t="shared" si="1"/>
        <v>51.443333333333328</v>
      </c>
      <c r="J24" s="21" t="s">
        <v>41</v>
      </c>
      <c r="K24" s="11">
        <f>K22*K23</f>
        <v>4</v>
      </c>
      <c r="L24" s="19">
        <f>L21-L22-L23</f>
        <v>1647.3531111111224</v>
      </c>
      <c r="M24" s="19">
        <f t="shared" si="2"/>
        <v>411.8382777777806</v>
      </c>
      <c r="N24" s="19">
        <f>M24/$M$25</f>
        <v>0.71939082060667647</v>
      </c>
      <c r="O24" s="19" t="str">
        <f t="shared" si="3"/>
        <v>tn</v>
      </c>
      <c r="P24" s="19">
        <f>FINV(5%,$K24,$K$25)</f>
        <v>3.0069172799243447</v>
      </c>
      <c r="Q24" s="19">
        <f>FINV(1%,$K24,$K$25)</f>
        <v>4.772577999723211</v>
      </c>
      <c r="T24" s="1" t="s">
        <v>13</v>
      </c>
      <c r="U24" s="9"/>
      <c r="V24" s="1"/>
    </row>
    <row r="25" spans="3:24">
      <c r="C25" s="13" t="s">
        <v>62</v>
      </c>
      <c r="D25" s="10">
        <f>SUM(D16:D24)</f>
        <v>658</v>
      </c>
      <c r="E25" s="10">
        <f t="shared" ref="E25:F25" si="4">SUM(E16:E24)</f>
        <v>274.57</v>
      </c>
      <c r="F25" s="10">
        <f t="shared" si="4"/>
        <v>638.92000000000007</v>
      </c>
      <c r="G25" s="10">
        <f t="shared" si="0"/>
        <v>1571.49</v>
      </c>
      <c r="H25" s="10">
        <f t="shared" si="1"/>
        <v>523.83000000000004</v>
      </c>
      <c r="J25" s="21" t="s">
        <v>42</v>
      </c>
      <c r="K25" s="11">
        <f>K26-K21-K20</f>
        <v>16</v>
      </c>
      <c r="L25" s="19">
        <f>L26-L21-L20</f>
        <v>9159.7115999999951</v>
      </c>
      <c r="M25" s="19">
        <f t="shared" si="2"/>
        <v>572.48197499999969</v>
      </c>
      <c r="N25" s="20"/>
      <c r="O25" s="20"/>
      <c r="P25" s="20"/>
      <c r="Q25" s="20"/>
      <c r="T25" s="1" t="s">
        <v>25</v>
      </c>
      <c r="U25" s="9">
        <f>D34</f>
        <v>47.99111111111111</v>
      </c>
      <c r="V25" s="1" t="s">
        <v>55</v>
      </c>
    </row>
    <row r="26" spans="3:24">
      <c r="C26" s="17" t="s">
        <v>59</v>
      </c>
      <c r="D26" s="10">
        <f>AVERAGE(D16:D24)</f>
        <v>73.111111111111114</v>
      </c>
      <c r="E26" s="10">
        <f t="shared" ref="E26:F26" si="5">AVERAGE(E16:E24)</f>
        <v>30.507777777777775</v>
      </c>
      <c r="F26" s="10">
        <f t="shared" si="5"/>
        <v>70.991111111111124</v>
      </c>
      <c r="G26" s="13"/>
      <c r="H26" s="18">
        <f>H25/9</f>
        <v>58.20333333333334</v>
      </c>
      <c r="J26" s="21" t="s">
        <v>14</v>
      </c>
      <c r="K26" s="11">
        <f>3*3*3-1</f>
        <v>26</v>
      </c>
      <c r="L26" s="19">
        <f>SUMSQ(D16:F24)-K16</f>
        <v>26579.156599999988</v>
      </c>
      <c r="M26" s="20"/>
      <c r="N26" s="20"/>
      <c r="O26" s="20"/>
      <c r="P26" s="20"/>
      <c r="Q26" s="20"/>
      <c r="T26" s="1" t="s">
        <v>26</v>
      </c>
      <c r="U26" s="9">
        <f>E34</f>
        <v>77.666666666666671</v>
      </c>
      <c r="V26" s="1" t="s">
        <v>57</v>
      </c>
    </row>
    <row r="27" spans="3:24">
      <c r="C27" s="22" t="s">
        <v>19</v>
      </c>
      <c r="D27" s="22"/>
      <c r="E27" s="22"/>
      <c r="L27" s="7"/>
      <c r="M27" s="7"/>
      <c r="N27" s="7"/>
      <c r="T27" s="1" t="s">
        <v>27</v>
      </c>
      <c r="U27" s="9">
        <f>F34</f>
        <v>48.952222222222218</v>
      </c>
      <c r="V27" s="1" t="s">
        <v>56</v>
      </c>
    </row>
    <row r="28" spans="3:24">
      <c r="C28" s="24" t="s">
        <v>20</v>
      </c>
      <c r="D28" s="29" t="s">
        <v>13</v>
      </c>
      <c r="E28" s="30"/>
      <c r="F28" s="31"/>
      <c r="G28" s="23" t="s">
        <v>21</v>
      </c>
      <c r="H28" s="23" t="s">
        <v>29</v>
      </c>
      <c r="J28" t="s">
        <v>30</v>
      </c>
      <c r="R28" t="str">
        <f>R23</f>
        <v>sd (3,16)</v>
      </c>
      <c r="S28" s="8">
        <f>S23</f>
        <v>3.649</v>
      </c>
      <c r="T28" s="1" t="s">
        <v>54</v>
      </c>
      <c r="U28" s="9">
        <f>U23</f>
        <v>29.102715730479655</v>
      </c>
      <c r="V28" s="1"/>
    </row>
    <row r="29" spans="3:24" ht="15.75">
      <c r="C29" s="25"/>
      <c r="D29" s="6" t="s">
        <v>25</v>
      </c>
      <c r="E29" s="6" t="s">
        <v>26</v>
      </c>
      <c r="F29" s="6" t="s">
        <v>27</v>
      </c>
      <c r="G29" s="23"/>
      <c r="H29" s="23"/>
      <c r="J29" s="5" t="s">
        <v>31</v>
      </c>
      <c r="K29" s="5" t="s">
        <v>32</v>
      </c>
      <c r="L29" s="5" t="s">
        <v>33</v>
      </c>
      <c r="M29" s="5" t="s">
        <v>34</v>
      </c>
      <c r="N29" s="5" t="s">
        <v>35</v>
      </c>
      <c r="O29" s="5"/>
      <c r="P29" s="5" t="s">
        <v>36</v>
      </c>
      <c r="Q29" s="5" t="s">
        <v>37</v>
      </c>
    </row>
    <row r="30" spans="3:24">
      <c r="C30" s="2" t="s">
        <v>22</v>
      </c>
      <c r="D30" s="4">
        <f>G16</f>
        <v>165.5</v>
      </c>
      <c r="E30" s="4">
        <f>G19</f>
        <v>185.67000000000002</v>
      </c>
      <c r="F30" s="4">
        <f>G22</f>
        <v>131.99</v>
      </c>
      <c r="G30" s="4">
        <f>SUM(D30:F30)</f>
        <v>483.16</v>
      </c>
      <c r="H30" s="4">
        <f>G30/9</f>
        <v>53.684444444444445</v>
      </c>
      <c r="J30" t="s">
        <v>38</v>
      </c>
      <c r="K30">
        <f>K15-1</f>
        <v>2</v>
      </c>
      <c r="L30" s="7">
        <f>SUMSQ(D25:F25)/(K13*K14)-K16</f>
        <v>10375.316066666666</v>
      </c>
      <c r="M30" s="7">
        <f>L30/K30</f>
        <v>5187.6580333333332</v>
      </c>
      <c r="N30" s="7">
        <f>M30/M$35</f>
        <v>9.0616967168849918</v>
      </c>
      <c r="O30" t="str">
        <f t="shared" ref="O30:O34" si="6">IF(N30&lt;P30,"tn",IF(N30&lt;Q30,"*","**"))</f>
        <v>**</v>
      </c>
      <c r="P30">
        <f>FINV(0.05,K30,K$35)</f>
        <v>3.6337234675916301</v>
      </c>
      <c r="Q30">
        <f>FINV(0.01,K30,K$35)</f>
        <v>6.2262352803113821</v>
      </c>
    </row>
    <row r="31" spans="3:24">
      <c r="C31" s="2" t="s">
        <v>23</v>
      </c>
      <c r="D31" s="4">
        <f>G17</f>
        <v>150</v>
      </c>
      <c r="E31" s="4">
        <f>G20</f>
        <v>236.32999999999998</v>
      </c>
      <c r="F31" s="4">
        <f>G23</f>
        <v>154.25</v>
      </c>
      <c r="G31" s="4">
        <f>SUM(D31:F31)</f>
        <v>540.57999999999993</v>
      </c>
      <c r="H31" s="4">
        <f t="shared" ref="H31:H32" si="7">G31/9</f>
        <v>60.064444444444433</v>
      </c>
      <c r="J31" t="s">
        <v>39</v>
      </c>
      <c r="K31">
        <f>K13*K14-1</f>
        <v>8</v>
      </c>
      <c r="L31" s="7">
        <f>SUMSQ(G16:G24)/K15-K16</f>
        <v>7044.1289333333261</v>
      </c>
      <c r="M31" s="7">
        <f t="shared" ref="M31:M35" si="8">L31/K31</f>
        <v>880.51611666666577</v>
      </c>
      <c r="N31" s="7">
        <f t="shared" ref="N31:N34" si="9">M31/M$35</f>
        <v>1.5380678433878485</v>
      </c>
      <c r="O31" t="str">
        <f t="shared" si="6"/>
        <v>tn</v>
      </c>
      <c r="P31">
        <f t="shared" ref="P31:P34" si="10">FINV(0.05,K31,K$35)</f>
        <v>2.5910961798744014</v>
      </c>
      <c r="Q31">
        <f t="shared" ref="Q31:Q34" si="11">FINV(0.01,K31,K$35)</f>
        <v>3.8895721399261927</v>
      </c>
      <c r="S31" s="32"/>
      <c r="T31" s="32"/>
      <c r="U31" s="32"/>
      <c r="V31" s="32"/>
      <c r="W31" s="15"/>
    </row>
    <row r="32" spans="3:24">
      <c r="C32" s="2" t="s">
        <v>24</v>
      </c>
      <c r="D32" s="4">
        <f>G18</f>
        <v>116.42</v>
      </c>
      <c r="E32" s="4">
        <f>G21</f>
        <v>277</v>
      </c>
      <c r="F32" s="4">
        <f>G24</f>
        <v>154.32999999999998</v>
      </c>
      <c r="G32" s="4">
        <f>SUM(D32:F32)</f>
        <v>547.75</v>
      </c>
      <c r="H32" s="4">
        <f t="shared" si="7"/>
        <v>60.861111111111114</v>
      </c>
      <c r="J32" t="s">
        <v>40</v>
      </c>
      <c r="K32">
        <f>K13-1</f>
        <v>2</v>
      </c>
      <c r="L32" s="7">
        <f>SUMSQ(G30:G32)/9-K16</f>
        <v>278.53086666665331</v>
      </c>
      <c r="M32" s="7">
        <f t="shared" si="8"/>
        <v>139.26543333332665</v>
      </c>
      <c r="N32" s="7">
        <f t="shared" si="9"/>
        <v>0.24326605799829196</v>
      </c>
      <c r="O32" t="str">
        <f t="shared" si="6"/>
        <v>tn</v>
      </c>
      <c r="P32">
        <f t="shared" si="10"/>
        <v>3.6337234675916301</v>
      </c>
      <c r="Q32">
        <f t="shared" si="11"/>
        <v>6.2262352803113821</v>
      </c>
      <c r="S32" s="32"/>
      <c r="T32" s="15"/>
      <c r="U32" s="15"/>
      <c r="V32" s="15"/>
      <c r="W32" s="15"/>
    </row>
    <row r="33" spans="3:23">
      <c r="C33" s="3" t="s">
        <v>28</v>
      </c>
      <c r="D33" s="4">
        <f>SUM(D30:D32)</f>
        <v>431.92</v>
      </c>
      <c r="E33" s="4">
        <f>SUM(E30:E32)</f>
        <v>699</v>
      </c>
      <c r="F33" s="4">
        <f>SUM(F30:F32)</f>
        <v>440.57</v>
      </c>
      <c r="G33" s="4">
        <f>SUM(G30:G32)</f>
        <v>1571.49</v>
      </c>
      <c r="H33" s="1"/>
      <c r="J33" t="s">
        <v>13</v>
      </c>
      <c r="K33">
        <f>K14-1</f>
        <v>2</v>
      </c>
      <c r="L33" s="7">
        <f>SUMSQ(D33:F33)/9-K16</f>
        <v>5118.2449555555504</v>
      </c>
      <c r="M33" s="7">
        <f t="shared" si="8"/>
        <v>2559.1224777777752</v>
      </c>
      <c r="N33" s="7">
        <f t="shared" si="9"/>
        <v>4.4702236743397492</v>
      </c>
      <c r="O33" t="str">
        <f t="shared" si="6"/>
        <v>*</v>
      </c>
      <c r="P33">
        <f t="shared" si="10"/>
        <v>3.6337234675916301</v>
      </c>
      <c r="Q33">
        <f t="shared" si="11"/>
        <v>6.2262352803113821</v>
      </c>
      <c r="S33" s="15"/>
      <c r="T33" s="16"/>
      <c r="U33" s="16"/>
      <c r="V33" s="16"/>
      <c r="W33" s="16"/>
    </row>
    <row r="34" spans="3:23">
      <c r="C34" s="2" t="s">
        <v>29</v>
      </c>
      <c r="D34" s="4">
        <f>D33/9</f>
        <v>47.99111111111111</v>
      </c>
      <c r="E34" s="4">
        <f>E33/9</f>
        <v>77.666666666666671</v>
      </c>
      <c r="F34" s="4">
        <f>F33/9</f>
        <v>48.952222222222218</v>
      </c>
      <c r="G34" s="1"/>
      <c r="H34" s="1"/>
      <c r="J34" t="s">
        <v>41</v>
      </c>
      <c r="K34">
        <f>K31-K32-K33</f>
        <v>4</v>
      </c>
      <c r="L34" s="7">
        <f>L31-L32-L33</f>
        <v>1647.3531111111224</v>
      </c>
      <c r="M34" s="7">
        <f t="shared" si="8"/>
        <v>411.8382777777806</v>
      </c>
      <c r="N34" s="7">
        <f t="shared" si="9"/>
        <v>0.71939082060667647</v>
      </c>
      <c r="O34" t="str">
        <f t="shared" si="6"/>
        <v>tn</v>
      </c>
      <c r="P34">
        <f t="shared" si="10"/>
        <v>3.0069172799243447</v>
      </c>
      <c r="Q34">
        <f t="shared" si="11"/>
        <v>4.772577999723211</v>
      </c>
      <c r="S34" s="15"/>
      <c r="T34" s="16"/>
      <c r="U34" s="16"/>
      <c r="V34" s="16"/>
      <c r="W34" s="16"/>
    </row>
    <row r="35" spans="3:23">
      <c r="J35" t="s">
        <v>42</v>
      </c>
      <c r="K35">
        <f>K36-K30-K31</f>
        <v>16</v>
      </c>
      <c r="L35" s="7">
        <f>L36-L30-L31</f>
        <v>9159.7115999999951</v>
      </c>
      <c r="M35" s="7">
        <f t="shared" si="8"/>
        <v>572.48197499999969</v>
      </c>
      <c r="N35" s="7"/>
      <c r="S35" s="15"/>
      <c r="T35" s="16"/>
      <c r="U35" s="16"/>
      <c r="V35" s="16"/>
      <c r="W35" s="16"/>
    </row>
    <row r="36" spans="3:23">
      <c r="J36" t="s">
        <v>14</v>
      </c>
      <c r="K36">
        <f>K13*K14*K15-1</f>
        <v>26</v>
      </c>
      <c r="L36" s="7">
        <f>SUMSQ(D16:F24)-K16</f>
        <v>26579.156599999988</v>
      </c>
      <c r="M36" s="7"/>
      <c r="N36" s="7"/>
      <c r="S36" s="15"/>
      <c r="T36" s="16"/>
      <c r="U36" s="16"/>
      <c r="V36" s="16"/>
      <c r="W36" s="15"/>
    </row>
    <row r="37" spans="3:23">
      <c r="S37" s="33"/>
      <c r="T37" s="33"/>
      <c r="U37" s="33"/>
      <c r="V37" s="33"/>
      <c r="W37" s="34"/>
    </row>
    <row r="39" spans="3:23">
      <c r="J39" s="1" t="s">
        <v>39</v>
      </c>
      <c r="K39" s="1" t="s">
        <v>43</v>
      </c>
      <c r="L39" s="1" t="s">
        <v>44</v>
      </c>
    </row>
    <row r="40" spans="3:23">
      <c r="J40" s="1" t="s">
        <v>15</v>
      </c>
      <c r="K40" s="1"/>
      <c r="L40" s="1"/>
      <c r="Q40" s="15"/>
      <c r="R40" s="35"/>
      <c r="S40" s="35"/>
    </row>
    <row r="41" spans="3:23">
      <c r="J41" s="1" t="s">
        <v>45</v>
      </c>
      <c r="K41" s="4">
        <f>H30</f>
        <v>53.684444444444445</v>
      </c>
      <c r="L41" s="1"/>
      <c r="Q41" s="15"/>
      <c r="R41" s="36"/>
      <c r="S41" s="36"/>
    </row>
    <row r="42" spans="3:23">
      <c r="J42" s="1" t="s">
        <v>46</v>
      </c>
      <c r="K42" s="4">
        <f>H31</f>
        <v>60.064444444444433</v>
      </c>
      <c r="L42" s="1"/>
      <c r="Q42" s="15"/>
      <c r="R42" s="36"/>
      <c r="S42" s="36"/>
    </row>
    <row r="43" spans="3:23">
      <c r="J43" s="1" t="s">
        <v>47</v>
      </c>
      <c r="K43" s="4">
        <f>H32</f>
        <v>60.861111111111114</v>
      </c>
      <c r="L43" s="1"/>
      <c r="Q43" s="15"/>
      <c r="R43" s="36"/>
      <c r="S43" s="36"/>
      <c r="T43" t="s">
        <v>58</v>
      </c>
    </row>
    <row r="44" spans="3:23">
      <c r="H44" t="s">
        <v>52</v>
      </c>
      <c r="I44" s="8">
        <v>1</v>
      </c>
      <c r="J44" s="1" t="s">
        <v>48</v>
      </c>
      <c r="K44" s="1">
        <v>3.649</v>
      </c>
      <c r="L44" s="1"/>
      <c r="Q44" s="15"/>
      <c r="R44" s="35"/>
      <c r="S44" s="35"/>
    </row>
    <row r="45" spans="3:23">
      <c r="J45" s="1" t="s">
        <v>16</v>
      </c>
      <c r="K45" s="1"/>
      <c r="L45" s="1"/>
      <c r="Q45" s="15"/>
      <c r="R45" s="36"/>
      <c r="S45" s="36"/>
    </row>
    <row r="46" spans="3:23">
      <c r="J46" s="1" t="s">
        <v>49</v>
      </c>
      <c r="K46" s="4">
        <f>D34</f>
        <v>47.99111111111111</v>
      </c>
      <c r="L46" s="1"/>
      <c r="Q46" s="15"/>
      <c r="R46" s="36"/>
      <c r="S46" s="36"/>
    </row>
    <row r="47" spans="3:23">
      <c r="J47" s="1" t="s">
        <v>50</v>
      </c>
      <c r="K47" s="4">
        <f>E34</f>
        <v>77.666666666666671</v>
      </c>
      <c r="L47" s="1"/>
      <c r="Q47" s="15"/>
      <c r="R47" s="36"/>
      <c r="S47" s="36"/>
    </row>
    <row r="48" spans="3:23">
      <c r="J48" s="1" t="s">
        <v>51</v>
      </c>
      <c r="K48" s="4">
        <f>F34</f>
        <v>48.952222222222218</v>
      </c>
      <c r="L48" s="1"/>
      <c r="Q48" s="15"/>
      <c r="R48" s="36"/>
      <c r="S48" s="36"/>
    </row>
    <row r="49" spans="8:12">
      <c r="H49" t="str">
        <f>H44</f>
        <v>sd (3,16)</v>
      </c>
      <c r="I49" s="8">
        <v>1</v>
      </c>
      <c r="J49" s="1" t="s">
        <v>48</v>
      </c>
      <c r="K49" s="1">
        <v>3.649</v>
      </c>
      <c r="L49" s="1"/>
    </row>
  </sheetData>
  <mergeCells count="31">
    <mergeCell ref="R46:S46"/>
    <mergeCell ref="R47:S47"/>
    <mergeCell ref="R48:S48"/>
    <mergeCell ref="R44:S44"/>
    <mergeCell ref="R40:S40"/>
    <mergeCell ref="R41:S41"/>
    <mergeCell ref="R42:S42"/>
    <mergeCell ref="R43:S43"/>
    <mergeCell ref="R45:S45"/>
    <mergeCell ref="D1:G1"/>
    <mergeCell ref="H1:H2"/>
    <mergeCell ref="J1:J2"/>
    <mergeCell ref="D28:F28"/>
    <mergeCell ref="G28:G29"/>
    <mergeCell ref="H28:H29"/>
    <mergeCell ref="S31:S32"/>
    <mergeCell ref="T31:V31"/>
    <mergeCell ref="S37:V37"/>
    <mergeCell ref="V1:V2"/>
    <mergeCell ref="C13:G13"/>
    <mergeCell ref="C27:E27"/>
    <mergeCell ref="C14:C15"/>
    <mergeCell ref="D14:F14"/>
    <mergeCell ref="G14:G15"/>
    <mergeCell ref="H14:H15"/>
    <mergeCell ref="K1:N1"/>
    <mergeCell ref="O1:O2"/>
    <mergeCell ref="Q1:Q2"/>
    <mergeCell ref="R1:U1"/>
    <mergeCell ref="C28:C29"/>
    <mergeCell ref="C1:C2"/>
  </mergeCells>
  <pageMargins left="0.7" right="0.7" top="0.75" bottom="0.75" header="0.3" footer="0.3"/>
  <pageSetup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berat basah (2)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compac</dc:creator>
  <cp:lastModifiedBy>compac</cp:lastModifiedBy>
  <dcterms:created xsi:type="dcterms:W3CDTF">2022-12-20T13:05:25Z</dcterms:created>
  <dcterms:modified xsi:type="dcterms:W3CDTF">2023-03-11T14:33:21Z</dcterms:modified>
</cp:coreProperties>
</file>