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 fadil\"/>
    </mc:Choice>
  </mc:AlternateContent>
  <xr:revisionPtr revIDLastSave="0" documentId="13_ncr:1_{0D9A1E75-6172-49B3-AA12-05CE5E321E69}" xr6:coauthVersionLast="45" xr6:coauthVersionMax="45" xr10:uidLastSave="{00000000-0000-0000-0000-000000000000}"/>
  <bookViews>
    <workbookView xWindow="-120" yWindow="-120" windowWidth="20730" windowHeight="11160" xr2:uid="{9C4A08FD-2267-42A2-B30C-BF51B5F999F0}"/>
  </bookViews>
  <sheets>
    <sheet name="7 HST" sheetId="1" r:id="rId1"/>
    <sheet name="14 HST" sheetId="2" r:id="rId2"/>
    <sheet name="21 HST" sheetId="4" r:id="rId3"/>
    <sheet name="28 HST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6" i="5" l="1"/>
  <c r="Q25" i="5"/>
  <c r="Q24" i="5"/>
  <c r="Q23" i="5"/>
  <c r="Q22" i="5"/>
  <c r="Q21" i="5"/>
  <c r="Q26" i="4"/>
  <c r="Q25" i="4"/>
  <c r="Q24" i="4"/>
  <c r="Q23" i="4"/>
  <c r="Q22" i="4"/>
  <c r="Q21" i="4"/>
  <c r="S24" i="1"/>
  <c r="S21" i="1"/>
  <c r="Q26" i="1"/>
  <c r="Q25" i="1"/>
  <c r="Q24" i="1"/>
  <c r="Q23" i="1"/>
  <c r="Q22" i="1"/>
  <c r="Q21" i="1"/>
  <c r="W3" i="4" l="1"/>
  <c r="E15" i="4" l="1"/>
  <c r="D15" i="4"/>
  <c r="C15" i="4"/>
  <c r="G15" i="4" s="1"/>
  <c r="B15" i="4"/>
  <c r="F15" i="4" s="1"/>
  <c r="E14" i="4"/>
  <c r="D14" i="4"/>
  <c r="C14" i="4"/>
  <c r="G14" i="4" s="1"/>
  <c r="B14" i="4"/>
  <c r="F14" i="4" s="1"/>
  <c r="E13" i="4"/>
  <c r="D13" i="4"/>
  <c r="C13" i="4"/>
  <c r="G13" i="4" s="1"/>
  <c r="B13" i="4"/>
  <c r="F13" i="4" s="1"/>
  <c r="E12" i="4"/>
  <c r="D12" i="4"/>
  <c r="C12" i="4"/>
  <c r="G12" i="4" s="1"/>
  <c r="B12" i="4"/>
  <c r="F12" i="4" s="1"/>
  <c r="E11" i="4"/>
  <c r="E16" i="4" s="1"/>
  <c r="D11" i="4"/>
  <c r="D16" i="4" s="1"/>
  <c r="C11" i="4"/>
  <c r="F17" i="4" s="1"/>
  <c r="B11" i="4"/>
  <c r="F18" i="4" s="1"/>
  <c r="E15" i="2"/>
  <c r="D15" i="2"/>
  <c r="C15" i="2"/>
  <c r="G15" i="2" s="1"/>
  <c r="B15" i="2"/>
  <c r="F15" i="2" s="1"/>
  <c r="E14" i="2"/>
  <c r="D14" i="2"/>
  <c r="C14" i="2"/>
  <c r="G14" i="2" s="1"/>
  <c r="B14" i="2"/>
  <c r="F14" i="2" s="1"/>
  <c r="E13" i="2"/>
  <c r="D13" i="2"/>
  <c r="C13" i="2"/>
  <c r="G13" i="2" s="1"/>
  <c r="B13" i="2"/>
  <c r="F13" i="2" s="1"/>
  <c r="E12" i="2"/>
  <c r="D12" i="2"/>
  <c r="C12" i="2"/>
  <c r="G12" i="2" s="1"/>
  <c r="B12" i="2"/>
  <c r="F12" i="2" s="1"/>
  <c r="E11" i="2"/>
  <c r="E16" i="2" s="1"/>
  <c r="D11" i="2"/>
  <c r="D16" i="2" s="1"/>
  <c r="C11" i="2"/>
  <c r="F17" i="2" s="1"/>
  <c r="B11" i="2"/>
  <c r="F18" i="2" s="1"/>
  <c r="E15" i="1"/>
  <c r="D15" i="1"/>
  <c r="C15" i="1"/>
  <c r="G15" i="1" s="1"/>
  <c r="B15" i="1"/>
  <c r="F15" i="1" s="1"/>
  <c r="E14" i="1"/>
  <c r="D14" i="1"/>
  <c r="C14" i="1"/>
  <c r="G14" i="1" s="1"/>
  <c r="B14" i="1"/>
  <c r="F14" i="1" s="1"/>
  <c r="E13" i="1"/>
  <c r="D13" i="1"/>
  <c r="C13" i="1"/>
  <c r="G13" i="1" s="1"/>
  <c r="B13" i="1"/>
  <c r="F13" i="1" s="1"/>
  <c r="E12" i="1"/>
  <c r="D12" i="1"/>
  <c r="C12" i="1"/>
  <c r="G12" i="1" s="1"/>
  <c r="B12" i="1"/>
  <c r="F12" i="1" s="1"/>
  <c r="E11" i="1"/>
  <c r="E16" i="1" s="1"/>
  <c r="D11" i="1"/>
  <c r="D16" i="1" s="1"/>
  <c r="C11" i="1"/>
  <c r="F17" i="1" s="1"/>
  <c r="B11" i="1"/>
  <c r="F18" i="1" s="1"/>
  <c r="E15" i="5"/>
  <c r="D15" i="5"/>
  <c r="C15" i="5"/>
  <c r="G15" i="5" s="1"/>
  <c r="B15" i="5"/>
  <c r="F15" i="5" s="1"/>
  <c r="E14" i="5"/>
  <c r="D14" i="5"/>
  <c r="C14" i="5"/>
  <c r="G14" i="5" s="1"/>
  <c r="B14" i="5"/>
  <c r="F14" i="5" s="1"/>
  <c r="E13" i="5"/>
  <c r="D13" i="5"/>
  <c r="C13" i="5"/>
  <c r="G13" i="5" s="1"/>
  <c r="B13" i="5"/>
  <c r="F13" i="5" s="1"/>
  <c r="E12" i="5"/>
  <c r="D12" i="5"/>
  <c r="C12" i="5"/>
  <c r="G12" i="5" s="1"/>
  <c r="B12" i="5"/>
  <c r="F12" i="5" s="1"/>
  <c r="E11" i="5"/>
  <c r="E16" i="5" s="1"/>
  <c r="D11" i="5"/>
  <c r="D16" i="5" s="1"/>
  <c r="C11" i="5"/>
  <c r="F17" i="5" s="1"/>
  <c r="B11" i="5"/>
  <c r="F18" i="5" s="1"/>
  <c r="G11" i="4" l="1"/>
  <c r="C16" i="4"/>
  <c r="F11" i="4"/>
  <c r="B16" i="4"/>
  <c r="F16" i="4" s="1"/>
  <c r="G11" i="2"/>
  <c r="C16" i="2"/>
  <c r="F11" i="2"/>
  <c r="B16" i="2"/>
  <c r="F16" i="2" s="1"/>
  <c r="G11" i="1"/>
  <c r="C16" i="1"/>
  <c r="F11" i="1"/>
  <c r="B16" i="1"/>
  <c r="F16" i="1" s="1"/>
  <c r="G11" i="5"/>
  <c r="C16" i="5"/>
  <c r="F11" i="5"/>
  <c r="B16" i="5"/>
  <c r="F16" i="5" s="1"/>
  <c r="AB7" i="5" l="1"/>
  <c r="AA7" i="5"/>
  <c r="Z7" i="5"/>
  <c r="Y7" i="5"/>
  <c r="X7" i="5"/>
  <c r="W7" i="5"/>
  <c r="W6" i="5"/>
  <c r="X6" i="5"/>
  <c r="Y6" i="5"/>
  <c r="Z6" i="5"/>
  <c r="AA6" i="5"/>
  <c r="AB6" i="5"/>
  <c r="AB5" i="5"/>
  <c r="AA5" i="5"/>
  <c r="Z5" i="5"/>
  <c r="Y5" i="5"/>
  <c r="X5" i="5"/>
  <c r="W5" i="5"/>
  <c r="W4" i="5"/>
  <c r="X4" i="5"/>
  <c r="Y4" i="5"/>
  <c r="Z4" i="5"/>
  <c r="AA4" i="5"/>
  <c r="AB4" i="5"/>
  <c r="AA3" i="5"/>
  <c r="Z3" i="5"/>
  <c r="Y3" i="5"/>
  <c r="X3" i="5"/>
  <c r="W3" i="5"/>
  <c r="U7" i="5"/>
  <c r="T7" i="5"/>
  <c r="S7" i="5"/>
  <c r="R7" i="5"/>
  <c r="Q7" i="5"/>
  <c r="P7" i="5"/>
  <c r="P6" i="5"/>
  <c r="Q6" i="5"/>
  <c r="R6" i="5"/>
  <c r="S6" i="5"/>
  <c r="T6" i="5"/>
  <c r="U6" i="5"/>
  <c r="U5" i="5"/>
  <c r="T5" i="5"/>
  <c r="S5" i="5"/>
  <c r="R5" i="5"/>
  <c r="Q5" i="5"/>
  <c r="P5" i="5"/>
  <c r="P4" i="5"/>
  <c r="Q4" i="5"/>
  <c r="R4" i="5"/>
  <c r="S4" i="5"/>
  <c r="T4" i="5"/>
  <c r="U4" i="5"/>
  <c r="Q3" i="5"/>
  <c r="P3" i="5"/>
  <c r="N7" i="5"/>
  <c r="M7" i="5"/>
  <c r="L7" i="5"/>
  <c r="K7" i="5"/>
  <c r="J7" i="5"/>
  <c r="I7" i="5"/>
  <c r="I6" i="5"/>
  <c r="J6" i="5"/>
  <c r="K6" i="5"/>
  <c r="L6" i="5"/>
  <c r="M6" i="5"/>
  <c r="N6" i="5"/>
  <c r="N5" i="5"/>
  <c r="M5" i="5"/>
  <c r="L5" i="5"/>
  <c r="K5" i="5"/>
  <c r="J5" i="5"/>
  <c r="I5" i="5"/>
  <c r="I4" i="5"/>
  <c r="J4" i="5"/>
  <c r="K4" i="5"/>
  <c r="L4" i="5"/>
  <c r="M4" i="5"/>
  <c r="N4" i="5"/>
  <c r="K3" i="5"/>
  <c r="J3" i="5"/>
  <c r="I3" i="5"/>
  <c r="G7" i="5"/>
  <c r="F7" i="5"/>
  <c r="E7" i="5"/>
  <c r="D7" i="5"/>
  <c r="C7" i="5"/>
  <c r="B7" i="5"/>
  <c r="B6" i="5"/>
  <c r="C6" i="5"/>
  <c r="D6" i="5"/>
  <c r="E6" i="5"/>
  <c r="F6" i="5"/>
  <c r="G6" i="5"/>
  <c r="G5" i="5"/>
  <c r="F5" i="5"/>
  <c r="E5" i="5"/>
  <c r="D5" i="5"/>
  <c r="C5" i="5"/>
  <c r="B5" i="5"/>
  <c r="B4" i="5"/>
  <c r="C4" i="5"/>
  <c r="D4" i="5"/>
  <c r="E4" i="5"/>
  <c r="F4" i="5"/>
  <c r="G4" i="5"/>
  <c r="F3" i="5"/>
  <c r="E3" i="5"/>
  <c r="D3" i="5"/>
  <c r="C3" i="5"/>
  <c r="B3" i="5"/>
  <c r="J18" i="5" l="1"/>
  <c r="J17" i="5"/>
  <c r="J16" i="5"/>
  <c r="O16" i="5" s="1"/>
  <c r="J15" i="5"/>
  <c r="O15" i="5" s="1"/>
  <c r="V7" i="5"/>
  <c r="H7" i="5"/>
  <c r="V6" i="5"/>
  <c r="H6" i="5"/>
  <c r="V5" i="5"/>
  <c r="H5" i="5"/>
  <c r="V4" i="5"/>
  <c r="H4" i="5"/>
  <c r="V3" i="5"/>
  <c r="H3" i="5"/>
  <c r="AB7" i="4"/>
  <c r="AA7" i="4"/>
  <c r="Z7" i="4"/>
  <c r="Y7" i="4"/>
  <c r="X7" i="4"/>
  <c r="W7" i="4"/>
  <c r="W6" i="4"/>
  <c r="X6" i="4"/>
  <c r="Y6" i="4"/>
  <c r="Z6" i="4"/>
  <c r="AA6" i="4"/>
  <c r="AB6" i="4"/>
  <c r="AB5" i="4"/>
  <c r="AA5" i="4"/>
  <c r="Z5" i="4"/>
  <c r="Y5" i="4"/>
  <c r="X5" i="4"/>
  <c r="W5" i="4"/>
  <c r="W4" i="4"/>
  <c r="X4" i="4"/>
  <c r="Y4" i="4"/>
  <c r="Z4" i="4"/>
  <c r="AA4" i="4"/>
  <c r="AB4" i="4"/>
  <c r="AA3" i="4"/>
  <c r="Z3" i="4"/>
  <c r="Y3" i="4"/>
  <c r="X3" i="4"/>
  <c r="U7" i="4"/>
  <c r="T7" i="4"/>
  <c r="S7" i="4"/>
  <c r="R7" i="4"/>
  <c r="V7" i="4" s="1"/>
  <c r="Q7" i="4"/>
  <c r="P7" i="4"/>
  <c r="P6" i="4"/>
  <c r="Q6" i="4"/>
  <c r="R6" i="4"/>
  <c r="S6" i="4"/>
  <c r="T6" i="4"/>
  <c r="U6" i="4"/>
  <c r="U5" i="4"/>
  <c r="T5" i="4"/>
  <c r="S5" i="4"/>
  <c r="R5" i="4"/>
  <c r="Q5" i="4"/>
  <c r="P5" i="4"/>
  <c r="P4" i="4"/>
  <c r="Q4" i="4"/>
  <c r="R4" i="4"/>
  <c r="S4" i="4"/>
  <c r="T4" i="4"/>
  <c r="U4" i="4"/>
  <c r="T3" i="4"/>
  <c r="S3" i="4"/>
  <c r="R3" i="4"/>
  <c r="Q3" i="4"/>
  <c r="P3" i="4"/>
  <c r="N7" i="4"/>
  <c r="M7" i="4"/>
  <c r="L7" i="4"/>
  <c r="K7" i="4"/>
  <c r="J7" i="4"/>
  <c r="I7" i="4"/>
  <c r="I6" i="4"/>
  <c r="J6" i="4"/>
  <c r="K6" i="4"/>
  <c r="L6" i="4"/>
  <c r="M6" i="4"/>
  <c r="N6" i="4"/>
  <c r="N5" i="4"/>
  <c r="M5" i="4"/>
  <c r="L5" i="4"/>
  <c r="K5" i="4"/>
  <c r="J5" i="4"/>
  <c r="I5" i="4"/>
  <c r="I4" i="4"/>
  <c r="J4" i="4"/>
  <c r="K4" i="4"/>
  <c r="L4" i="4"/>
  <c r="M4" i="4"/>
  <c r="N4" i="4"/>
  <c r="K3" i="4"/>
  <c r="J3" i="4"/>
  <c r="I3" i="4"/>
  <c r="B7" i="4"/>
  <c r="C7" i="4"/>
  <c r="D7" i="4"/>
  <c r="E7" i="4"/>
  <c r="F7" i="4"/>
  <c r="G7" i="4"/>
  <c r="G6" i="4"/>
  <c r="F6" i="4"/>
  <c r="E6" i="4"/>
  <c r="D6" i="4"/>
  <c r="C6" i="4"/>
  <c r="B6" i="4"/>
  <c r="B5" i="4"/>
  <c r="C5" i="4"/>
  <c r="D5" i="4"/>
  <c r="E5" i="4"/>
  <c r="F5" i="4"/>
  <c r="G5" i="4"/>
  <c r="G4" i="4"/>
  <c r="F4" i="4"/>
  <c r="E4" i="4"/>
  <c r="D4" i="4"/>
  <c r="C4" i="4"/>
  <c r="B4" i="4"/>
  <c r="F3" i="4"/>
  <c r="E3" i="4"/>
  <c r="D3" i="4"/>
  <c r="C3" i="4"/>
  <c r="B3" i="4"/>
  <c r="J18" i="4"/>
  <c r="J17" i="4"/>
  <c r="J16" i="4"/>
  <c r="O16" i="4" s="1"/>
  <c r="J15" i="4"/>
  <c r="O15" i="4" s="1"/>
  <c r="V6" i="4"/>
  <c r="H6" i="4"/>
  <c r="V5" i="4"/>
  <c r="H5" i="4"/>
  <c r="H4" i="4"/>
  <c r="J11" i="5" l="1"/>
  <c r="O3" i="5"/>
  <c r="AC3" i="5"/>
  <c r="O4" i="5"/>
  <c r="AC4" i="5"/>
  <c r="O5" i="5"/>
  <c r="AC5" i="5"/>
  <c r="O6" i="5"/>
  <c r="AC6" i="5"/>
  <c r="O7" i="5"/>
  <c r="AC7" i="5"/>
  <c r="P15" i="5"/>
  <c r="P16" i="5"/>
  <c r="V4" i="4"/>
  <c r="H7" i="4"/>
  <c r="J11" i="4"/>
  <c r="O3" i="4"/>
  <c r="AC3" i="4"/>
  <c r="O4" i="4"/>
  <c r="AC4" i="4"/>
  <c r="O5" i="4"/>
  <c r="AC5" i="4"/>
  <c r="O6" i="4"/>
  <c r="AC6" i="4"/>
  <c r="O7" i="4"/>
  <c r="AC7" i="4"/>
  <c r="P15" i="4"/>
  <c r="P16" i="4"/>
  <c r="H3" i="4"/>
  <c r="V3" i="4"/>
  <c r="AB7" i="2"/>
  <c r="AA7" i="2"/>
  <c r="Z7" i="2"/>
  <c r="Y7" i="2"/>
  <c r="X7" i="2"/>
  <c r="W7" i="2"/>
  <c r="AB6" i="2"/>
  <c r="AA6" i="2"/>
  <c r="Z6" i="2"/>
  <c r="Y6" i="2"/>
  <c r="AC6" i="2" s="1"/>
  <c r="X6" i="2"/>
  <c r="W6" i="2"/>
  <c r="AB5" i="2"/>
  <c r="AA5" i="2"/>
  <c r="Z5" i="2"/>
  <c r="Y5" i="2"/>
  <c r="X5" i="2"/>
  <c r="W5" i="2"/>
  <c r="AB4" i="2"/>
  <c r="AA4" i="2"/>
  <c r="Z4" i="2"/>
  <c r="Y4" i="2"/>
  <c r="AC4" i="2" s="1"/>
  <c r="X4" i="2"/>
  <c r="W4" i="2"/>
  <c r="Z3" i="2"/>
  <c r="Y3" i="2"/>
  <c r="X3" i="2"/>
  <c r="W3" i="2"/>
  <c r="U7" i="2"/>
  <c r="T7" i="2"/>
  <c r="S7" i="2"/>
  <c r="R7" i="2"/>
  <c r="Q7" i="2"/>
  <c r="P7" i="2"/>
  <c r="U6" i="2"/>
  <c r="T6" i="2"/>
  <c r="S6" i="2"/>
  <c r="R6" i="2"/>
  <c r="Q6" i="2"/>
  <c r="P6" i="2"/>
  <c r="U5" i="2"/>
  <c r="T5" i="2"/>
  <c r="S5" i="2"/>
  <c r="R5" i="2"/>
  <c r="Q5" i="2"/>
  <c r="P5" i="2"/>
  <c r="U4" i="2"/>
  <c r="T4" i="2"/>
  <c r="S4" i="2"/>
  <c r="V4" i="2" s="1"/>
  <c r="R4" i="2"/>
  <c r="Q4" i="2"/>
  <c r="P4" i="2"/>
  <c r="U3" i="2"/>
  <c r="T3" i="2"/>
  <c r="S3" i="2"/>
  <c r="R3" i="2"/>
  <c r="Q3" i="2"/>
  <c r="P3" i="2"/>
  <c r="I7" i="2"/>
  <c r="N7" i="2"/>
  <c r="O7" i="2" s="1"/>
  <c r="M7" i="2"/>
  <c r="L7" i="2"/>
  <c r="K7" i="2"/>
  <c r="J7" i="2"/>
  <c r="N6" i="2"/>
  <c r="M6" i="2"/>
  <c r="L6" i="2"/>
  <c r="K6" i="2"/>
  <c r="J6" i="2"/>
  <c r="I6" i="2"/>
  <c r="N5" i="2"/>
  <c r="M5" i="2"/>
  <c r="L5" i="2"/>
  <c r="K5" i="2"/>
  <c r="J5" i="2"/>
  <c r="I5" i="2"/>
  <c r="L4" i="2"/>
  <c r="M4" i="2"/>
  <c r="K4" i="2"/>
  <c r="J4" i="2"/>
  <c r="I4" i="2"/>
  <c r="N4" i="2"/>
  <c r="N3" i="2"/>
  <c r="M3" i="2"/>
  <c r="L3" i="2"/>
  <c r="K3" i="2"/>
  <c r="J3" i="2"/>
  <c r="I3" i="2"/>
  <c r="G7" i="2"/>
  <c r="F7" i="2"/>
  <c r="E7" i="2"/>
  <c r="D7" i="2"/>
  <c r="C7" i="2"/>
  <c r="B7" i="2"/>
  <c r="G6" i="2"/>
  <c r="F6" i="2"/>
  <c r="E6" i="2"/>
  <c r="D6" i="2"/>
  <c r="C6" i="2"/>
  <c r="B6" i="2"/>
  <c r="G5" i="2"/>
  <c r="F5" i="2"/>
  <c r="E5" i="2"/>
  <c r="D5" i="2"/>
  <c r="C5" i="2"/>
  <c r="B5" i="2"/>
  <c r="G4" i="2"/>
  <c r="F4" i="2"/>
  <c r="E4" i="2"/>
  <c r="D4" i="2"/>
  <c r="C4" i="2"/>
  <c r="B4" i="2"/>
  <c r="E3" i="2"/>
  <c r="D3" i="2"/>
  <c r="C3" i="2"/>
  <c r="B3" i="2"/>
  <c r="J18" i="2"/>
  <c r="J17" i="2"/>
  <c r="O16" i="2"/>
  <c r="J16" i="2"/>
  <c r="P16" i="2" s="1"/>
  <c r="O15" i="2"/>
  <c r="J15" i="2"/>
  <c r="P15" i="2" s="1"/>
  <c r="AC7" i="2"/>
  <c r="V7" i="2"/>
  <c r="H7" i="2"/>
  <c r="V6" i="2"/>
  <c r="O6" i="2"/>
  <c r="H6" i="2"/>
  <c r="O5" i="2"/>
  <c r="O4" i="2"/>
  <c r="H4" i="2"/>
  <c r="K18" i="5" l="1"/>
  <c r="K16" i="5"/>
  <c r="L16" i="5" s="1"/>
  <c r="K15" i="5"/>
  <c r="L15" i="5" s="1"/>
  <c r="K18" i="4"/>
  <c r="K16" i="4"/>
  <c r="L16" i="4" s="1"/>
  <c r="K15" i="4"/>
  <c r="L15" i="4" s="1"/>
  <c r="AC5" i="2"/>
  <c r="H5" i="2"/>
  <c r="V5" i="2"/>
  <c r="O3" i="2"/>
  <c r="AC3" i="2"/>
  <c r="H3" i="2"/>
  <c r="V3" i="2"/>
  <c r="AB7" i="1"/>
  <c r="AA7" i="1"/>
  <c r="Z7" i="1"/>
  <c r="Y7" i="1"/>
  <c r="X7" i="1"/>
  <c r="W7" i="1"/>
  <c r="AB6" i="1"/>
  <c r="AA6" i="1"/>
  <c r="Z6" i="1"/>
  <c r="Y6" i="1"/>
  <c r="X6" i="1"/>
  <c r="AC6" i="1" s="1"/>
  <c r="W6" i="1"/>
  <c r="AB5" i="1"/>
  <c r="AA5" i="1"/>
  <c r="Z5" i="1"/>
  <c r="Y5" i="1"/>
  <c r="X5" i="1"/>
  <c r="W5" i="1"/>
  <c r="AB4" i="1"/>
  <c r="AA4" i="1"/>
  <c r="Z4" i="1"/>
  <c r="Y4" i="1"/>
  <c r="X4" i="1"/>
  <c r="W4" i="1"/>
  <c r="AB3" i="1"/>
  <c r="AA3" i="1"/>
  <c r="Z3" i="1"/>
  <c r="Y3" i="1"/>
  <c r="X3" i="1"/>
  <c r="AC3" i="1" s="1"/>
  <c r="W3" i="1"/>
  <c r="U7" i="1"/>
  <c r="T7" i="1"/>
  <c r="S7" i="1"/>
  <c r="R7" i="1"/>
  <c r="Q7" i="1"/>
  <c r="P7" i="1"/>
  <c r="U6" i="1"/>
  <c r="T6" i="1"/>
  <c r="S6" i="1"/>
  <c r="R6" i="1"/>
  <c r="Q6" i="1"/>
  <c r="P6" i="1"/>
  <c r="U5" i="1"/>
  <c r="T5" i="1"/>
  <c r="S5" i="1"/>
  <c r="R5" i="1"/>
  <c r="Q5" i="1"/>
  <c r="P5" i="1"/>
  <c r="U4" i="1"/>
  <c r="T4" i="1"/>
  <c r="S4" i="1"/>
  <c r="R4" i="1"/>
  <c r="Q4" i="1"/>
  <c r="V4" i="1" s="1"/>
  <c r="P4" i="1"/>
  <c r="U3" i="1"/>
  <c r="T3" i="1"/>
  <c r="S3" i="1"/>
  <c r="R3" i="1"/>
  <c r="Q3" i="1"/>
  <c r="P3" i="1"/>
  <c r="N7" i="1"/>
  <c r="M7" i="1"/>
  <c r="L7" i="1"/>
  <c r="K7" i="1"/>
  <c r="J7" i="1"/>
  <c r="O7" i="1" s="1"/>
  <c r="I7" i="1"/>
  <c r="N6" i="1"/>
  <c r="M6" i="1"/>
  <c r="L6" i="1"/>
  <c r="K6" i="1"/>
  <c r="J6" i="1"/>
  <c r="O6" i="1" s="1"/>
  <c r="I6" i="1"/>
  <c r="N5" i="1"/>
  <c r="M5" i="1"/>
  <c r="L5" i="1"/>
  <c r="K5" i="1"/>
  <c r="J5" i="1"/>
  <c r="I5" i="1"/>
  <c r="N4" i="1"/>
  <c r="M4" i="1"/>
  <c r="L4" i="1"/>
  <c r="K4" i="1"/>
  <c r="J4" i="1"/>
  <c r="I4" i="1"/>
  <c r="N3" i="1"/>
  <c r="M3" i="1"/>
  <c r="L3" i="1"/>
  <c r="K3" i="1"/>
  <c r="J3" i="1"/>
  <c r="I3" i="1"/>
  <c r="G7" i="1"/>
  <c r="F7" i="1"/>
  <c r="E7" i="1"/>
  <c r="D7" i="1"/>
  <c r="C7" i="1"/>
  <c r="B7" i="1"/>
  <c r="G6" i="1"/>
  <c r="F6" i="1"/>
  <c r="E6" i="1"/>
  <c r="D6" i="1"/>
  <c r="C6" i="1"/>
  <c r="H6" i="1" s="1"/>
  <c r="B6" i="1"/>
  <c r="G5" i="1"/>
  <c r="F5" i="1"/>
  <c r="E5" i="1"/>
  <c r="D5" i="1"/>
  <c r="C5" i="1"/>
  <c r="H5" i="1" s="1"/>
  <c r="B5" i="1"/>
  <c r="G4" i="1"/>
  <c r="F4" i="1"/>
  <c r="E4" i="1"/>
  <c r="D4" i="1"/>
  <c r="C4" i="1"/>
  <c r="B4" i="1"/>
  <c r="G3" i="1"/>
  <c r="F3" i="1"/>
  <c r="E3" i="1"/>
  <c r="D3" i="1"/>
  <c r="C3" i="1"/>
  <c r="B3" i="1"/>
  <c r="J18" i="1"/>
  <c r="J17" i="1"/>
  <c r="J16" i="1"/>
  <c r="P16" i="1" s="1"/>
  <c r="J15" i="1"/>
  <c r="P15" i="1" s="1"/>
  <c r="AC7" i="1"/>
  <c r="AC5" i="1"/>
  <c r="K17" i="5" l="1"/>
  <c r="L17" i="5" s="1"/>
  <c r="K17" i="4"/>
  <c r="L17" i="4" s="1"/>
  <c r="J11" i="2"/>
  <c r="K18" i="2" s="1"/>
  <c r="O3" i="1"/>
  <c r="H4" i="1"/>
  <c r="AC4" i="1"/>
  <c r="V5" i="1"/>
  <c r="V6" i="1"/>
  <c r="H7" i="1"/>
  <c r="V7" i="1"/>
  <c r="O4" i="1"/>
  <c r="O5" i="1"/>
  <c r="O15" i="1"/>
  <c r="O16" i="1"/>
  <c r="V3" i="1"/>
  <c r="H3" i="1"/>
  <c r="J11" i="1" l="1"/>
  <c r="M16" i="4"/>
  <c r="N16" i="4" s="1"/>
  <c r="M15" i="5"/>
  <c r="N15" i="5" s="1"/>
  <c r="M16" i="5"/>
  <c r="N16" i="5" s="1"/>
  <c r="M15" i="4"/>
  <c r="N15" i="4" s="1"/>
  <c r="K16" i="2"/>
  <c r="L16" i="2" s="1"/>
  <c r="K15" i="2"/>
  <c r="L15" i="2" s="1"/>
  <c r="K18" i="1" l="1"/>
  <c r="K16" i="1"/>
  <c r="L16" i="1" s="1"/>
  <c r="K15" i="1"/>
  <c r="L15" i="1" s="1"/>
  <c r="K17" i="2"/>
  <c r="L17" i="2" s="1"/>
  <c r="M16" i="2" s="1"/>
  <c r="N16" i="2" s="1"/>
  <c r="K17" i="1" l="1"/>
  <c r="L17" i="1" s="1"/>
  <c r="M15" i="2"/>
  <c r="N15" i="2" s="1"/>
  <c r="M16" i="1"/>
  <c r="N16" i="1" s="1"/>
  <c r="M15" i="1"/>
  <c r="N15" i="1" s="1"/>
</calcChain>
</file>

<file path=xl/sharedStrings.xml><?xml version="1.0" encoding="utf-8"?>
<sst xmlns="http://schemas.openxmlformats.org/spreadsheetml/2006/main" count="225" uniqueCount="45">
  <si>
    <t>perlakuan</t>
  </si>
  <si>
    <t>rata2</t>
  </si>
  <si>
    <t>N1</t>
  </si>
  <si>
    <t>N2</t>
  </si>
  <si>
    <t>N3</t>
  </si>
  <si>
    <t>N4</t>
  </si>
  <si>
    <t>N5</t>
  </si>
  <si>
    <t>PERLAKUAN</t>
  </si>
  <si>
    <t>ulangan</t>
  </si>
  <si>
    <t>Jumlah Perlakuan (T)</t>
  </si>
  <si>
    <t>Ulangan (r)</t>
  </si>
  <si>
    <t>UL 1</t>
  </si>
  <si>
    <t>UL 2</t>
  </si>
  <si>
    <t>UL 3</t>
  </si>
  <si>
    <t>UL4</t>
  </si>
  <si>
    <t>perlakuan P</t>
  </si>
  <si>
    <t>FK</t>
  </si>
  <si>
    <t>SK</t>
  </si>
  <si>
    <t>db</t>
  </si>
  <si>
    <t>JK</t>
  </si>
  <si>
    <t>KT</t>
  </si>
  <si>
    <t>F HITUNG</t>
  </si>
  <si>
    <t>Tanda</t>
  </si>
  <si>
    <t>F 5%</t>
  </si>
  <si>
    <t>F 1%</t>
  </si>
  <si>
    <t>Kelompok</t>
  </si>
  <si>
    <t>Jumlah Ulangan (R)</t>
  </si>
  <si>
    <t>Perlakuan</t>
  </si>
  <si>
    <t>Jumlah Umum (G)</t>
  </si>
  <si>
    <t>Galat</t>
  </si>
  <si>
    <t>Rata-rata</t>
  </si>
  <si>
    <t>Total</t>
  </si>
  <si>
    <t>a</t>
  </si>
  <si>
    <t>notasi</t>
  </si>
  <si>
    <t>Rerata</t>
  </si>
  <si>
    <t>sd(5,12)</t>
  </si>
  <si>
    <t>c</t>
  </si>
  <si>
    <t>ulangan 4</t>
  </si>
  <si>
    <t>ulangan 3</t>
  </si>
  <si>
    <t>ulangan 2</t>
  </si>
  <si>
    <t>rata-rata</t>
  </si>
  <si>
    <t>ulangan 1</t>
  </si>
  <si>
    <t>bc</t>
  </si>
  <si>
    <t>ab</t>
  </si>
  <si>
    <t>BNJ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</si>
</sst>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2" fontId="0" fillId="0" borderId="2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0" fontId="0" fillId="3" borderId="2" xfId="0" applyFill="1" applyBorder="1"/>
    <xf numFmtId="2" fontId="0" fillId="3" borderId="2" xfId="0" applyNumberForma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2" fontId="0" fillId="0" borderId="0" xfId="0" applyNumberFormat="1"/>
    <xf numFmtId="0" fontId="0" fillId="0" borderId="0" xfId="0" applyAlignment="1">
      <alignment vertical="top" wrapText="1"/>
    </xf>
    <xf numFmtId="164" fontId="0" fillId="0" borderId="0" xfId="0" applyNumberFormat="1"/>
    <xf numFmtId="0" fontId="0" fillId="0" borderId="0" xfId="0" applyBorder="1" applyAlignment="1">
      <alignment horizontal="left"/>
    </xf>
    <xf numFmtId="0" fontId="0" fillId="0" borderId="0" xfId="0" applyBorder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0" xfId="0" applyNumberFormat="1" applyBorder="1"/>
    <xf numFmtId="164" fontId="0" fillId="0" borderId="0" xfId="0" applyNumberFormat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 vertical="center"/>
    </xf>
    <xf numFmtId="164" fontId="0" fillId="2" borderId="0" xfId="0" applyNumberFormat="1" applyFill="1" applyBorder="1"/>
    <xf numFmtId="164" fontId="0" fillId="2" borderId="0" xfId="0" applyNumberFormat="1" applyFill="1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2" fontId="0" fillId="0" borderId="2" xfId="0" applyNumberFormat="1" applyBorder="1"/>
    <xf numFmtId="0" fontId="0" fillId="0" borderId="2" xfId="0" applyBorder="1" applyAlignment="1">
      <alignment horizontal="center" vertic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/>
    </xf>
    <xf numFmtId="2" fontId="0" fillId="2" borderId="2" xfId="0" applyNumberForma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F7A82-5DEF-4228-8485-1FF4AA8E3CEF}">
  <dimension ref="A1:AC32"/>
  <sheetViews>
    <sheetView tabSelected="1" topLeftCell="A9" zoomScale="93" zoomScaleNormal="93" workbookViewId="0">
      <selection activeCell="H20" sqref="H20:L26"/>
    </sheetView>
  </sheetViews>
  <sheetFormatPr defaultRowHeight="15" x14ac:dyDescent="0.25"/>
  <cols>
    <col min="1" max="1" width="19.42578125" customWidth="1"/>
    <col min="2" max="2" width="10.140625" customWidth="1"/>
    <col min="14" max="14" width="9.140625" customWidth="1"/>
    <col min="15" max="15" width="12.140625" customWidth="1"/>
    <col min="17" max="17" width="10.7109375" customWidth="1"/>
  </cols>
  <sheetData>
    <row r="1" spans="1:29" x14ac:dyDescent="0.25">
      <c r="B1" s="50" t="s">
        <v>41</v>
      </c>
      <c r="C1" s="50"/>
      <c r="D1" s="50"/>
      <c r="E1" s="50"/>
      <c r="F1" s="50"/>
      <c r="G1" s="50"/>
      <c r="H1" s="50"/>
      <c r="I1" s="50" t="s">
        <v>39</v>
      </c>
      <c r="J1" s="50"/>
      <c r="K1" s="50"/>
      <c r="L1" s="50"/>
      <c r="M1" s="50"/>
      <c r="N1" s="50"/>
      <c r="O1" s="50"/>
      <c r="P1" s="50" t="s">
        <v>38</v>
      </c>
      <c r="Q1" s="50"/>
      <c r="R1" s="50"/>
      <c r="S1" s="50"/>
      <c r="T1" s="50"/>
      <c r="U1" s="50"/>
      <c r="V1" s="50"/>
      <c r="W1" s="50" t="s">
        <v>37</v>
      </c>
      <c r="X1" s="50"/>
      <c r="Y1" s="50"/>
      <c r="Z1" s="50"/>
      <c r="AA1" s="50"/>
      <c r="AB1" s="50"/>
      <c r="AC1" s="50"/>
    </row>
    <row r="2" spans="1:29" x14ac:dyDescent="0.25">
      <c r="A2" t="s">
        <v>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 t="s">
        <v>1</v>
      </c>
      <c r="I2">
        <v>1</v>
      </c>
      <c r="J2">
        <v>2</v>
      </c>
      <c r="K2">
        <v>3</v>
      </c>
      <c r="L2">
        <v>4</v>
      </c>
      <c r="M2">
        <v>5</v>
      </c>
      <c r="N2">
        <v>6</v>
      </c>
      <c r="O2" t="s">
        <v>1</v>
      </c>
      <c r="P2">
        <v>1</v>
      </c>
      <c r="Q2">
        <v>2</v>
      </c>
      <c r="R2">
        <v>3</v>
      </c>
      <c r="S2">
        <v>4</v>
      </c>
      <c r="T2">
        <v>5</v>
      </c>
      <c r="U2">
        <v>6</v>
      </c>
      <c r="V2" t="s">
        <v>1</v>
      </c>
      <c r="W2">
        <v>1</v>
      </c>
      <c r="X2">
        <v>2</v>
      </c>
      <c r="Y2">
        <v>3</v>
      </c>
      <c r="Z2">
        <v>4</v>
      </c>
      <c r="AA2">
        <v>5</v>
      </c>
      <c r="AB2">
        <v>6</v>
      </c>
      <c r="AC2" t="s">
        <v>1</v>
      </c>
    </row>
    <row r="3" spans="1:29" x14ac:dyDescent="0.25">
      <c r="A3" t="s">
        <v>2</v>
      </c>
      <c r="B3">
        <f>2.1*1.2*0.759</f>
        <v>1.9126799999999999</v>
      </c>
      <c r="C3">
        <f>1.8*1.6*0.759</f>
        <v>2.1859200000000003</v>
      </c>
      <c r="D3">
        <f>1.6*1.2*0.759</f>
        <v>1.4572799999999999</v>
      </c>
      <c r="E3">
        <f>1.9*1.6*0.759</f>
        <v>2.3073600000000001</v>
      </c>
      <c r="F3">
        <f>1.9*1.4*0.759</f>
        <v>2.0189399999999997</v>
      </c>
      <c r="G3">
        <f>2*1.5*0.759</f>
        <v>2.2770000000000001</v>
      </c>
      <c r="H3">
        <f>AVERAGE(B3:G3)</f>
        <v>2.0265299999999997</v>
      </c>
      <c r="I3">
        <f>2.2*2.1*0.759</f>
        <v>3.5065800000000009</v>
      </c>
      <c r="J3">
        <f>2.6*2.2*0.759</f>
        <v>4.3414800000000007</v>
      </c>
      <c r="K3">
        <f>2.4*1.9*0.759</f>
        <v>3.4610399999999997</v>
      </c>
      <c r="L3">
        <f>2.1*1.6*0.759</f>
        <v>2.5502400000000001</v>
      </c>
      <c r="M3">
        <f>2.4*1.9*0.759</f>
        <v>3.4610399999999997</v>
      </c>
      <c r="N3">
        <f>2.8*2.1*0.759</f>
        <v>4.4629199999999996</v>
      </c>
      <c r="O3">
        <f>AVERAGE(I3:N3)</f>
        <v>3.6305499999999999</v>
      </c>
      <c r="P3">
        <f>2.6*2.2*0.759</f>
        <v>4.3414800000000007</v>
      </c>
      <c r="Q3">
        <f>2.9*2.4*0.759</f>
        <v>5.2826399999999998</v>
      </c>
      <c r="R3">
        <f>2.5*2.1*0.759</f>
        <v>3.98475</v>
      </c>
      <c r="S3">
        <f>2.6*1.6*0.759</f>
        <v>3.1574400000000002</v>
      </c>
      <c r="T3">
        <f>1.7*1.6*0.759</f>
        <v>2.0644800000000001</v>
      </c>
      <c r="U3">
        <f>2.8*1.8*0.759</f>
        <v>3.8253599999999999</v>
      </c>
      <c r="V3">
        <f>AVERAGE(P3:U3)</f>
        <v>3.7760250000000002</v>
      </c>
      <c r="W3">
        <f>1.6*1.2*0.759</f>
        <v>1.4572799999999999</v>
      </c>
      <c r="X3">
        <f>1.2*0.7*0.759</f>
        <v>0.63756000000000002</v>
      </c>
      <c r="Y3">
        <f>2.1*1.5*0.759</f>
        <v>2.3908500000000004</v>
      </c>
      <c r="Z3">
        <f>2.4*1.8*0.759</f>
        <v>3.2788800000000005</v>
      </c>
      <c r="AA3">
        <f>1.4*0.9*0.759</f>
        <v>0.95633999999999997</v>
      </c>
      <c r="AB3">
        <f>1.4*1.2*0.759</f>
        <v>1.27512</v>
      </c>
      <c r="AC3">
        <f>AVERAGE(W3:AB3)</f>
        <v>1.666005</v>
      </c>
    </row>
    <row r="4" spans="1:29" x14ac:dyDescent="0.25">
      <c r="A4" t="s">
        <v>3</v>
      </c>
      <c r="B4">
        <f>2.5*2.3*0.759</f>
        <v>4.3642500000000002</v>
      </c>
      <c r="C4">
        <f>1.2*1.1*0.759</f>
        <v>1.0018800000000001</v>
      </c>
      <c r="D4">
        <f>2.4*1.6*0.759</f>
        <v>2.9145599999999998</v>
      </c>
      <c r="E4">
        <f>2.4*1.6*0.759</f>
        <v>2.9145599999999998</v>
      </c>
      <c r="F4">
        <f>1.3*1.1*0.759</f>
        <v>1.0853700000000002</v>
      </c>
      <c r="G4">
        <f>1.4*2.1*0.759</f>
        <v>2.2314599999999998</v>
      </c>
      <c r="H4">
        <f>AVERAGE(B4:G4)</f>
        <v>2.4186799999999997</v>
      </c>
      <c r="I4">
        <f>1.6*1.4*0.759</f>
        <v>1.7001599999999999</v>
      </c>
      <c r="J4">
        <f>3.2*2.2*0.759</f>
        <v>5.3433600000000006</v>
      </c>
      <c r="K4">
        <f>2.1*1.8*0.759</f>
        <v>2.8690200000000003</v>
      </c>
      <c r="L4">
        <f>2.1*1.3*0.759</f>
        <v>2.0720700000000005</v>
      </c>
      <c r="M4">
        <f>3.3*3.8*0.759</f>
        <v>9.5178599999999989</v>
      </c>
      <c r="N4">
        <f>1.2*2.1*0.759</f>
        <v>1.9126799999999999</v>
      </c>
      <c r="O4">
        <f>AVERAGE(I4:N4)</f>
        <v>3.9025250000000007</v>
      </c>
      <c r="P4">
        <f>2.4*1.7*0.759</f>
        <v>3.0967199999999999</v>
      </c>
      <c r="Q4">
        <f>3.2*2.9*0.759</f>
        <v>7.04352</v>
      </c>
      <c r="R4">
        <f>2.1*1.9*0.759</f>
        <v>3.02841</v>
      </c>
      <c r="S4">
        <f>3.2*2.6*0.759</f>
        <v>6.3148800000000005</v>
      </c>
      <c r="T4">
        <f>2.7*2.3*0.759</f>
        <v>4.7133900000000004</v>
      </c>
      <c r="U4">
        <f>3.1*2.4*0.759</f>
        <v>5.64696</v>
      </c>
      <c r="V4">
        <f>AVERAGE(P4:U4)</f>
        <v>4.9739800000000001</v>
      </c>
      <c r="W4">
        <f>1.8*1.7*0.759</f>
        <v>2.32254</v>
      </c>
      <c r="X4">
        <f>1.7*1.2*0.759</f>
        <v>1.54836</v>
      </c>
      <c r="Y4">
        <f>1.4*1.3*0.759</f>
        <v>1.3813799999999998</v>
      </c>
      <c r="Z4">
        <f>2.2*1.8*0.759</f>
        <v>3.0056400000000005</v>
      </c>
      <c r="AA4">
        <f>1.3*1.2*0.759</f>
        <v>1.18404</v>
      </c>
      <c r="AB4">
        <f>2.2*2.1*0.759</f>
        <v>3.5065800000000009</v>
      </c>
      <c r="AC4">
        <f>AVERAGE(W4:AB4)</f>
        <v>2.1580900000000001</v>
      </c>
    </row>
    <row r="5" spans="1:29" x14ac:dyDescent="0.25">
      <c r="A5" t="s">
        <v>4</v>
      </c>
      <c r="B5">
        <f>2.7*1.5*0.759</f>
        <v>3.0739500000000004</v>
      </c>
      <c r="C5">
        <f>2.4*1.8*0.759</f>
        <v>3.2788800000000005</v>
      </c>
      <c r="D5">
        <f>1.1*0.6*0.759</f>
        <v>0.50094000000000005</v>
      </c>
      <c r="E5">
        <f>1.7*1.6*0.759</f>
        <v>2.0644800000000001</v>
      </c>
      <c r="F5">
        <f>1.1*2.1*0.759</f>
        <v>1.7532900000000005</v>
      </c>
      <c r="G5">
        <f>1.2*0.9*0.759</f>
        <v>0.81972000000000012</v>
      </c>
      <c r="H5">
        <f>AVERAGE(B5:G5)</f>
        <v>1.9152100000000001</v>
      </c>
      <c r="I5">
        <f>1.9*1.5*0.759</f>
        <v>2.1631499999999999</v>
      </c>
      <c r="J5">
        <f>2.3*1.8*0.759</f>
        <v>3.1422599999999998</v>
      </c>
      <c r="K5">
        <f>1.7*1.3*0.759</f>
        <v>1.6773899999999999</v>
      </c>
      <c r="L5">
        <f>3.1*2.4*0.759</f>
        <v>5.64696</v>
      </c>
      <c r="M5">
        <f>1.1*1.1*0.759</f>
        <v>0.91839000000000015</v>
      </c>
      <c r="N5">
        <f>1.6*1.3*0.759</f>
        <v>1.5787200000000001</v>
      </c>
      <c r="O5">
        <f>AVERAGE(I5:N5)</f>
        <v>2.5211450000000002</v>
      </c>
      <c r="P5">
        <f>2.2*2.1*0.759</f>
        <v>3.5065800000000009</v>
      </c>
      <c r="Q5">
        <f>3.1*2.5*0.759</f>
        <v>5.88225</v>
      </c>
      <c r="R5">
        <f>3.1*2.2*0.759</f>
        <v>5.1763800000000009</v>
      </c>
      <c r="S5">
        <f>2.2*3.2*0.759</f>
        <v>5.3433600000000006</v>
      </c>
      <c r="T5">
        <f>3.3*2.6*0.759</f>
        <v>6.5122200000000001</v>
      </c>
      <c r="U5">
        <f>2.7*2.3*0.759</f>
        <v>4.7133900000000004</v>
      </c>
      <c r="V5">
        <f>AVERAGE(P5:U5)</f>
        <v>5.1890299999999998</v>
      </c>
      <c r="W5">
        <f>2.8*1.9*0.759</f>
        <v>4.0378799999999995</v>
      </c>
      <c r="X5">
        <f>2.1*1.9*0.759</f>
        <v>3.02841</v>
      </c>
      <c r="Y5">
        <f>2.6*1.7*0.759</f>
        <v>3.3547799999999999</v>
      </c>
      <c r="Z5">
        <f>2.3*2.2*0.759</f>
        <v>3.8405399999999998</v>
      </c>
      <c r="AA5">
        <f>2.9*1.2*0.759</f>
        <v>2.6413199999999999</v>
      </c>
      <c r="AB5">
        <f>2.5*1.9*0.759</f>
        <v>3.6052499999999998</v>
      </c>
      <c r="AC5">
        <f>AVERAGE(W5:AB5)</f>
        <v>3.4180300000000003</v>
      </c>
    </row>
    <row r="6" spans="1:29" x14ac:dyDescent="0.25">
      <c r="A6" t="s">
        <v>5</v>
      </c>
      <c r="B6">
        <f>2.1*1.4*0.759</f>
        <v>2.2314599999999998</v>
      </c>
      <c r="C6">
        <f>1.7*1.2*0.759</f>
        <v>1.54836</v>
      </c>
      <c r="D6">
        <f>0.759*2.2*1.9</f>
        <v>3.1726200000000002</v>
      </c>
      <c r="E6">
        <f>2.4*1.6*0.759</f>
        <v>2.9145599999999998</v>
      </c>
      <c r="F6">
        <f>2.6*1.9*0.759</f>
        <v>3.7494599999999996</v>
      </c>
      <c r="G6">
        <f>2.2*1.7*0.759</f>
        <v>2.8386600000000004</v>
      </c>
      <c r="H6">
        <f>AVERAGE(B6:G6)</f>
        <v>2.7425200000000003</v>
      </c>
      <c r="I6">
        <f>2.1*1.6*0.759</f>
        <v>2.5502400000000001</v>
      </c>
      <c r="J6">
        <f>2.2*1.6*0.759</f>
        <v>2.6716800000000003</v>
      </c>
      <c r="K6">
        <f>2.1*1.8*0.759</f>
        <v>2.8690200000000003</v>
      </c>
      <c r="L6">
        <f>2.2*1.7*0.759</f>
        <v>2.8386600000000004</v>
      </c>
      <c r="M6">
        <f>1.9*1.9*0.759</f>
        <v>2.7399900000000001</v>
      </c>
      <c r="N6">
        <f>3.1*2.6*0.759</f>
        <v>6.1175400000000009</v>
      </c>
      <c r="O6">
        <f>AVERAGE(I6:N6)</f>
        <v>3.2978550000000006</v>
      </c>
      <c r="P6">
        <f>1.6*1.6*0.759</f>
        <v>1.9430400000000003</v>
      </c>
      <c r="Q6">
        <f>2.2*1.7*0.759</f>
        <v>2.8386600000000004</v>
      </c>
      <c r="R6">
        <f>2.6*2.3*0.759</f>
        <v>4.5388199999999994</v>
      </c>
      <c r="S6">
        <f>3.2*2.2*0.759</f>
        <v>5.3433600000000006</v>
      </c>
      <c r="T6">
        <f>2.7*2.1*0.759</f>
        <v>4.3035300000000003</v>
      </c>
      <c r="U6">
        <f>2.6*2.2*0.759</f>
        <v>4.3414800000000007</v>
      </c>
      <c r="V6">
        <f>AVERAGE(P6:U6)</f>
        <v>3.8848150000000001</v>
      </c>
      <c r="W6">
        <f>2.4*2.1*0.759</f>
        <v>3.8253599999999999</v>
      </c>
      <c r="X6">
        <f>2.2*1.6*0.759</f>
        <v>2.6716800000000003</v>
      </c>
      <c r="Y6">
        <f>1.4*1.1*0.759</f>
        <v>1.16886</v>
      </c>
      <c r="Z6">
        <f>2.3*1.9*0.759</f>
        <v>3.3168299999999995</v>
      </c>
      <c r="AA6">
        <f>2.5*1.8*0.759</f>
        <v>3.4155000000000002</v>
      </c>
      <c r="AB6">
        <f>1.8*1.4*0.759</f>
        <v>1.9126799999999999</v>
      </c>
      <c r="AC6">
        <f>AVERAGE(W6:AB6)</f>
        <v>2.7184849999999998</v>
      </c>
    </row>
    <row r="7" spans="1:29" x14ac:dyDescent="0.25">
      <c r="A7" t="s">
        <v>6</v>
      </c>
      <c r="B7">
        <f>1.7*1.6*0.759</f>
        <v>2.0644800000000001</v>
      </c>
      <c r="C7">
        <f>2.7*2.1*0.759</f>
        <v>4.3035300000000003</v>
      </c>
      <c r="D7">
        <f>1.8*1.4*0.759</f>
        <v>1.9126799999999999</v>
      </c>
      <c r="E7">
        <f>2.2*1.6*0.759</f>
        <v>2.6716800000000003</v>
      </c>
      <c r="F7">
        <f>2.1*1.6*0.759</f>
        <v>2.5502400000000001</v>
      </c>
      <c r="G7">
        <f>3.1*2.3*0.759</f>
        <v>5.41167</v>
      </c>
      <c r="H7">
        <f>AVERAGE(B7:G7)</f>
        <v>3.1523800000000004</v>
      </c>
      <c r="I7">
        <f>2.1*1.6*0.759</f>
        <v>2.5502400000000001</v>
      </c>
      <c r="J7">
        <f>2.6*2.8*0.759</f>
        <v>5.5255199999999993</v>
      </c>
      <c r="K7">
        <f>2.3*2.4*0.759</f>
        <v>4.1896800000000001</v>
      </c>
      <c r="L7">
        <f>3.1*2.4*0.759</f>
        <v>5.64696</v>
      </c>
      <c r="M7">
        <f>2.7*2.6*0.759</f>
        <v>5.3281800000000006</v>
      </c>
      <c r="N7">
        <f>2.1*1.8*0.759</f>
        <v>2.8690200000000003</v>
      </c>
      <c r="O7">
        <f>AVERAGE(I7:N7)</f>
        <v>4.3515999999999995</v>
      </c>
      <c r="P7">
        <f>2.5*2.1*0.759</f>
        <v>3.98475</v>
      </c>
      <c r="Q7">
        <f>2.1*2.5*0.759</f>
        <v>3.98475</v>
      </c>
      <c r="R7">
        <f>3.6*2.3*0.759</f>
        <v>6.2845199999999997</v>
      </c>
      <c r="S7">
        <f>3.4*2.7*0.759</f>
        <v>6.9676200000000001</v>
      </c>
      <c r="T7">
        <f>3.2*2.7*0.759</f>
        <v>6.5577600000000009</v>
      </c>
      <c r="U7">
        <f>2.9*2.6*0.759</f>
        <v>5.7228599999999998</v>
      </c>
      <c r="V7">
        <f>AVERAGE(P7:U7)</f>
        <v>5.58371</v>
      </c>
      <c r="W7">
        <f>2.6*2.2*0.759</f>
        <v>4.3414800000000007</v>
      </c>
      <c r="X7">
        <f>2.8*1.9*0.759</f>
        <v>4.0378799999999995</v>
      </c>
      <c r="Y7">
        <f>2.6*1.9*0.759</f>
        <v>3.7494599999999996</v>
      </c>
      <c r="Z7">
        <f>3.6*2.7*0.759</f>
        <v>7.3774800000000003</v>
      </c>
      <c r="AA7">
        <f>2.7*2.3*0.759</f>
        <v>4.7133900000000004</v>
      </c>
      <c r="AB7">
        <f>3.2*1.9*0.759</f>
        <v>4.6147200000000002</v>
      </c>
      <c r="AC7">
        <f>AVERAGE(W7:AB7)</f>
        <v>4.8057349999999994</v>
      </c>
    </row>
    <row r="8" spans="1:29" x14ac:dyDescent="0.25">
      <c r="A8" s="1"/>
      <c r="B8" s="1"/>
      <c r="C8" s="1"/>
      <c r="D8" s="1"/>
      <c r="E8" s="1"/>
      <c r="F8" s="1"/>
      <c r="G8" s="2"/>
      <c r="I8" s="3"/>
      <c r="J8" s="3"/>
      <c r="K8" s="3"/>
      <c r="L8" s="3"/>
      <c r="M8" s="3"/>
      <c r="N8" s="3"/>
    </row>
    <row r="9" spans="1:29" ht="15" customHeight="1" x14ac:dyDescent="0.25">
      <c r="A9" s="51" t="s">
        <v>7</v>
      </c>
      <c r="B9" s="52" t="s">
        <v>8</v>
      </c>
      <c r="C9" s="53"/>
      <c r="D9" s="53"/>
      <c r="E9" s="54"/>
      <c r="F9" s="55" t="s">
        <v>9</v>
      </c>
      <c r="G9" s="4"/>
      <c r="I9" s="5" t="s">
        <v>10</v>
      </c>
      <c r="J9" s="6">
        <v>4</v>
      </c>
    </row>
    <row r="10" spans="1:29" x14ac:dyDescent="0.25">
      <c r="A10" s="51"/>
      <c r="B10" s="6" t="s">
        <v>11</v>
      </c>
      <c r="C10" s="6" t="s">
        <v>12</v>
      </c>
      <c r="D10" s="6" t="s">
        <v>13</v>
      </c>
      <c r="E10" s="6" t="s">
        <v>14</v>
      </c>
      <c r="F10" s="56"/>
      <c r="G10" s="7" t="s">
        <v>1</v>
      </c>
      <c r="I10" s="8" t="s">
        <v>15</v>
      </c>
      <c r="J10" s="6">
        <v>5</v>
      </c>
      <c r="M10" s="3"/>
      <c r="N10" s="3"/>
    </row>
    <row r="11" spans="1:29" x14ac:dyDescent="0.25">
      <c r="A11" s="6" t="s">
        <v>2</v>
      </c>
      <c r="B11" s="46">
        <f>AVERAGE(B3:G3)</f>
        <v>2.0265299999999997</v>
      </c>
      <c r="C11" s="46">
        <f>AVERAGE(I3:N3)</f>
        <v>3.6305499999999999</v>
      </c>
      <c r="D11" s="46">
        <f>AVERAGE(P3:U3)</f>
        <v>3.7760250000000002</v>
      </c>
      <c r="E11" s="46">
        <f>AVERAGE(W3:AB3)</f>
        <v>1.666005</v>
      </c>
      <c r="F11" s="46">
        <f>SUM(B11:E11)</f>
        <v>11.09911</v>
      </c>
      <c r="G11" s="46">
        <f t="shared" ref="G11:G15" si="0">AVERAGE(B11:E11)</f>
        <v>2.7747774999999999</v>
      </c>
      <c r="H11" s="27"/>
      <c r="I11" s="10" t="s">
        <v>16</v>
      </c>
      <c r="J11" s="11">
        <f>F17^2/(J9*J10)</f>
        <v>232.10460312050003</v>
      </c>
      <c r="K11" s="12"/>
      <c r="L11" s="12"/>
      <c r="M11" s="3"/>
      <c r="N11" s="3"/>
    </row>
    <row r="12" spans="1:29" x14ac:dyDescent="0.25">
      <c r="A12" s="6" t="s">
        <v>3</v>
      </c>
      <c r="B12" s="46">
        <f t="shared" ref="B12:B15" si="1">AVERAGE(B4:G4)</f>
        <v>2.4186799999999997</v>
      </c>
      <c r="C12" s="46">
        <f t="shared" ref="C12:C15" si="2">AVERAGE(I4:N4)</f>
        <v>3.9025250000000007</v>
      </c>
      <c r="D12" s="46">
        <f t="shared" ref="D12:D15" si="3">AVERAGE(P4:U4)</f>
        <v>4.9739800000000001</v>
      </c>
      <c r="E12" s="46">
        <f>AVERAGE(W4:AB4)</f>
        <v>2.1580900000000001</v>
      </c>
      <c r="F12" s="46">
        <f t="shared" ref="F12:F16" si="4">SUM(B12:E12)</f>
        <v>13.453275</v>
      </c>
      <c r="G12" s="46">
        <f t="shared" si="0"/>
        <v>3.3633187499999999</v>
      </c>
      <c r="H12" s="13"/>
      <c r="N12" s="14"/>
    </row>
    <row r="13" spans="1:29" x14ac:dyDescent="0.25">
      <c r="A13" s="6" t="s">
        <v>4</v>
      </c>
      <c r="B13" s="46">
        <f t="shared" si="1"/>
        <v>1.9152100000000001</v>
      </c>
      <c r="C13" s="46">
        <f t="shared" si="2"/>
        <v>2.5211450000000002</v>
      </c>
      <c r="D13" s="46">
        <f t="shared" si="3"/>
        <v>5.1890299999999998</v>
      </c>
      <c r="E13" s="46">
        <f>AVERAGE(W5:AB5)</f>
        <v>3.4180300000000003</v>
      </c>
      <c r="F13" s="46">
        <f t="shared" si="4"/>
        <v>13.043415000000001</v>
      </c>
      <c r="G13" s="46">
        <f t="shared" si="0"/>
        <v>3.2608537500000003</v>
      </c>
      <c r="H13" s="13"/>
    </row>
    <row r="14" spans="1:29" x14ac:dyDescent="0.25">
      <c r="A14" s="6" t="s">
        <v>5</v>
      </c>
      <c r="B14" s="46">
        <f t="shared" si="1"/>
        <v>2.7425200000000003</v>
      </c>
      <c r="C14" s="46">
        <f t="shared" si="2"/>
        <v>3.2978550000000006</v>
      </c>
      <c r="D14" s="46">
        <f t="shared" si="3"/>
        <v>3.8848150000000001</v>
      </c>
      <c r="E14" s="46">
        <f>AVERAGE(W6:AB6)</f>
        <v>2.7184849999999998</v>
      </c>
      <c r="F14" s="46">
        <f t="shared" si="4"/>
        <v>12.643675</v>
      </c>
      <c r="G14" s="46">
        <f t="shared" si="0"/>
        <v>3.16091875</v>
      </c>
      <c r="H14" s="13"/>
      <c r="I14" s="15" t="s">
        <v>17</v>
      </c>
      <c r="J14" s="6" t="s">
        <v>18</v>
      </c>
      <c r="K14" s="6" t="s">
        <v>19</v>
      </c>
      <c r="L14" s="6" t="s">
        <v>20</v>
      </c>
      <c r="M14" s="6" t="s">
        <v>21</v>
      </c>
      <c r="N14" s="6" t="s">
        <v>22</v>
      </c>
      <c r="O14" s="11" t="s">
        <v>23</v>
      </c>
      <c r="P14" s="6" t="s">
        <v>24</v>
      </c>
    </row>
    <row r="15" spans="1:29" x14ac:dyDescent="0.25">
      <c r="A15" s="6" t="s">
        <v>6</v>
      </c>
      <c r="B15" s="46">
        <f t="shared" si="1"/>
        <v>3.1523800000000004</v>
      </c>
      <c r="C15" s="46">
        <f t="shared" si="2"/>
        <v>4.3515999999999995</v>
      </c>
      <c r="D15" s="46">
        <f t="shared" si="3"/>
        <v>5.58371</v>
      </c>
      <c r="E15" s="46">
        <f>AVERAGE(W7:AB7)</f>
        <v>4.8057349999999994</v>
      </c>
      <c r="F15" s="46">
        <f t="shared" si="4"/>
        <v>17.893425000000001</v>
      </c>
      <c r="G15" s="46">
        <f t="shared" si="0"/>
        <v>4.4733562500000001</v>
      </c>
      <c r="H15" s="13"/>
      <c r="I15" s="10" t="s">
        <v>25</v>
      </c>
      <c r="J15" s="6">
        <f>J9-1</f>
        <v>3</v>
      </c>
      <c r="K15" s="13">
        <f>SUMSQ(B16:E16)/(J10)-J11</f>
        <v>13.80975420362995</v>
      </c>
      <c r="L15" s="16">
        <f>K15/J15</f>
        <v>4.6032514012099837</v>
      </c>
      <c r="M15" s="16">
        <f>L15/L17</f>
        <v>10.913626891541703</v>
      </c>
      <c r="N15" s="11" t="str">
        <f>IF(M15&lt;O15,"tn",IF(M15&lt;P15,"*","**"))</f>
        <v>**</v>
      </c>
      <c r="O15" s="16">
        <f>FINV(0.05,J15,J17)</f>
        <v>3.4902948194976045</v>
      </c>
      <c r="P15" s="16">
        <f>FINV(0.01,J15,J17)</f>
        <v>5.9525446815458682</v>
      </c>
    </row>
    <row r="16" spans="1:29" x14ac:dyDescent="0.25">
      <c r="A16" s="6" t="s">
        <v>26</v>
      </c>
      <c r="B16" s="11">
        <f>SUM(B11:B15)</f>
        <v>12.255320000000001</v>
      </c>
      <c r="C16" s="11">
        <f>SUM(C11:C15)</f>
        <v>17.703675</v>
      </c>
      <c r="D16" s="11">
        <f>SUM(D11:D15)</f>
        <v>23.40756</v>
      </c>
      <c r="E16" s="11">
        <f>SUM(E11:E15)</f>
        <v>14.766344999999998</v>
      </c>
      <c r="F16" s="46">
        <f t="shared" si="4"/>
        <v>68.132900000000006</v>
      </c>
      <c r="G16" s="46"/>
      <c r="H16" s="13"/>
      <c r="I16" s="10" t="s">
        <v>27</v>
      </c>
      <c r="J16" s="6">
        <f>J10-1</f>
        <v>4</v>
      </c>
      <c r="K16" s="16">
        <f>SUMSQ(F11:F15)/J9-J11</f>
        <v>6.4825722835499846</v>
      </c>
      <c r="L16" s="16">
        <f t="shared" ref="L16:L17" si="5">K16/J16</f>
        <v>1.6206430708874962</v>
      </c>
      <c r="M16" s="16">
        <f>L16/L17</f>
        <v>3.8423045492104513</v>
      </c>
      <c r="N16" s="11" t="str">
        <f t="shared" ref="N16" si="6">IF(M16&lt;O16,"tn",IF(M16&lt;P16,"*","**"))</f>
        <v>*</v>
      </c>
      <c r="O16" s="16">
        <f>FINV(0.05,J16,J17)</f>
        <v>3.2591667269012499</v>
      </c>
      <c r="P16" s="16">
        <f>FINV(0.01,J16,J17)</f>
        <v>5.4119514344731394</v>
      </c>
    </row>
    <row r="17" spans="1:19" x14ac:dyDescent="0.25">
      <c r="A17" s="6" t="s">
        <v>28</v>
      </c>
      <c r="B17" s="47"/>
      <c r="C17" s="47"/>
      <c r="D17" s="47"/>
      <c r="E17" s="47"/>
      <c r="F17" s="11">
        <f>SUM(B11:E15)</f>
        <v>68.132900000000006</v>
      </c>
      <c r="G17" s="14"/>
      <c r="H17" s="13"/>
      <c r="I17" s="10" t="s">
        <v>29</v>
      </c>
      <c r="J17" s="6">
        <f>(J9-1)*(J10-1)</f>
        <v>12</v>
      </c>
      <c r="K17" s="16">
        <f>K18-K15-K16</f>
        <v>5.0614719894200562</v>
      </c>
      <c r="L17" s="16">
        <f t="shared" si="5"/>
        <v>0.42178933245167133</v>
      </c>
      <c r="M17" s="17"/>
      <c r="N17" s="18"/>
      <c r="O17" s="19"/>
      <c r="P17" s="19"/>
    </row>
    <row r="18" spans="1:19" x14ac:dyDescent="0.25">
      <c r="A18" s="6" t="s">
        <v>30</v>
      </c>
      <c r="B18" s="48"/>
      <c r="C18" s="48"/>
      <c r="D18" s="48"/>
      <c r="E18" s="48"/>
      <c r="F18" s="11">
        <f>AVERAGE(B11:E15)</f>
        <v>3.4066450000000001</v>
      </c>
      <c r="G18" s="14"/>
      <c r="H18" s="13"/>
      <c r="I18" s="10" t="s">
        <v>31</v>
      </c>
      <c r="J18" s="6">
        <f>J9*J10-1</f>
        <v>19</v>
      </c>
      <c r="K18" s="16">
        <f>SUMSQ(B11:E15)-J11</f>
        <v>25.353798476599991</v>
      </c>
      <c r="L18" s="20"/>
      <c r="M18" s="17"/>
      <c r="N18" s="18"/>
      <c r="O18" s="17"/>
      <c r="P18" s="17"/>
    </row>
    <row r="19" spans="1:19" x14ac:dyDescent="0.25">
      <c r="H19" s="13"/>
      <c r="J19" s="14"/>
      <c r="K19" s="14"/>
      <c r="L19" s="14"/>
      <c r="M19" s="14"/>
      <c r="N19" s="21"/>
      <c r="O19" s="22"/>
      <c r="P19" s="22"/>
    </row>
    <row r="20" spans="1:19" x14ac:dyDescent="0.25">
      <c r="H20" s="59"/>
      <c r="I20" s="24"/>
      <c r="J20" s="25"/>
      <c r="K20" s="25"/>
      <c r="L20" s="25"/>
      <c r="M20" s="21"/>
      <c r="N20" s="13"/>
      <c r="O20" s="41"/>
      <c r="P20" s="5" t="s">
        <v>27</v>
      </c>
      <c r="Q20" s="5" t="s">
        <v>34</v>
      </c>
      <c r="R20" s="5" t="s">
        <v>33</v>
      </c>
    </row>
    <row r="21" spans="1:19" x14ac:dyDescent="0.25">
      <c r="A21" s="34"/>
      <c r="H21" s="59"/>
      <c r="I21" s="25"/>
      <c r="J21" s="28"/>
      <c r="K21" s="31"/>
      <c r="L21" s="25"/>
      <c r="M21" s="21"/>
      <c r="N21" s="13"/>
      <c r="P21" s="6" t="s">
        <v>2</v>
      </c>
      <c r="Q21" s="42">
        <f>G11</f>
        <v>2.7747774999999999</v>
      </c>
      <c r="R21" s="5" t="s">
        <v>32</v>
      </c>
      <c r="S21" s="21">
        <f>Q21+Q26</f>
        <v>4.2392942463194334</v>
      </c>
    </row>
    <row r="22" spans="1:19" x14ac:dyDescent="0.25">
      <c r="A22" s="57"/>
      <c r="B22" s="57"/>
      <c r="C22" s="57"/>
      <c r="D22" s="57"/>
      <c r="E22" s="35"/>
      <c r="F22" s="36"/>
      <c r="H22" s="25"/>
      <c r="I22" s="25"/>
      <c r="J22" s="28"/>
      <c r="K22" s="31"/>
      <c r="L22" s="25"/>
      <c r="M22" s="21"/>
      <c r="P22" s="6" t="s">
        <v>3</v>
      </c>
      <c r="Q22" s="42">
        <f t="shared" ref="Q22:Q25" si="7">G12</f>
        <v>3.3633187499999999</v>
      </c>
      <c r="R22" s="5" t="s">
        <v>43</v>
      </c>
    </row>
    <row r="23" spans="1:19" x14ac:dyDescent="0.25">
      <c r="A23" s="36"/>
      <c r="B23" s="36"/>
      <c r="C23" s="36"/>
      <c r="D23" s="36"/>
      <c r="E23" s="36"/>
      <c r="F23" s="36"/>
      <c r="H23" s="25"/>
      <c r="I23" s="28"/>
      <c r="J23" s="28"/>
      <c r="K23" s="31"/>
      <c r="L23" s="25"/>
      <c r="M23" s="23"/>
      <c r="O23" s="49"/>
      <c r="P23" s="6" t="s">
        <v>4</v>
      </c>
      <c r="Q23" s="42">
        <f t="shared" si="7"/>
        <v>3.2608537500000003</v>
      </c>
      <c r="R23" s="5" t="s">
        <v>43</v>
      </c>
    </row>
    <row r="24" spans="1:19" x14ac:dyDescent="0.25">
      <c r="A24" s="58"/>
      <c r="B24" s="36"/>
      <c r="C24" s="36"/>
      <c r="D24" s="36"/>
      <c r="E24" s="36"/>
      <c r="F24" s="36"/>
      <c r="H24" s="25"/>
      <c r="I24" s="28"/>
      <c r="J24" s="28"/>
      <c r="K24" s="31"/>
      <c r="L24" s="25"/>
      <c r="M24" s="23"/>
      <c r="O24" s="49"/>
      <c r="P24" s="6" t="s">
        <v>5</v>
      </c>
      <c r="Q24" s="42">
        <f t="shared" si="7"/>
        <v>3.16091875</v>
      </c>
      <c r="R24" s="5" t="s">
        <v>43</v>
      </c>
      <c r="S24" s="21">
        <f>Q24+Q26</f>
        <v>4.6254354963194331</v>
      </c>
    </row>
    <row r="25" spans="1:19" x14ac:dyDescent="0.25">
      <c r="A25" s="58"/>
      <c r="B25" s="36"/>
      <c r="C25" s="36"/>
      <c r="D25" s="36"/>
      <c r="E25" s="37"/>
      <c r="F25" s="36"/>
      <c r="H25" s="32"/>
      <c r="I25" s="28"/>
      <c r="J25" s="28"/>
      <c r="K25" s="31"/>
      <c r="L25" s="25"/>
      <c r="M25" s="23"/>
      <c r="N25" s="23"/>
      <c r="O25" s="49"/>
      <c r="P25" s="6" t="s">
        <v>6</v>
      </c>
      <c r="Q25" s="42">
        <f t="shared" si="7"/>
        <v>4.4733562500000001</v>
      </c>
      <c r="R25" s="5" t="s">
        <v>36</v>
      </c>
    </row>
    <row r="26" spans="1:19" x14ac:dyDescent="0.25">
      <c r="A26" s="35"/>
      <c r="B26" s="35"/>
      <c r="C26" s="38"/>
      <c r="D26" s="36"/>
      <c r="E26" s="39"/>
      <c r="F26" s="36"/>
      <c r="H26" s="32"/>
      <c r="I26" s="28"/>
      <c r="J26" s="29"/>
      <c r="K26" s="26"/>
      <c r="L26" s="29"/>
      <c r="M26" s="23"/>
      <c r="N26" s="23" t="s">
        <v>35</v>
      </c>
      <c r="O26" s="49">
        <v>4.51</v>
      </c>
      <c r="P26" s="9" t="s">
        <v>44</v>
      </c>
      <c r="Q26" s="11">
        <f>O26*(L17/4)^0.5</f>
        <v>1.4645167463194333</v>
      </c>
      <c r="R26" s="9"/>
    </row>
    <row r="27" spans="1:19" x14ac:dyDescent="0.25">
      <c r="A27" s="35"/>
      <c r="B27" s="35"/>
      <c r="C27" s="38"/>
      <c r="D27" s="36"/>
      <c r="E27" s="39"/>
      <c r="F27" s="36"/>
      <c r="H27" s="23"/>
      <c r="I27" s="28"/>
      <c r="J27" s="29"/>
      <c r="K27" s="28"/>
      <c r="L27" s="29"/>
      <c r="M27" s="32"/>
      <c r="N27" s="25"/>
      <c r="O27" s="25"/>
      <c r="P27" s="25"/>
      <c r="Q27" s="25"/>
      <c r="R27" s="25"/>
    </row>
    <row r="28" spans="1:19" x14ac:dyDescent="0.25">
      <c r="A28" s="35"/>
      <c r="B28" s="35"/>
      <c r="C28" s="38"/>
      <c r="D28" s="36"/>
      <c r="E28" s="39"/>
      <c r="F28" s="36"/>
      <c r="I28" s="28"/>
      <c r="J28" s="29"/>
      <c r="K28" s="28"/>
      <c r="L28" s="29"/>
      <c r="M28" s="25"/>
      <c r="N28" s="25"/>
    </row>
    <row r="29" spans="1:19" x14ac:dyDescent="0.25">
      <c r="A29" s="36"/>
      <c r="B29" s="35"/>
      <c r="C29" s="38"/>
      <c r="D29" s="36"/>
      <c r="E29" s="36"/>
      <c r="F29" s="36"/>
    </row>
    <row r="30" spans="1:19" x14ac:dyDescent="0.25">
      <c r="A30" s="36"/>
      <c r="B30" s="35"/>
      <c r="C30" s="38"/>
      <c r="D30" s="36"/>
      <c r="E30" s="36"/>
      <c r="F30" s="36"/>
    </row>
    <row r="31" spans="1:19" x14ac:dyDescent="0.25">
      <c r="A31" s="36"/>
      <c r="B31" s="35"/>
      <c r="C31" s="38"/>
      <c r="D31" s="36"/>
      <c r="E31" s="36"/>
      <c r="F31" s="36"/>
    </row>
    <row r="32" spans="1:19" x14ac:dyDescent="0.25">
      <c r="A32" s="36"/>
      <c r="B32" s="36"/>
      <c r="C32" s="36"/>
      <c r="D32" s="36"/>
      <c r="E32" s="36"/>
      <c r="F32" s="36"/>
    </row>
  </sheetData>
  <sortState xmlns:xlrd2="http://schemas.microsoft.com/office/spreadsheetml/2017/richdata2" ref="O22:R26">
    <sortCondition ref="P22"/>
  </sortState>
  <mergeCells count="9">
    <mergeCell ref="A24:A25"/>
    <mergeCell ref="B1:H1"/>
    <mergeCell ref="I1:O1"/>
    <mergeCell ref="P1:V1"/>
    <mergeCell ref="W1:AC1"/>
    <mergeCell ref="A9:A10"/>
    <mergeCell ref="B9:E9"/>
    <mergeCell ref="F9:F10"/>
    <mergeCell ref="A22:D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FA31F-A42F-4585-B6A1-6977985D013E}">
  <dimension ref="A1:AC32"/>
  <sheetViews>
    <sheetView zoomScale="86" zoomScaleNormal="86" workbookViewId="0">
      <selection activeCell="W1" sqref="W1:AC1"/>
    </sheetView>
  </sheetViews>
  <sheetFormatPr defaultRowHeight="15" x14ac:dyDescent="0.25"/>
  <cols>
    <col min="1" max="1" width="19.42578125" customWidth="1"/>
    <col min="2" max="2" width="10.140625" customWidth="1"/>
    <col min="10" max="10" width="12.42578125" customWidth="1"/>
    <col min="11" max="11" width="14" customWidth="1"/>
    <col min="15" max="15" width="12.140625" customWidth="1"/>
    <col min="17" max="17" width="10.7109375" customWidth="1"/>
  </cols>
  <sheetData>
    <row r="1" spans="1:29" x14ac:dyDescent="0.25">
      <c r="B1" s="50" t="s">
        <v>41</v>
      </c>
      <c r="C1" s="50"/>
      <c r="D1" s="50"/>
      <c r="E1" s="50"/>
      <c r="F1" s="50"/>
      <c r="G1" s="50"/>
      <c r="H1" s="50"/>
      <c r="I1" s="50" t="s">
        <v>39</v>
      </c>
      <c r="J1" s="50"/>
      <c r="K1" s="50"/>
      <c r="L1" s="50"/>
      <c r="M1" s="50"/>
      <c r="N1" s="50"/>
      <c r="O1" s="50"/>
      <c r="P1" s="50" t="s">
        <v>38</v>
      </c>
      <c r="Q1" s="50"/>
      <c r="R1" s="50"/>
      <c r="S1" s="50"/>
      <c r="T1" s="50"/>
      <c r="U1" s="50"/>
      <c r="V1" s="50"/>
      <c r="W1" s="50" t="s">
        <v>37</v>
      </c>
      <c r="X1" s="50"/>
      <c r="Y1" s="50"/>
      <c r="Z1" s="50"/>
      <c r="AA1" s="50"/>
      <c r="AB1" s="50"/>
      <c r="AC1" s="50"/>
    </row>
    <row r="2" spans="1:29" x14ac:dyDescent="0.25">
      <c r="A2" t="s">
        <v>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 t="s">
        <v>1</v>
      </c>
      <c r="I2">
        <v>1</v>
      </c>
      <c r="J2">
        <v>2</v>
      </c>
      <c r="K2">
        <v>3</v>
      </c>
      <c r="L2">
        <v>4</v>
      </c>
      <c r="M2">
        <v>5</v>
      </c>
      <c r="N2">
        <v>6</v>
      </c>
      <c r="O2" t="s">
        <v>1</v>
      </c>
      <c r="P2">
        <v>1</v>
      </c>
      <c r="Q2">
        <v>2</v>
      </c>
      <c r="R2">
        <v>3</v>
      </c>
      <c r="S2">
        <v>4</v>
      </c>
      <c r="T2">
        <v>5</v>
      </c>
      <c r="U2">
        <v>6</v>
      </c>
      <c r="V2" t="s">
        <v>1</v>
      </c>
      <c r="W2">
        <v>1</v>
      </c>
      <c r="X2">
        <v>2</v>
      </c>
      <c r="Y2">
        <v>3</v>
      </c>
      <c r="Z2">
        <v>4</v>
      </c>
      <c r="AA2">
        <v>5</v>
      </c>
      <c r="AB2">
        <v>6</v>
      </c>
      <c r="AC2" t="s">
        <v>1</v>
      </c>
    </row>
    <row r="3" spans="1:29" x14ac:dyDescent="0.25">
      <c r="A3" t="s">
        <v>2</v>
      </c>
      <c r="B3">
        <f>3.2*3.9*0.759</f>
        <v>9.4723199999999999</v>
      </c>
      <c r="C3">
        <f>3.4*4.2*0.759</f>
        <v>10.838519999999999</v>
      </c>
      <c r="D3">
        <f>2.8*3.8*0.759</f>
        <v>8.0757599999999989</v>
      </c>
      <c r="E3">
        <f>2.2*3.2*0.759</f>
        <v>5.3433600000000006</v>
      </c>
      <c r="H3">
        <f>AVERAGE(B3:G3)</f>
        <v>8.4324899999999996</v>
      </c>
      <c r="I3">
        <f>4.2*4.4*0.759</f>
        <v>14.026320000000004</v>
      </c>
      <c r="J3">
        <f>3.2*4.9*0.759</f>
        <v>11.901120000000001</v>
      </c>
      <c r="K3">
        <f>3.4*4.6*0.759</f>
        <v>11.870759999999999</v>
      </c>
      <c r="L3">
        <f>1.9*2.9*0.759</f>
        <v>4.1820899999999996</v>
      </c>
      <c r="M3">
        <f>3.8*4.7*0.759</f>
        <v>13.55574</v>
      </c>
      <c r="N3">
        <f>3.6*4.8*0.759</f>
        <v>13.115520000000002</v>
      </c>
      <c r="O3">
        <f>AVERAGE(I3:N3)</f>
        <v>11.441924999999999</v>
      </c>
      <c r="P3">
        <f>4.2*4.1*0.759</f>
        <v>13.069979999999999</v>
      </c>
      <c r="Q3">
        <f>5.2*7.1*0.759</f>
        <v>28.022280000000002</v>
      </c>
      <c r="R3">
        <f>4.2*5.4*0.759</f>
        <v>17.214120000000001</v>
      </c>
      <c r="S3">
        <f>4.3*5.2*0.759</f>
        <v>16.971239999999998</v>
      </c>
      <c r="T3">
        <f>3.4*4.2*0.759</f>
        <v>10.838519999999999</v>
      </c>
      <c r="U3">
        <f>2.8*3.7*0.759</f>
        <v>7.8632399999999993</v>
      </c>
      <c r="V3">
        <f>AVERAGE(P3:U3)</f>
        <v>15.66323</v>
      </c>
      <c r="W3">
        <f>4.6*5.9*0.759</f>
        <v>20.599260000000001</v>
      </c>
      <c r="X3">
        <f>3.7*4.4*0.759</f>
        <v>12.356520000000002</v>
      </c>
      <c r="Y3">
        <f>4.5*6.1*0.759</f>
        <v>20.83455</v>
      </c>
      <c r="Z3">
        <f>5.1*5.6*0.759</f>
        <v>21.677039999999998</v>
      </c>
      <c r="AC3">
        <f>AVERAGE(W3:AB3)</f>
        <v>18.866842500000001</v>
      </c>
    </row>
    <row r="4" spans="1:29" x14ac:dyDescent="0.25">
      <c r="A4" t="s">
        <v>3</v>
      </c>
      <c r="B4">
        <f>5.8*7.6*0.759</f>
        <v>33.456719999999997</v>
      </c>
      <c r="C4">
        <f>5.1*6.1*0.759</f>
        <v>23.612489999999998</v>
      </c>
      <c r="D4">
        <f>5.5*6.2*0.759</f>
        <v>25.881900000000002</v>
      </c>
      <c r="E4">
        <f>7.1*9.4*0.759</f>
        <v>50.655659999999997</v>
      </c>
      <c r="F4">
        <f>4.7*5.4*0.759</f>
        <v>19.263420000000004</v>
      </c>
      <c r="G4">
        <f>4.1*4.8*0.759</f>
        <v>14.937119999999997</v>
      </c>
      <c r="H4">
        <f t="shared" ref="H4:H7" si="0">AVERAGE(B4:G4)</f>
        <v>27.967884999999995</v>
      </c>
      <c r="I4">
        <f>6.3*8.2*0.759</f>
        <v>39.209939999999996</v>
      </c>
      <c r="J4">
        <f>4.1*5.3*0.759</f>
        <v>16.493069999999999</v>
      </c>
      <c r="K4">
        <f>4.2*4.8*0.759</f>
        <v>15.301439999999999</v>
      </c>
      <c r="L4">
        <f>4.5*4.7*0.759</f>
        <v>16.052850000000003</v>
      </c>
      <c r="M4">
        <f>3.4*4.4*0.759</f>
        <v>11.354640000000002</v>
      </c>
      <c r="N4">
        <f>7.3*7.7*0.759</f>
        <v>42.66339</v>
      </c>
      <c r="O4">
        <f t="shared" ref="O4:O7" si="1">AVERAGE(I4:N4)</f>
        <v>23.512555000000003</v>
      </c>
      <c r="P4">
        <f>7.1*7.8*0.759</f>
        <v>42.03342</v>
      </c>
      <c r="Q4">
        <f>7.6*9.2*0.759</f>
        <v>53.069279999999992</v>
      </c>
      <c r="R4">
        <f>7.9*9.4*0.759</f>
        <v>56.363340000000008</v>
      </c>
      <c r="S4">
        <f>8.4*10.9*0.759</f>
        <v>69.494039999999998</v>
      </c>
      <c r="T4">
        <f>7.9*9.8*0.759</f>
        <v>58.761780000000016</v>
      </c>
      <c r="U4">
        <f>8.4*10.2*0.759</f>
        <v>65.031120000000001</v>
      </c>
      <c r="V4">
        <f t="shared" ref="V4:V7" si="2">AVERAGE(P4:U4)</f>
        <v>57.458829999999999</v>
      </c>
      <c r="W4">
        <f>2.6*3.6*0.759</f>
        <v>7.1042400000000008</v>
      </c>
      <c r="X4">
        <f>3.3*4.7*0.759</f>
        <v>11.77209</v>
      </c>
      <c r="Y4">
        <f>3.2*4.3*0.759</f>
        <v>10.44384</v>
      </c>
      <c r="Z4">
        <f>2.2*2.7*0.759</f>
        <v>4.5084600000000012</v>
      </c>
      <c r="AA4">
        <f>3.2*4.8*0.759</f>
        <v>11.658239999999999</v>
      </c>
      <c r="AB4">
        <f>3.8*5.2*0.759</f>
        <v>14.997839999999998</v>
      </c>
      <c r="AC4">
        <f t="shared" ref="AC4:AC7" si="3">AVERAGE(W4:AB4)</f>
        <v>10.080785000000001</v>
      </c>
    </row>
    <row r="5" spans="1:29" x14ac:dyDescent="0.25">
      <c r="A5" t="s">
        <v>4</v>
      </c>
      <c r="B5">
        <f>5.1*5.8*0.759</f>
        <v>22.451219999999999</v>
      </c>
      <c r="C5">
        <f>5.9*7.2*0.759</f>
        <v>32.242320000000007</v>
      </c>
      <c r="D5">
        <f>5.8*7.3*0.759</f>
        <v>32.136060000000001</v>
      </c>
      <c r="E5">
        <f>3.3*4.4*0.759</f>
        <v>11.02068</v>
      </c>
      <c r="F5">
        <f>6.3*7.9*0.759</f>
        <v>37.77543</v>
      </c>
      <c r="G5">
        <f>3.4*4.1*0.759</f>
        <v>10.580459999999999</v>
      </c>
      <c r="H5">
        <f t="shared" si="0"/>
        <v>24.367694999999998</v>
      </c>
      <c r="I5">
        <f>4.6*5.2*0.759</f>
        <v>18.155279999999998</v>
      </c>
      <c r="J5">
        <f>4.7*6.1*0.759</f>
        <v>21.760529999999999</v>
      </c>
      <c r="K5">
        <f>7.2*7.6*0.759</f>
        <v>41.53248</v>
      </c>
      <c r="L5">
        <f>5.4*7.6*0.759</f>
        <v>31.149359999999998</v>
      </c>
      <c r="M5">
        <f>2.6*3.2*0.759</f>
        <v>6.3148800000000005</v>
      </c>
      <c r="N5">
        <f>5.1*5.9*0.759</f>
        <v>22.83831</v>
      </c>
      <c r="O5">
        <f t="shared" si="1"/>
        <v>23.625139999999998</v>
      </c>
      <c r="P5">
        <f>6.3*7.4*0.759</f>
        <v>35.38458</v>
      </c>
      <c r="Q5">
        <f>6.1*8.6*0.759</f>
        <v>39.817139999999995</v>
      </c>
      <c r="R5">
        <f>6.7*9.4*0.759</f>
        <v>47.801820000000006</v>
      </c>
      <c r="S5">
        <f>7.4*9.9*0.759</f>
        <v>55.604340000000008</v>
      </c>
      <c r="T5">
        <f>7.3*9.4*0.759</f>
        <v>52.082580000000007</v>
      </c>
      <c r="U5">
        <f>7.1*9.1*0.759</f>
        <v>49.038989999999998</v>
      </c>
      <c r="V5">
        <f t="shared" si="2"/>
        <v>46.621575000000007</v>
      </c>
      <c r="W5">
        <f>7.2*8.4*0.759</f>
        <v>45.904320000000006</v>
      </c>
      <c r="X5">
        <f>5.1*6.2*0.759</f>
        <v>23.999579999999998</v>
      </c>
      <c r="Y5">
        <f>6.1*8.8*0.759</f>
        <v>40.743119999999998</v>
      </c>
      <c r="Z5">
        <f>5.1*6.3*0.759</f>
        <v>24.386669999999995</v>
      </c>
      <c r="AA5">
        <f>5.2*6.6*0.759</f>
        <v>26.04888</v>
      </c>
      <c r="AB5">
        <f>5.4*6.3*0.759</f>
        <v>25.821180000000002</v>
      </c>
      <c r="AC5">
        <f t="shared" si="3"/>
        <v>31.150624999999994</v>
      </c>
    </row>
    <row r="6" spans="1:29" x14ac:dyDescent="0.25">
      <c r="A6" t="s">
        <v>5</v>
      </c>
      <c r="B6">
        <f>4.9*6.2*0.759</f>
        <v>23.058420000000002</v>
      </c>
      <c r="C6">
        <f>3.9*4.3*0.759</f>
        <v>12.728429999999999</v>
      </c>
      <c r="D6">
        <f>4.2*5.3*0.759</f>
        <v>16.895340000000001</v>
      </c>
      <c r="E6">
        <f>4.4*5.4*0.759</f>
        <v>18.033840000000005</v>
      </c>
      <c r="F6">
        <f>4.7*5.6*0.759</f>
        <v>19.976880000000001</v>
      </c>
      <c r="G6">
        <f>5.1*6.9*0.759</f>
        <v>26.709209999999999</v>
      </c>
      <c r="H6">
        <f t="shared" si="0"/>
        <v>19.567020000000003</v>
      </c>
      <c r="I6">
        <f>4.8*5.1*0.759</f>
        <v>18.580319999999997</v>
      </c>
      <c r="J6">
        <f>5.2*6.2*0.759</f>
        <v>24.470160000000003</v>
      </c>
      <c r="K6">
        <f>6.6*10.1*0.759</f>
        <v>50.594940000000001</v>
      </c>
      <c r="L6">
        <f>4.1*4.2*0.759</f>
        <v>13.069979999999999</v>
      </c>
      <c r="M6">
        <f>5.1*5.9*0.759</f>
        <v>22.83831</v>
      </c>
      <c r="N6">
        <f>4.1*5.8*0.759</f>
        <v>18.049019999999999</v>
      </c>
      <c r="O6">
        <f t="shared" si="1"/>
        <v>24.600455</v>
      </c>
      <c r="P6">
        <f>4.6*5.3*0.759</f>
        <v>18.50442</v>
      </c>
      <c r="Q6">
        <f>4.7*5.9*0.759</f>
        <v>21.047070000000001</v>
      </c>
      <c r="R6">
        <f>5.9*7.1*0.759</f>
        <v>31.794510000000002</v>
      </c>
      <c r="S6">
        <f>7.1*9.1*0.759</f>
        <v>49.038989999999998</v>
      </c>
      <c r="T6">
        <f>5.1*7.1*0.759</f>
        <v>27.483389999999996</v>
      </c>
      <c r="U6">
        <f>5.2*6.1*0.759</f>
        <v>24.075479999999999</v>
      </c>
      <c r="V6">
        <f t="shared" si="2"/>
        <v>28.657309999999999</v>
      </c>
      <c r="W6">
        <f>3.2*4.6*0.759</f>
        <v>11.172479999999998</v>
      </c>
      <c r="X6">
        <f>3.1*4.7*0.759</f>
        <v>11.058630000000001</v>
      </c>
      <c r="Y6">
        <f>3.9*5.3*0.759</f>
        <v>15.688529999999998</v>
      </c>
      <c r="Z6">
        <f>4.7*5.2*0.759</f>
        <v>18.549960000000002</v>
      </c>
      <c r="AA6">
        <f>4.2*5.8*0.759</f>
        <v>18.489239999999999</v>
      </c>
      <c r="AB6">
        <f>7.1*8.6*0.759</f>
        <v>46.344539999999995</v>
      </c>
      <c r="AC6">
        <f t="shared" si="3"/>
        <v>20.217229999999997</v>
      </c>
    </row>
    <row r="7" spans="1:29" x14ac:dyDescent="0.25">
      <c r="A7" t="s">
        <v>6</v>
      </c>
      <c r="B7">
        <f>5.6*6.9*0.759</f>
        <v>29.327760000000001</v>
      </c>
      <c r="C7">
        <f>5.9*7.1*0.759</f>
        <v>31.794510000000002</v>
      </c>
      <c r="D7">
        <f>3.7*4.1*0.759</f>
        <v>11.51403</v>
      </c>
      <c r="E7">
        <f>6.6*6.1*0.759</f>
        <v>30.55734</v>
      </c>
      <c r="F7">
        <f>4.6*5.1*0.759</f>
        <v>17.806139999999999</v>
      </c>
      <c r="G7">
        <f>4.9*6.4*0.759</f>
        <v>23.802240000000001</v>
      </c>
      <c r="H7">
        <f t="shared" si="0"/>
        <v>24.133669999999999</v>
      </c>
      <c r="I7">
        <f>5.2*7.6*0.759</f>
        <v>29.995679999999997</v>
      </c>
      <c r="J7">
        <f>6.3*7.6*0.759</f>
        <v>36.340919999999997</v>
      </c>
      <c r="K7">
        <f>6.4*8.4*0.759</f>
        <v>40.803840000000001</v>
      </c>
      <c r="L7">
        <f>5.6*8.2*0.759</f>
        <v>34.853279999999998</v>
      </c>
      <c r="M7">
        <f>6.3*7.9*0.759</f>
        <v>37.77543</v>
      </c>
      <c r="N7">
        <f>5.2*6.4*0.759</f>
        <v>25.259520000000002</v>
      </c>
      <c r="O7">
        <f t="shared" si="1"/>
        <v>34.171444999999999</v>
      </c>
      <c r="P7">
        <f>6.2*7.3*0.759</f>
        <v>34.352339999999998</v>
      </c>
      <c r="Q7">
        <f>6.6*8.1*0.759</f>
        <v>40.576139999999995</v>
      </c>
      <c r="R7">
        <f>7.1*8.9*0.759</f>
        <v>47.961210000000001</v>
      </c>
      <c r="S7">
        <f>4.3*6.2*0.759</f>
        <v>20.234940000000002</v>
      </c>
      <c r="T7">
        <f>5.9*7.3*0.759</f>
        <v>32.690130000000003</v>
      </c>
      <c r="U7">
        <f>5.7*6.8*0.759</f>
        <v>29.418839999999999</v>
      </c>
      <c r="V7">
        <f t="shared" si="2"/>
        <v>34.205599999999997</v>
      </c>
      <c r="W7">
        <f>4.1*5.4*0.759</f>
        <v>16.804259999999999</v>
      </c>
      <c r="X7">
        <f>4.8*5.2*0.759</f>
        <v>18.94464</v>
      </c>
      <c r="Y7">
        <f>5.1*5.7*0.759</f>
        <v>22.064129999999999</v>
      </c>
      <c r="Z7">
        <f>3.6*4.2*0.759</f>
        <v>11.476080000000001</v>
      </c>
      <c r="AA7">
        <f>3.7*5.6*0.759</f>
        <v>15.726479999999999</v>
      </c>
      <c r="AB7">
        <f>4.9*5.2*0.759</f>
        <v>19.339320000000004</v>
      </c>
      <c r="AC7">
        <f t="shared" si="3"/>
        <v>17.392484999999997</v>
      </c>
    </row>
    <row r="8" spans="1:29" x14ac:dyDescent="0.25">
      <c r="A8" s="1"/>
      <c r="B8" s="1"/>
      <c r="C8" s="1"/>
      <c r="D8" s="1"/>
      <c r="E8" s="1"/>
      <c r="F8" s="1"/>
      <c r="G8" s="2"/>
      <c r="I8" s="3"/>
      <c r="J8" s="3"/>
      <c r="K8" s="3"/>
      <c r="L8" s="3"/>
      <c r="M8" s="3"/>
      <c r="N8" s="3"/>
    </row>
    <row r="9" spans="1:29" ht="15" customHeight="1" x14ac:dyDescent="0.25">
      <c r="A9" s="51" t="s">
        <v>7</v>
      </c>
      <c r="B9" s="52" t="s">
        <v>8</v>
      </c>
      <c r="C9" s="53"/>
      <c r="D9" s="53"/>
      <c r="E9" s="54"/>
      <c r="F9" s="55" t="s">
        <v>9</v>
      </c>
      <c r="G9" s="4"/>
      <c r="I9" s="5" t="s">
        <v>10</v>
      </c>
      <c r="J9" s="6">
        <v>4</v>
      </c>
    </row>
    <row r="10" spans="1:29" x14ac:dyDescent="0.25">
      <c r="A10" s="51"/>
      <c r="B10" s="6" t="s">
        <v>11</v>
      </c>
      <c r="C10" s="6" t="s">
        <v>12</v>
      </c>
      <c r="D10" s="6" t="s">
        <v>13</v>
      </c>
      <c r="E10" s="6" t="s">
        <v>14</v>
      </c>
      <c r="F10" s="56"/>
      <c r="G10" s="7" t="s">
        <v>1</v>
      </c>
      <c r="I10" s="8" t="s">
        <v>15</v>
      </c>
      <c r="J10" s="6">
        <v>5</v>
      </c>
      <c r="M10" s="3"/>
      <c r="N10" s="3"/>
    </row>
    <row r="11" spans="1:29" x14ac:dyDescent="0.25">
      <c r="A11" s="6" t="s">
        <v>2</v>
      </c>
      <c r="B11" s="46">
        <f>AVERAGE(B3:G3)</f>
        <v>8.4324899999999996</v>
      </c>
      <c r="C11" s="46">
        <f>AVERAGE(I3:N3)</f>
        <v>11.441924999999999</v>
      </c>
      <c r="D11" s="46">
        <f>AVERAGE(P3:U3)</f>
        <v>15.66323</v>
      </c>
      <c r="E11" s="46">
        <f>AVERAGE(W3:AB3)</f>
        <v>18.866842500000001</v>
      </c>
      <c r="F11" s="46">
        <f>SUM(B11:E11)</f>
        <v>54.404487500000002</v>
      </c>
      <c r="G11" s="46">
        <f t="shared" ref="G11:G15" si="4">AVERAGE(B11:E11)</f>
        <v>13.601121875</v>
      </c>
      <c r="H11" s="27"/>
      <c r="I11" s="10" t="s">
        <v>16</v>
      </c>
      <c r="J11" s="11">
        <f>F17^2/(J9*J10)</f>
        <v>12606.967491950902</v>
      </c>
      <c r="K11" s="27"/>
      <c r="L11" s="27"/>
      <c r="M11" s="3"/>
      <c r="N11" s="3"/>
    </row>
    <row r="12" spans="1:29" x14ac:dyDescent="0.25">
      <c r="A12" s="6" t="s">
        <v>3</v>
      </c>
      <c r="B12" s="46">
        <f t="shared" ref="B12:B15" si="5">AVERAGE(B4:G4)</f>
        <v>27.967884999999995</v>
      </c>
      <c r="C12" s="46">
        <f t="shared" ref="C12:C15" si="6">AVERAGE(I4:N4)</f>
        <v>23.512555000000003</v>
      </c>
      <c r="D12" s="46">
        <f t="shared" ref="D12:D15" si="7">AVERAGE(P4:U4)</f>
        <v>57.458829999999999</v>
      </c>
      <c r="E12" s="46">
        <f>AVERAGE(W4:AB4)</f>
        <v>10.080785000000001</v>
      </c>
      <c r="F12" s="46">
        <f t="shared" ref="F12:F16" si="8">SUM(B12:E12)</f>
        <v>119.020055</v>
      </c>
      <c r="G12" s="46">
        <f t="shared" si="4"/>
        <v>29.75501375</v>
      </c>
      <c r="H12" s="13"/>
      <c r="N12" s="14"/>
    </row>
    <row r="13" spans="1:29" x14ac:dyDescent="0.25">
      <c r="A13" s="6" t="s">
        <v>4</v>
      </c>
      <c r="B13" s="46">
        <f t="shared" si="5"/>
        <v>24.367694999999998</v>
      </c>
      <c r="C13" s="46">
        <f t="shared" si="6"/>
        <v>23.625139999999998</v>
      </c>
      <c r="D13" s="46">
        <f t="shared" si="7"/>
        <v>46.621575000000007</v>
      </c>
      <c r="E13" s="46">
        <f>AVERAGE(W5:AB5)</f>
        <v>31.150624999999994</v>
      </c>
      <c r="F13" s="46">
        <f t="shared" si="8"/>
        <v>125.765035</v>
      </c>
      <c r="G13" s="46">
        <f t="shared" si="4"/>
        <v>31.441258749999999</v>
      </c>
      <c r="H13" s="13"/>
    </row>
    <row r="14" spans="1:29" x14ac:dyDescent="0.25">
      <c r="A14" s="6" t="s">
        <v>5</v>
      </c>
      <c r="B14" s="46">
        <f t="shared" si="5"/>
        <v>19.567020000000003</v>
      </c>
      <c r="C14" s="46">
        <f t="shared" si="6"/>
        <v>24.600455</v>
      </c>
      <c r="D14" s="46">
        <f t="shared" si="7"/>
        <v>28.657309999999999</v>
      </c>
      <c r="E14" s="46">
        <f>AVERAGE(W6:AB6)</f>
        <v>20.217229999999997</v>
      </c>
      <c r="F14" s="46">
        <f t="shared" si="8"/>
        <v>93.042015000000006</v>
      </c>
      <c r="G14" s="46">
        <f t="shared" si="4"/>
        <v>23.260503750000002</v>
      </c>
      <c r="H14" s="13"/>
      <c r="I14" s="30" t="s">
        <v>17</v>
      </c>
      <c r="J14" s="6" t="s">
        <v>18</v>
      </c>
      <c r="K14" s="6" t="s">
        <v>19</v>
      </c>
      <c r="L14" s="6" t="s">
        <v>20</v>
      </c>
      <c r="M14" s="6" t="s">
        <v>21</v>
      </c>
      <c r="N14" s="6" t="s">
        <v>22</v>
      </c>
      <c r="O14" s="11" t="s">
        <v>23</v>
      </c>
      <c r="P14" s="6" t="s">
        <v>24</v>
      </c>
    </row>
    <row r="15" spans="1:29" x14ac:dyDescent="0.25">
      <c r="A15" s="6" t="s">
        <v>6</v>
      </c>
      <c r="B15" s="46">
        <f t="shared" si="5"/>
        <v>24.133669999999999</v>
      </c>
      <c r="C15" s="46">
        <f t="shared" si="6"/>
        <v>34.171444999999999</v>
      </c>
      <c r="D15" s="46">
        <f t="shared" si="7"/>
        <v>34.205599999999997</v>
      </c>
      <c r="E15" s="46">
        <f>AVERAGE(W7:AB7)</f>
        <v>17.392484999999997</v>
      </c>
      <c r="F15" s="46">
        <f t="shared" si="8"/>
        <v>109.9032</v>
      </c>
      <c r="G15" s="46">
        <f t="shared" si="4"/>
        <v>27.4758</v>
      </c>
      <c r="H15" s="13"/>
      <c r="I15" s="10" t="s">
        <v>25</v>
      </c>
      <c r="J15" s="6">
        <f>J9-1</f>
        <v>3</v>
      </c>
      <c r="K15" s="13">
        <f>SUMSQ(B16:E16)/(J10)-J11</f>
        <v>908.4521584623144</v>
      </c>
      <c r="L15" s="16">
        <f>K15/J15</f>
        <v>302.81738615410478</v>
      </c>
      <c r="M15" s="16">
        <f>L15/L17</f>
        <v>3.8247137977981613</v>
      </c>
      <c r="N15" s="11" t="str">
        <f>IF(M15&lt;O15,"tn",IF(M15&lt;P15,"*","**"))</f>
        <v>*</v>
      </c>
      <c r="O15" s="16">
        <f>FINV(0.05,J15,J17)</f>
        <v>3.4902948194976045</v>
      </c>
      <c r="P15" s="16">
        <f>FINV(0.01,J15,J17)</f>
        <v>5.9525446815458682</v>
      </c>
    </row>
    <row r="16" spans="1:29" x14ac:dyDescent="0.25">
      <c r="A16" s="6" t="s">
        <v>26</v>
      </c>
      <c r="B16" s="11">
        <f>SUM(B11:B15)</f>
        <v>104.46875999999999</v>
      </c>
      <c r="C16" s="11">
        <f>SUM(C11:C15)</f>
        <v>117.35151999999999</v>
      </c>
      <c r="D16" s="11">
        <f>SUM(D11:D15)</f>
        <v>182.60654500000001</v>
      </c>
      <c r="E16" s="11">
        <f>SUM(E11:E15)</f>
        <v>97.707967499999995</v>
      </c>
      <c r="F16" s="46">
        <f t="shared" si="8"/>
        <v>502.1347925</v>
      </c>
      <c r="G16" s="46"/>
      <c r="H16" s="13"/>
      <c r="I16" s="10" t="s">
        <v>27</v>
      </c>
      <c r="J16" s="6">
        <f>J10-1</f>
        <v>4</v>
      </c>
      <c r="K16" s="16">
        <f>SUMSQ(F11:F15)/J9-J11</f>
        <v>812.53143464713139</v>
      </c>
      <c r="L16" s="16">
        <f t="shared" ref="L16:L17" si="9">K16/J16</f>
        <v>203.13285866178285</v>
      </c>
      <c r="M16" s="16">
        <f>L16/L17</f>
        <v>2.5656553514880578</v>
      </c>
      <c r="N16" s="11" t="str">
        <f t="shared" ref="N16" si="10">IF(M16&lt;O16,"tn",IF(M16&lt;P16,"*","**"))</f>
        <v>tn</v>
      </c>
      <c r="O16" s="16">
        <f>FINV(0.05,J16,J17)</f>
        <v>3.2591667269012499</v>
      </c>
      <c r="P16" s="16">
        <f>FINV(0.01,J16,J17)</f>
        <v>5.4119514344731394</v>
      </c>
    </row>
    <row r="17" spans="1:18" x14ac:dyDescent="0.25">
      <c r="A17" s="6" t="s">
        <v>28</v>
      </c>
      <c r="B17" s="47"/>
      <c r="C17" s="47"/>
      <c r="D17" s="47"/>
      <c r="E17" s="47"/>
      <c r="F17" s="11">
        <f>SUM(B11:E15)</f>
        <v>502.1347925</v>
      </c>
      <c r="G17" s="14"/>
      <c r="H17" s="13"/>
      <c r="I17" s="10" t="s">
        <v>29</v>
      </c>
      <c r="J17" s="6">
        <f>(J9-1)*(J10-1)</f>
        <v>12</v>
      </c>
      <c r="K17" s="16">
        <f>K18-K15-K16</f>
        <v>950.08641847690524</v>
      </c>
      <c r="L17" s="16">
        <f t="shared" si="9"/>
        <v>79.17386820640877</v>
      </c>
      <c r="M17" s="17"/>
      <c r="N17" s="18"/>
      <c r="O17" s="19"/>
      <c r="P17" s="19"/>
    </row>
    <row r="18" spans="1:18" x14ac:dyDescent="0.25">
      <c r="A18" s="6" t="s">
        <v>30</v>
      </c>
      <c r="B18" s="48"/>
      <c r="C18" s="48"/>
      <c r="D18" s="48"/>
      <c r="E18" s="48"/>
      <c r="F18" s="11">
        <f>AVERAGE(B11:E15)</f>
        <v>25.106739624999999</v>
      </c>
      <c r="G18" s="14"/>
      <c r="H18" s="13"/>
      <c r="I18" s="10" t="s">
        <v>31</v>
      </c>
      <c r="J18" s="6">
        <f>J9*J10-1</f>
        <v>19</v>
      </c>
      <c r="K18" s="16">
        <f>SUMSQ(B11:E15)-J11</f>
        <v>2671.070011586351</v>
      </c>
      <c r="L18" s="20"/>
      <c r="M18" s="17"/>
      <c r="N18" s="18"/>
      <c r="O18" s="17"/>
      <c r="P18" s="17"/>
    </row>
    <row r="19" spans="1:18" x14ac:dyDescent="0.25">
      <c r="H19" s="13"/>
      <c r="J19" s="14"/>
      <c r="K19" s="14"/>
      <c r="L19" s="14"/>
      <c r="M19" s="14"/>
      <c r="N19" s="21"/>
      <c r="O19" s="22"/>
      <c r="P19" s="22"/>
    </row>
    <row r="20" spans="1:18" x14ac:dyDescent="0.25">
      <c r="H20" s="13"/>
      <c r="I20" s="24"/>
      <c r="J20" s="26"/>
      <c r="K20" s="26"/>
      <c r="L20" s="26"/>
      <c r="M20" s="31"/>
      <c r="N20" s="26"/>
      <c r="O20" s="40"/>
      <c r="P20" s="40"/>
      <c r="Q20" s="25"/>
      <c r="R20" s="25"/>
    </row>
    <row r="21" spans="1:18" x14ac:dyDescent="0.25">
      <c r="A21" s="34"/>
      <c r="H21" s="13"/>
      <c r="I21" s="25"/>
      <c r="J21" s="25"/>
      <c r="K21" s="25"/>
      <c r="L21" s="25"/>
      <c r="M21" s="25"/>
      <c r="N21" s="25"/>
      <c r="O21" s="33"/>
      <c r="P21" s="33"/>
      <c r="Q21" s="33"/>
      <c r="R21" s="33"/>
    </row>
    <row r="22" spans="1:18" x14ac:dyDescent="0.25">
      <c r="A22" s="57"/>
      <c r="B22" s="57"/>
      <c r="C22" s="57"/>
      <c r="D22" s="57"/>
      <c r="E22" s="35"/>
      <c r="F22" s="36"/>
      <c r="I22" s="25"/>
      <c r="J22" s="25"/>
      <c r="K22" s="24"/>
      <c r="L22" s="25"/>
      <c r="M22" s="25"/>
      <c r="N22" s="25"/>
      <c r="O22" s="28"/>
      <c r="P22" s="32"/>
      <c r="Q22" s="32"/>
      <c r="R22" s="25"/>
    </row>
    <row r="23" spans="1:18" x14ac:dyDescent="0.25">
      <c r="A23" s="36"/>
      <c r="B23" s="36"/>
      <c r="C23" s="36"/>
      <c r="D23" s="36"/>
      <c r="E23" s="36"/>
      <c r="F23" s="36"/>
      <c r="I23" s="28"/>
      <c r="J23" s="29"/>
      <c r="K23" s="28"/>
      <c r="L23" s="29"/>
      <c r="M23" s="32"/>
      <c r="N23" s="25"/>
      <c r="O23" s="28"/>
      <c r="P23" s="32"/>
      <c r="Q23" s="32"/>
      <c r="R23" s="25"/>
    </row>
    <row r="24" spans="1:18" x14ac:dyDescent="0.25">
      <c r="A24" s="58"/>
      <c r="B24" s="36"/>
      <c r="C24" s="36"/>
      <c r="D24" s="36"/>
      <c r="E24" s="36"/>
      <c r="F24" s="36"/>
      <c r="I24" s="28"/>
      <c r="J24" s="29"/>
      <c r="K24" s="28"/>
      <c r="L24" s="29"/>
      <c r="M24" s="32"/>
      <c r="N24" s="25"/>
      <c r="O24" s="28"/>
      <c r="P24" s="32"/>
      <c r="Q24" s="32"/>
      <c r="R24" s="25"/>
    </row>
    <row r="25" spans="1:18" x14ac:dyDescent="0.25">
      <c r="A25" s="58"/>
      <c r="B25" s="36"/>
      <c r="C25" s="36"/>
      <c r="D25" s="36"/>
      <c r="E25" s="37"/>
      <c r="F25" s="36"/>
      <c r="H25" s="23"/>
      <c r="I25" s="28"/>
      <c r="J25" s="29"/>
      <c r="K25" s="28"/>
      <c r="L25" s="29"/>
      <c r="M25" s="32"/>
      <c r="N25" s="25"/>
      <c r="O25" s="28"/>
      <c r="P25" s="32"/>
      <c r="Q25" s="32"/>
      <c r="R25" s="25"/>
    </row>
    <row r="26" spans="1:18" x14ac:dyDescent="0.25">
      <c r="A26" s="35"/>
      <c r="B26" s="35"/>
      <c r="C26" s="38"/>
      <c r="D26" s="36"/>
      <c r="E26" s="39"/>
      <c r="F26" s="36"/>
      <c r="H26" s="23"/>
      <c r="I26" s="28"/>
      <c r="J26" s="29"/>
      <c r="K26" s="28"/>
      <c r="L26" s="29"/>
      <c r="M26" s="32"/>
      <c r="N26" s="25"/>
      <c r="O26" s="28"/>
      <c r="P26" s="32"/>
      <c r="Q26" s="32"/>
      <c r="R26" s="25"/>
    </row>
    <row r="27" spans="1:18" x14ac:dyDescent="0.25">
      <c r="A27" s="35"/>
      <c r="B27" s="35"/>
      <c r="C27" s="38"/>
      <c r="D27" s="36"/>
      <c r="E27" s="39"/>
      <c r="F27" s="36"/>
      <c r="H27" s="23"/>
      <c r="I27" s="28"/>
      <c r="J27" s="29"/>
      <c r="K27" s="28"/>
      <c r="L27" s="29"/>
      <c r="M27" s="32"/>
      <c r="N27" s="25"/>
      <c r="O27" s="25"/>
      <c r="P27" s="25"/>
      <c r="Q27" s="25"/>
      <c r="R27" s="25"/>
    </row>
    <row r="28" spans="1:18" x14ac:dyDescent="0.25">
      <c r="A28" s="35"/>
      <c r="B28" s="35"/>
      <c r="C28" s="38"/>
      <c r="D28" s="36"/>
      <c r="E28" s="39"/>
      <c r="F28" s="36"/>
      <c r="I28" s="28"/>
      <c r="J28" s="29"/>
      <c r="K28" s="28"/>
      <c r="L28" s="29"/>
      <c r="M28" s="25"/>
      <c r="N28" s="25"/>
    </row>
    <row r="29" spans="1:18" x14ac:dyDescent="0.25">
      <c r="A29" s="36"/>
      <c r="B29" s="35"/>
      <c r="C29" s="38"/>
      <c r="D29" s="36"/>
      <c r="E29" s="36"/>
      <c r="F29" s="36"/>
    </row>
    <row r="30" spans="1:18" x14ac:dyDescent="0.25">
      <c r="A30" s="36"/>
      <c r="B30" s="35"/>
      <c r="C30" s="38"/>
      <c r="D30" s="36"/>
      <c r="E30" s="36"/>
      <c r="F30" s="36"/>
    </row>
    <row r="31" spans="1:18" x14ac:dyDescent="0.25">
      <c r="A31" s="36"/>
      <c r="B31" s="35"/>
      <c r="C31" s="38"/>
      <c r="D31" s="36"/>
      <c r="E31" s="36"/>
      <c r="F31" s="36"/>
    </row>
    <row r="32" spans="1:18" x14ac:dyDescent="0.25">
      <c r="A32" s="36"/>
      <c r="B32" s="36"/>
      <c r="C32" s="36"/>
      <c r="D32" s="36"/>
      <c r="E32" s="36"/>
      <c r="F32" s="36"/>
    </row>
  </sheetData>
  <mergeCells count="9">
    <mergeCell ref="A24:A25"/>
    <mergeCell ref="B1:H1"/>
    <mergeCell ref="I1:O1"/>
    <mergeCell ref="P1:V1"/>
    <mergeCell ref="W1:AC1"/>
    <mergeCell ref="A9:A10"/>
    <mergeCell ref="B9:E9"/>
    <mergeCell ref="F9:F10"/>
    <mergeCell ref="A22:D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4EC1D-EB0B-41F8-9AE5-29DEEED7E2E0}">
  <dimension ref="A1:AC32"/>
  <sheetViews>
    <sheetView topLeftCell="C7" workbookViewId="0">
      <selection activeCell="H20" sqref="H20:L26"/>
    </sheetView>
  </sheetViews>
  <sheetFormatPr defaultRowHeight="15" x14ac:dyDescent="0.25"/>
  <cols>
    <col min="1" max="1" width="19.42578125" customWidth="1"/>
    <col min="2" max="2" width="10.140625" customWidth="1"/>
    <col min="10" max="10" width="12.42578125" customWidth="1"/>
    <col min="11" max="11" width="14" customWidth="1"/>
    <col min="15" max="15" width="12.140625" customWidth="1"/>
    <col min="17" max="17" width="10.7109375" customWidth="1"/>
  </cols>
  <sheetData>
    <row r="1" spans="1:29" x14ac:dyDescent="0.25">
      <c r="B1" s="50" t="s">
        <v>41</v>
      </c>
      <c r="C1" s="50"/>
      <c r="D1" s="50"/>
      <c r="E1" s="50"/>
      <c r="F1" s="50"/>
      <c r="G1" s="50"/>
      <c r="H1" s="50"/>
      <c r="I1" s="50" t="s">
        <v>39</v>
      </c>
      <c r="J1" s="50"/>
      <c r="K1" s="50"/>
      <c r="L1" s="50"/>
      <c r="M1" s="50"/>
      <c r="N1" s="50"/>
      <c r="O1" s="50"/>
      <c r="P1" s="50" t="s">
        <v>38</v>
      </c>
      <c r="Q1" s="50"/>
      <c r="R1" s="50"/>
      <c r="S1" s="50"/>
      <c r="T1" s="50"/>
      <c r="U1" s="50"/>
      <c r="V1" s="50"/>
      <c r="W1" s="50" t="s">
        <v>37</v>
      </c>
      <c r="X1" s="50"/>
      <c r="Y1" s="50"/>
      <c r="Z1" s="50"/>
      <c r="AA1" s="50"/>
      <c r="AB1" s="50"/>
      <c r="AC1" s="50"/>
    </row>
    <row r="2" spans="1:29" x14ac:dyDescent="0.25">
      <c r="A2" t="s">
        <v>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 t="s">
        <v>1</v>
      </c>
      <c r="I2">
        <v>1</v>
      </c>
      <c r="J2">
        <v>2</v>
      </c>
      <c r="K2">
        <v>3</v>
      </c>
      <c r="L2">
        <v>4</v>
      </c>
      <c r="M2">
        <v>5</v>
      </c>
      <c r="N2">
        <v>6</v>
      </c>
      <c r="O2" t="s">
        <v>1</v>
      </c>
      <c r="P2">
        <v>1</v>
      </c>
      <c r="Q2">
        <v>2</v>
      </c>
      <c r="R2">
        <v>3</v>
      </c>
      <c r="S2">
        <v>4</v>
      </c>
      <c r="T2">
        <v>5</v>
      </c>
      <c r="U2">
        <v>6</v>
      </c>
      <c r="V2" t="s">
        <v>1</v>
      </c>
      <c r="W2">
        <v>1</v>
      </c>
      <c r="X2">
        <v>2</v>
      </c>
      <c r="Y2">
        <v>3</v>
      </c>
      <c r="Z2">
        <v>4</v>
      </c>
      <c r="AA2">
        <v>5</v>
      </c>
      <c r="AB2">
        <v>6</v>
      </c>
      <c r="AC2" t="s">
        <v>1</v>
      </c>
    </row>
    <row r="3" spans="1:29" x14ac:dyDescent="0.25">
      <c r="A3" t="s">
        <v>2</v>
      </c>
      <c r="B3" s="21">
        <f>5.3*6.4*0.759</f>
        <v>25.745280000000001</v>
      </c>
      <c r="C3" s="21">
        <f>5.1*6.8*0.759</f>
        <v>26.322120000000002</v>
      </c>
      <c r="D3" s="21">
        <f>2.8*5.9*0.759</f>
        <v>12.538679999999999</v>
      </c>
      <c r="E3" s="21">
        <f>3.3*4.5*0.759</f>
        <v>11.27115</v>
      </c>
      <c r="F3" s="21">
        <f>3.3*4.1*0.759</f>
        <v>10.269269999999999</v>
      </c>
      <c r="G3" s="21"/>
      <c r="H3" s="21">
        <f>AVERAGE(B3:G3)</f>
        <v>17.229300000000002</v>
      </c>
      <c r="I3" s="21">
        <f>6.1*6.4*0.759</f>
        <v>29.631360000000001</v>
      </c>
      <c r="J3" s="21">
        <f>4.9*8.2*0.759</f>
        <v>30.49662</v>
      </c>
      <c r="K3" s="21">
        <f>3.6*4.8*0.759</f>
        <v>13.115520000000002</v>
      </c>
      <c r="L3" s="21"/>
      <c r="M3" s="21"/>
      <c r="N3" s="21"/>
      <c r="O3" s="21">
        <f>AVERAGE(I3:N3)</f>
        <v>24.4145</v>
      </c>
      <c r="P3" s="21">
        <f>3.6*5.4*0.759</f>
        <v>14.754960000000001</v>
      </c>
      <c r="Q3" s="21">
        <f>4.1*5.2*0.759</f>
        <v>16.18188</v>
      </c>
      <c r="R3" s="21">
        <f>4.1*5.1*0.759</f>
        <v>15.870689999999998</v>
      </c>
      <c r="S3" s="21">
        <f>3.9*5.1*0.759</f>
        <v>15.096509999999999</v>
      </c>
      <c r="T3" s="21">
        <f>2.3*3.1*0.759</f>
        <v>5.41167</v>
      </c>
      <c r="U3" s="21"/>
      <c r="V3" s="21">
        <f>AVERAGE(P3:U3)</f>
        <v>13.463141999999999</v>
      </c>
      <c r="W3" s="21">
        <f>5.7*8.2*0.759</f>
        <v>35.475659999999998</v>
      </c>
      <c r="X3" s="21">
        <f>4.2*6.1*0.759</f>
        <v>19.44558</v>
      </c>
      <c r="Y3" s="21">
        <f>5.9*10.8*0.759</f>
        <v>48.363480000000003</v>
      </c>
      <c r="Z3" s="21">
        <f>4.1*5.8*0.759</f>
        <v>18.049019999999999</v>
      </c>
      <c r="AA3" s="21">
        <f>4.6*5.3*0.759</f>
        <v>18.50442</v>
      </c>
      <c r="AB3" s="21"/>
      <c r="AC3" s="21">
        <f>AVERAGE(W3:AB3)</f>
        <v>27.967631999999998</v>
      </c>
    </row>
    <row r="4" spans="1:29" x14ac:dyDescent="0.25">
      <c r="A4" t="s">
        <v>3</v>
      </c>
      <c r="B4" s="21">
        <f>9.1*16.4*0.759</f>
        <v>113.27315999999999</v>
      </c>
      <c r="C4" s="21">
        <f>8.6*13.4*0.759</f>
        <v>87.467159999999993</v>
      </c>
      <c r="D4" s="21">
        <f>8.8*12.1*0.759</f>
        <v>80.81832</v>
      </c>
      <c r="E4" s="21">
        <f>9.3*10.4*0.759</f>
        <v>73.410480000000007</v>
      </c>
      <c r="F4" s="21">
        <f>8.4*10.3*0.759</f>
        <v>65.668680000000009</v>
      </c>
      <c r="G4" s="21">
        <f>8.2*15.1*0.759</f>
        <v>93.979379999999992</v>
      </c>
      <c r="H4" s="21">
        <f t="shared" ref="H4:H7" si="0">AVERAGE(B4:G4)</f>
        <v>85.769529999999989</v>
      </c>
      <c r="I4" s="21">
        <f>10.7*14.4*0.759</f>
        <v>116.94671999999998</v>
      </c>
      <c r="J4" s="21">
        <f>5.3*7.7*0.759</f>
        <v>30.974790000000002</v>
      </c>
      <c r="K4" s="21">
        <f>6.7*14.7*0.759</f>
        <v>74.753909999999991</v>
      </c>
      <c r="L4" s="21">
        <f>10.8*13.3*0.759</f>
        <v>109.02276000000002</v>
      </c>
      <c r="M4" s="21">
        <f>10.7*14.1*0.759</f>
        <v>114.51032999999998</v>
      </c>
      <c r="N4" s="21">
        <f>9.2*13.9*0.759</f>
        <v>97.060919999999996</v>
      </c>
      <c r="O4" s="21">
        <f t="shared" ref="O4:O7" si="1">AVERAGE(I4:N4)</f>
        <v>90.544904999999986</v>
      </c>
      <c r="P4" s="21">
        <f>10.2*16.9*0.759</f>
        <v>130.83641999999998</v>
      </c>
      <c r="Q4" s="21">
        <f>10.6*15.7*0.759</f>
        <v>126.31277999999999</v>
      </c>
      <c r="R4" s="21">
        <f>11.4*15.9*0.759</f>
        <v>137.57634000000002</v>
      </c>
      <c r="S4" s="21">
        <f>9.4*13.5*0.759</f>
        <v>96.317100000000011</v>
      </c>
      <c r="T4" s="21">
        <f>9.6*14.2*0.759</f>
        <v>103.46687999999999</v>
      </c>
      <c r="U4" s="21">
        <f>9.8*11.6*0.759</f>
        <v>86.283120000000011</v>
      </c>
      <c r="V4" s="21">
        <f t="shared" ref="V4:V7" si="2">AVERAGE(P4:U4)</f>
        <v>113.46544</v>
      </c>
      <c r="W4" s="21">
        <f>3.4*5.1*0.759</f>
        <v>13.161060000000001</v>
      </c>
      <c r="X4" s="21">
        <f>5.1*7.8*0.759</f>
        <v>30.193019999999997</v>
      </c>
      <c r="Y4" s="21">
        <f>5.8*10.1*0.759</f>
        <v>44.462220000000002</v>
      </c>
      <c r="Z4" s="21">
        <f>6.8*7.2*0.759</f>
        <v>37.160640000000001</v>
      </c>
      <c r="AA4" s="21">
        <f>7.1*10.2*0.759</f>
        <v>54.966779999999993</v>
      </c>
      <c r="AB4" s="21">
        <f>6.4*11.1*0.759</f>
        <v>53.919360000000005</v>
      </c>
      <c r="AC4" s="21">
        <f t="shared" ref="AC4:AC7" si="3">AVERAGE(W4:AB4)</f>
        <v>38.977179999999997</v>
      </c>
    </row>
    <row r="5" spans="1:29" x14ac:dyDescent="0.25">
      <c r="A5" t="s">
        <v>4</v>
      </c>
      <c r="B5" s="21">
        <f>7.2*10.2*0.759</f>
        <v>55.740960000000001</v>
      </c>
      <c r="C5" s="21">
        <f>10.2*13.4*0.759</f>
        <v>103.74012</v>
      </c>
      <c r="D5" s="21">
        <f>8.4*13.9*0.759</f>
        <v>88.620840000000001</v>
      </c>
      <c r="E5" s="21">
        <f>8.2*9.6*0.759</f>
        <v>59.748479999999986</v>
      </c>
      <c r="F5" s="21">
        <f>7.3*10.6*0.759</f>
        <v>58.73142</v>
      </c>
      <c r="G5" s="21">
        <f>8.4*10.6*0.759</f>
        <v>67.581360000000004</v>
      </c>
      <c r="H5" s="21">
        <f t="shared" si="0"/>
        <v>72.360529999999997</v>
      </c>
      <c r="I5" s="21">
        <f>7.6*11.1*0.759</f>
        <v>64.029240000000001</v>
      </c>
      <c r="J5" s="21">
        <f>11.1*17.7*0.759</f>
        <v>149.12073000000001</v>
      </c>
      <c r="K5" s="21">
        <f>9.4*15.1*0.759</f>
        <v>107.73246</v>
      </c>
      <c r="L5" s="21">
        <f>9.2*13.6*0.759</f>
        <v>94.966079999999991</v>
      </c>
      <c r="M5" s="21">
        <f>7.1*10.4*0.759</f>
        <v>56.044560000000004</v>
      </c>
      <c r="N5" s="21">
        <f>7.6*11.1*0.759</f>
        <v>64.029240000000001</v>
      </c>
      <c r="O5" s="21">
        <f t="shared" si="1"/>
        <v>89.320384999999987</v>
      </c>
      <c r="P5" s="21">
        <f>10.1*14.8*0.759</f>
        <v>113.45532</v>
      </c>
      <c r="Q5" s="21">
        <f>10.3*13.4*0.759</f>
        <v>104.75718000000001</v>
      </c>
      <c r="R5" s="21">
        <f>10.9*17.6*0.759</f>
        <v>145.60656000000003</v>
      </c>
      <c r="S5" s="21">
        <f>11.6*13.8*0.759</f>
        <v>121.50072000000002</v>
      </c>
      <c r="T5" s="21">
        <f>10.1*14.4*0.759</f>
        <v>110.38896</v>
      </c>
      <c r="U5" s="21">
        <f>9.6*11.1*0.759</f>
        <v>80.879039999999989</v>
      </c>
      <c r="V5" s="21">
        <f t="shared" si="2"/>
        <v>112.76463000000001</v>
      </c>
      <c r="W5" s="21">
        <f>9.6*13.4*0.759</f>
        <v>97.637759999999986</v>
      </c>
      <c r="X5" s="21">
        <f>7.6*10.1*0.759</f>
        <v>58.260839999999995</v>
      </c>
      <c r="Y5" s="21">
        <f>8.6*14.6*0.759</f>
        <v>95.300039999999996</v>
      </c>
      <c r="Z5" s="21">
        <f>6.9*8.8*0.759</f>
        <v>46.086480000000002</v>
      </c>
      <c r="AA5" s="21">
        <f>6.1*8.7*0.759</f>
        <v>40.280129999999993</v>
      </c>
      <c r="AB5" s="21">
        <f>8.6*10.4*0.759</f>
        <v>67.884959999999992</v>
      </c>
      <c r="AC5" s="21">
        <f t="shared" si="3"/>
        <v>67.575035</v>
      </c>
    </row>
    <row r="6" spans="1:29" x14ac:dyDescent="0.25">
      <c r="A6" t="s">
        <v>5</v>
      </c>
      <c r="B6" s="21">
        <f>6.4*8.4*0.759</f>
        <v>40.803840000000001</v>
      </c>
      <c r="C6" s="21">
        <f>4.4*6.1*0.759</f>
        <v>20.371559999999999</v>
      </c>
      <c r="D6" s="21">
        <f>5.2*8.7*0.759</f>
        <v>34.337159999999997</v>
      </c>
      <c r="E6" s="21">
        <f>7.9*10.1*0.759</f>
        <v>60.560610000000004</v>
      </c>
      <c r="F6" s="21">
        <f>6.6*10.7*0.759</f>
        <v>53.600579999999994</v>
      </c>
      <c r="G6" s="21">
        <f>6.2*10.2*0.759</f>
        <v>47.999159999999996</v>
      </c>
      <c r="H6" s="21">
        <f t="shared" si="0"/>
        <v>42.945484999999998</v>
      </c>
      <c r="I6" s="21">
        <f>5.1*7.1*0.759</f>
        <v>27.483389999999996</v>
      </c>
      <c r="J6" s="21">
        <f>7.4*8.2*0.759</f>
        <v>46.05612</v>
      </c>
      <c r="K6" s="21">
        <f>7.2*9.9*0.759</f>
        <v>54.101520000000001</v>
      </c>
      <c r="L6" s="21">
        <f>4.9*5.6*0.759</f>
        <v>20.82696</v>
      </c>
      <c r="M6" s="21">
        <f>8.4*9.1*0.759</f>
        <v>58.017960000000002</v>
      </c>
      <c r="N6" s="21">
        <f>4.2*7.2*0.759</f>
        <v>22.952160000000003</v>
      </c>
      <c r="O6" s="21">
        <f t="shared" si="1"/>
        <v>38.239685000000001</v>
      </c>
      <c r="P6" s="21">
        <f>6.7*12.1*0.759</f>
        <v>61.532129999999995</v>
      </c>
      <c r="Q6" s="21">
        <f>5.6*8.9*0.759</f>
        <v>37.828559999999996</v>
      </c>
      <c r="R6" s="21">
        <f>10.9*14.6*0.759</f>
        <v>120.78726000000002</v>
      </c>
      <c r="S6" s="21">
        <f>6.4*8.4*0.759</f>
        <v>40.803840000000001</v>
      </c>
      <c r="T6" s="21">
        <f>8.6*10.9*0.759</f>
        <v>71.148659999999992</v>
      </c>
      <c r="U6" s="21">
        <f>9.7*13.1*0.759</f>
        <v>96.446129999999997</v>
      </c>
      <c r="V6" s="21">
        <f t="shared" si="2"/>
        <v>71.424430000000001</v>
      </c>
      <c r="W6" s="21">
        <f>3.9*7.7*0.759</f>
        <v>22.792770000000001</v>
      </c>
      <c r="X6" s="21">
        <f>3.7*5.4*0.759</f>
        <v>15.164820000000002</v>
      </c>
      <c r="Y6" s="21">
        <f>4.2*7.8*0.759</f>
        <v>24.864839999999997</v>
      </c>
      <c r="Z6" s="21">
        <f>9.3*11.4*0.759</f>
        <v>80.469180000000009</v>
      </c>
      <c r="AA6" s="21">
        <f>6.7*8.4*0.759</f>
        <v>42.716520000000003</v>
      </c>
      <c r="AB6" s="21">
        <f>4.1*5.9*0.759</f>
        <v>18.360209999999999</v>
      </c>
      <c r="AC6" s="21">
        <f t="shared" si="3"/>
        <v>34.061389999999996</v>
      </c>
    </row>
    <row r="7" spans="1:29" x14ac:dyDescent="0.25">
      <c r="A7" t="s">
        <v>6</v>
      </c>
      <c r="B7" s="21">
        <f>3.6*5.1*0.759</f>
        <v>13.93524</v>
      </c>
      <c r="C7" s="21">
        <f>7.2*10.3*0.759</f>
        <v>56.287440000000011</v>
      </c>
      <c r="D7" s="21">
        <f>7.6*9.6*0.759</f>
        <v>55.376639999999995</v>
      </c>
      <c r="E7" s="21">
        <f>5.6*6.4*0.759</f>
        <v>27.202559999999998</v>
      </c>
      <c r="F7" s="21">
        <f>4.1*5.4*0.759</f>
        <v>16.804259999999999</v>
      </c>
      <c r="G7" s="21">
        <f>5.4*7.1*0.759</f>
        <v>29.100060000000003</v>
      </c>
      <c r="H7" s="21">
        <f t="shared" si="0"/>
        <v>33.117700000000006</v>
      </c>
      <c r="I7" s="21">
        <f>7.1*13.9*0.759</f>
        <v>74.905709999999999</v>
      </c>
      <c r="J7" s="21">
        <f>8.9*11.6*0.759</f>
        <v>78.359160000000003</v>
      </c>
      <c r="K7" s="21">
        <f>6.6*9.8*0.759</f>
        <v>49.092120000000008</v>
      </c>
      <c r="L7" s="21">
        <f>7.1*10.9*0.759</f>
        <v>58.73901</v>
      </c>
      <c r="M7" s="21">
        <f>7.8*10.9*0.759</f>
        <v>64.530180000000001</v>
      </c>
      <c r="N7" s="21">
        <f>9.1*12.8*0.759</f>
        <v>88.408320000000003</v>
      </c>
      <c r="O7" s="21">
        <f t="shared" si="1"/>
        <v>69.005749999999992</v>
      </c>
      <c r="P7" s="21">
        <f>9.1*10.6*0.759</f>
        <v>73.213139999999996</v>
      </c>
      <c r="Q7" s="21">
        <f>7.3*8.1*0.759</f>
        <v>44.879669999999997</v>
      </c>
      <c r="R7" s="21">
        <f>10.1*13.3*0.759</f>
        <v>101.95647000000001</v>
      </c>
      <c r="S7" s="21">
        <f>8.6*11.9*0.759</f>
        <v>77.676060000000007</v>
      </c>
      <c r="T7" s="21">
        <f>7.6*9.7*0.759</f>
        <v>55.953479999999992</v>
      </c>
      <c r="U7" s="21">
        <f>6.7*9.4*0.759</f>
        <v>47.801820000000006</v>
      </c>
      <c r="V7" s="21">
        <f t="shared" si="2"/>
        <v>66.913440000000008</v>
      </c>
      <c r="W7" s="21">
        <f>6.1*8.9*0.759</f>
        <v>41.206110000000002</v>
      </c>
      <c r="X7" s="21">
        <f>3.1*5.9*0.759</f>
        <v>13.882110000000003</v>
      </c>
      <c r="Y7" s="21">
        <f>4.2*5.2*0.759</f>
        <v>16.576560000000004</v>
      </c>
      <c r="Z7" s="21">
        <f>3.4*4.8*0.759</f>
        <v>12.38688</v>
      </c>
      <c r="AA7" s="21">
        <f>5.6*8.7*0.759</f>
        <v>36.978479999999998</v>
      </c>
      <c r="AB7" s="21">
        <f>4.3*5.6*0.759</f>
        <v>18.276719999999997</v>
      </c>
      <c r="AC7" s="21">
        <f t="shared" si="3"/>
        <v>23.217810000000004</v>
      </c>
    </row>
    <row r="8" spans="1:29" x14ac:dyDescent="0.25">
      <c r="A8" s="1"/>
      <c r="B8" s="1"/>
      <c r="C8" s="1"/>
      <c r="D8" s="1"/>
      <c r="E8" s="1"/>
      <c r="F8" s="1"/>
      <c r="G8" s="2"/>
      <c r="I8" s="3"/>
      <c r="J8" s="3"/>
      <c r="K8" s="3"/>
      <c r="L8" s="3"/>
      <c r="M8" s="3"/>
      <c r="N8" s="3"/>
    </row>
    <row r="9" spans="1:29" ht="15" customHeight="1" x14ac:dyDescent="0.25">
      <c r="A9" s="51" t="s">
        <v>7</v>
      </c>
      <c r="B9" s="52" t="s">
        <v>8</v>
      </c>
      <c r="C9" s="53"/>
      <c r="D9" s="53"/>
      <c r="E9" s="54"/>
      <c r="F9" s="55" t="s">
        <v>9</v>
      </c>
      <c r="G9" s="4"/>
      <c r="I9" s="5" t="s">
        <v>10</v>
      </c>
      <c r="J9" s="6">
        <v>4</v>
      </c>
    </row>
    <row r="10" spans="1:29" x14ac:dyDescent="0.25">
      <c r="A10" s="51"/>
      <c r="B10" s="6" t="s">
        <v>11</v>
      </c>
      <c r="C10" s="6" t="s">
        <v>12</v>
      </c>
      <c r="D10" s="6" t="s">
        <v>13</v>
      </c>
      <c r="E10" s="6" t="s">
        <v>14</v>
      </c>
      <c r="F10" s="56"/>
      <c r="G10" s="7" t="s">
        <v>1</v>
      </c>
      <c r="I10" s="8" t="s">
        <v>15</v>
      </c>
      <c r="J10" s="6">
        <v>5</v>
      </c>
      <c r="M10" s="3"/>
      <c r="N10" s="3"/>
    </row>
    <row r="11" spans="1:29" x14ac:dyDescent="0.25">
      <c r="A11" s="6" t="s">
        <v>2</v>
      </c>
      <c r="B11" s="46">
        <f>AVERAGE(B3:G3)</f>
        <v>17.229300000000002</v>
      </c>
      <c r="C11" s="46">
        <f>AVERAGE(I3:N3)</f>
        <v>24.4145</v>
      </c>
      <c r="D11" s="46">
        <f>AVERAGE(P3:U3)</f>
        <v>13.463141999999999</v>
      </c>
      <c r="E11" s="46">
        <f>AVERAGE(W3:AB3)</f>
        <v>27.967631999999998</v>
      </c>
      <c r="F11" s="46">
        <f>SUM(B11:E11)</f>
        <v>83.074573999999998</v>
      </c>
      <c r="G11" s="46">
        <f t="shared" ref="G11:G15" si="4">AVERAGE(B11:E11)</f>
        <v>20.7686435</v>
      </c>
      <c r="H11" s="27"/>
      <c r="I11" s="10" t="s">
        <v>16</v>
      </c>
      <c r="J11" s="11">
        <f>F17^2/(J9*J10)</f>
        <v>64159.288423142702</v>
      </c>
      <c r="K11" s="27"/>
      <c r="L11" s="27"/>
      <c r="M11" s="3"/>
      <c r="N11" s="3"/>
    </row>
    <row r="12" spans="1:29" x14ac:dyDescent="0.25">
      <c r="A12" s="6" t="s">
        <v>3</v>
      </c>
      <c r="B12" s="46">
        <f t="shared" ref="B12:B15" si="5">AVERAGE(B4:G4)</f>
        <v>85.769529999999989</v>
      </c>
      <c r="C12" s="46">
        <f t="shared" ref="C12:C15" si="6">AVERAGE(I4:N4)</f>
        <v>90.544904999999986</v>
      </c>
      <c r="D12" s="46">
        <f t="shared" ref="D12:D15" si="7">AVERAGE(P4:U4)</f>
        <v>113.46544</v>
      </c>
      <c r="E12" s="46">
        <f>AVERAGE(W4:AB4)</f>
        <v>38.977179999999997</v>
      </c>
      <c r="F12" s="46">
        <f t="shared" ref="F12:F16" si="8">SUM(B12:E12)</f>
        <v>328.75705499999992</v>
      </c>
      <c r="G12" s="46">
        <f t="shared" si="4"/>
        <v>82.189263749999981</v>
      </c>
      <c r="H12" s="13"/>
      <c r="N12" s="14"/>
    </row>
    <row r="13" spans="1:29" x14ac:dyDescent="0.25">
      <c r="A13" s="6" t="s">
        <v>4</v>
      </c>
      <c r="B13" s="46">
        <f t="shared" si="5"/>
        <v>72.360529999999997</v>
      </c>
      <c r="C13" s="46">
        <f t="shared" si="6"/>
        <v>89.320384999999987</v>
      </c>
      <c r="D13" s="46">
        <f t="shared" si="7"/>
        <v>112.76463000000001</v>
      </c>
      <c r="E13" s="46">
        <f>AVERAGE(W5:AB5)</f>
        <v>67.575035</v>
      </c>
      <c r="F13" s="46">
        <f t="shared" si="8"/>
        <v>342.02058</v>
      </c>
      <c r="G13" s="46">
        <f t="shared" si="4"/>
        <v>85.505144999999999</v>
      </c>
      <c r="H13" s="13"/>
    </row>
    <row r="14" spans="1:29" x14ac:dyDescent="0.25">
      <c r="A14" s="6" t="s">
        <v>5</v>
      </c>
      <c r="B14" s="46">
        <f t="shared" si="5"/>
        <v>42.945484999999998</v>
      </c>
      <c r="C14" s="46">
        <f t="shared" si="6"/>
        <v>38.239685000000001</v>
      </c>
      <c r="D14" s="46">
        <f t="shared" si="7"/>
        <v>71.424430000000001</v>
      </c>
      <c r="E14" s="46">
        <f>AVERAGE(W6:AB6)</f>
        <v>34.061389999999996</v>
      </c>
      <c r="F14" s="46">
        <f t="shared" si="8"/>
        <v>186.67098999999999</v>
      </c>
      <c r="G14" s="46">
        <f t="shared" si="4"/>
        <v>46.667747499999997</v>
      </c>
      <c r="H14" s="13"/>
      <c r="I14" s="43" t="s">
        <v>17</v>
      </c>
      <c r="J14" s="6" t="s">
        <v>18</v>
      </c>
      <c r="K14" s="6" t="s">
        <v>19</v>
      </c>
      <c r="L14" s="6" t="s">
        <v>20</v>
      </c>
      <c r="M14" s="6" t="s">
        <v>21</v>
      </c>
      <c r="N14" s="6" t="s">
        <v>22</v>
      </c>
      <c r="O14" s="11" t="s">
        <v>23</v>
      </c>
      <c r="P14" s="6" t="s">
        <v>24</v>
      </c>
    </row>
    <row r="15" spans="1:29" x14ac:dyDescent="0.25">
      <c r="A15" s="6" t="s">
        <v>6</v>
      </c>
      <c r="B15" s="46">
        <f t="shared" si="5"/>
        <v>33.117700000000006</v>
      </c>
      <c r="C15" s="46">
        <f t="shared" si="6"/>
        <v>69.005749999999992</v>
      </c>
      <c r="D15" s="46">
        <f t="shared" si="7"/>
        <v>66.913440000000008</v>
      </c>
      <c r="E15" s="46">
        <f>AVERAGE(W7:AB7)</f>
        <v>23.217810000000004</v>
      </c>
      <c r="F15" s="46">
        <f t="shared" si="8"/>
        <v>192.25470000000001</v>
      </c>
      <c r="G15" s="46">
        <f t="shared" si="4"/>
        <v>48.063675000000003</v>
      </c>
      <c r="H15" s="13"/>
      <c r="I15" s="10" t="s">
        <v>25</v>
      </c>
      <c r="J15" s="6">
        <f>J9-1</f>
        <v>3</v>
      </c>
      <c r="K15" s="13">
        <f>SUMSQ(B16:E16)/(J10)-J11</f>
        <v>3831.8386436126311</v>
      </c>
      <c r="L15" s="16">
        <f>K15/J15</f>
        <v>1277.279547870877</v>
      </c>
      <c r="M15" s="16">
        <f>L15/L17</f>
        <v>5.1598837101112798</v>
      </c>
      <c r="N15" s="11" t="str">
        <f>IF(M15&lt;O15,"tn",IF(M15&lt;P15,"*","**"))</f>
        <v>*</v>
      </c>
      <c r="O15" s="16">
        <f>FINV(0.05,J15,J17)</f>
        <v>3.4902948194976045</v>
      </c>
      <c r="P15" s="16">
        <f>FINV(0.01,J15,J17)</f>
        <v>5.9525446815458682</v>
      </c>
    </row>
    <row r="16" spans="1:29" x14ac:dyDescent="0.25">
      <c r="A16" s="6" t="s">
        <v>26</v>
      </c>
      <c r="B16" s="11">
        <f>SUM(B11:B15)</f>
        <v>251.42254499999999</v>
      </c>
      <c r="C16" s="11">
        <f>SUM(C11:C15)</f>
        <v>311.52522499999998</v>
      </c>
      <c r="D16" s="11">
        <f>SUM(D11:D15)</f>
        <v>378.03108200000008</v>
      </c>
      <c r="E16" s="11">
        <f>SUM(E11:E15)</f>
        <v>191.799047</v>
      </c>
      <c r="F16" s="46">
        <f t="shared" si="8"/>
        <v>1132.7778990000002</v>
      </c>
      <c r="G16" s="46"/>
      <c r="H16" s="13"/>
      <c r="I16" s="10" t="s">
        <v>27</v>
      </c>
      <c r="J16" s="6">
        <f>J10-1</f>
        <v>4</v>
      </c>
      <c r="K16" s="16">
        <f>SUMSQ(F11:F15)/J9-J11</f>
        <v>11782.859422047535</v>
      </c>
      <c r="L16" s="16">
        <f t="shared" ref="L16:L17" si="9">K16/J16</f>
        <v>2945.7148555118838</v>
      </c>
      <c r="M16" s="16">
        <f>L16/L17</f>
        <v>11.899936958142797</v>
      </c>
      <c r="N16" s="11" t="str">
        <f t="shared" ref="N16" si="10">IF(M16&lt;O16,"tn",IF(M16&lt;P16,"*","**"))</f>
        <v>**</v>
      </c>
      <c r="O16" s="16">
        <f>FINV(0.05,J16,J17)</f>
        <v>3.2591667269012499</v>
      </c>
      <c r="P16" s="16">
        <f>FINV(0.01,J16,J17)</f>
        <v>5.4119514344731394</v>
      </c>
    </row>
    <row r="17" spans="1:19" x14ac:dyDescent="0.25">
      <c r="A17" s="6" t="s">
        <v>28</v>
      </c>
      <c r="B17" s="47"/>
      <c r="C17" s="47"/>
      <c r="D17" s="47"/>
      <c r="E17" s="47"/>
      <c r="F17" s="11">
        <f>SUM(B11:E15)</f>
        <v>1132.7778989999999</v>
      </c>
      <c r="G17" s="14"/>
      <c r="H17" s="13"/>
      <c r="I17" s="10" t="s">
        <v>29</v>
      </c>
      <c r="J17" s="6">
        <f>(J9-1)*(J10-1)</f>
        <v>12</v>
      </c>
      <c r="K17" s="16">
        <f>K18-K15-K16</f>
        <v>2970.4844984035444</v>
      </c>
      <c r="L17" s="16">
        <f t="shared" si="9"/>
        <v>247.54037486696203</v>
      </c>
      <c r="M17" s="17"/>
      <c r="N17" s="18"/>
      <c r="O17" s="19"/>
      <c r="P17" s="19"/>
    </row>
    <row r="18" spans="1:19" x14ac:dyDescent="0.25">
      <c r="A18" s="6" t="s">
        <v>30</v>
      </c>
      <c r="B18" s="48"/>
      <c r="C18" s="48"/>
      <c r="D18" s="48"/>
      <c r="E18" s="48"/>
      <c r="F18" s="11">
        <f>AVERAGE(B11:E15)</f>
        <v>56.638894949999994</v>
      </c>
      <c r="G18" s="14"/>
      <c r="H18" s="13"/>
      <c r="I18" s="10" t="s">
        <v>31</v>
      </c>
      <c r="J18" s="6">
        <f>J9*J10-1</f>
        <v>19</v>
      </c>
      <c r="K18" s="16">
        <f>SUMSQ(B11:E15)-J11</f>
        <v>18585.182564063711</v>
      </c>
      <c r="L18" s="20"/>
      <c r="M18" s="17"/>
      <c r="N18" s="18"/>
      <c r="O18" s="17"/>
      <c r="P18" s="17"/>
    </row>
    <row r="19" spans="1:19" x14ac:dyDescent="0.25">
      <c r="H19" s="13"/>
      <c r="J19" s="14"/>
      <c r="K19" s="14"/>
      <c r="L19" s="14"/>
      <c r="M19" s="14"/>
      <c r="N19" s="21"/>
      <c r="O19" s="22"/>
      <c r="P19" s="22"/>
    </row>
    <row r="20" spans="1:19" x14ac:dyDescent="0.25">
      <c r="H20" s="59"/>
      <c r="I20" s="24"/>
      <c r="J20" s="25"/>
      <c r="K20" s="25"/>
      <c r="L20" s="25"/>
      <c r="M20" s="21"/>
      <c r="N20" s="13"/>
      <c r="O20" s="41"/>
      <c r="P20" s="5" t="s">
        <v>27</v>
      </c>
      <c r="Q20" s="5" t="s">
        <v>34</v>
      </c>
      <c r="R20" s="5" t="s">
        <v>33</v>
      </c>
    </row>
    <row r="21" spans="1:19" x14ac:dyDescent="0.25">
      <c r="A21" s="34"/>
      <c r="H21" s="59"/>
      <c r="I21" s="25"/>
      <c r="J21" s="28"/>
      <c r="K21" s="31"/>
      <c r="L21" s="25"/>
      <c r="M21" s="21"/>
      <c r="N21" s="13"/>
      <c r="P21" s="6" t="s">
        <v>2</v>
      </c>
      <c r="Q21" s="42">
        <f>G11</f>
        <v>20.7686435</v>
      </c>
      <c r="R21" s="5" t="s">
        <v>32</v>
      </c>
      <c r="S21" s="21"/>
    </row>
    <row r="22" spans="1:19" x14ac:dyDescent="0.25">
      <c r="A22" s="57"/>
      <c r="B22" s="57"/>
      <c r="C22" s="57"/>
      <c r="D22" s="57"/>
      <c r="E22" s="44"/>
      <c r="F22" s="36"/>
      <c r="H22" s="25"/>
      <c r="I22" s="25"/>
      <c r="J22" s="28"/>
      <c r="K22" s="31"/>
      <c r="L22" s="25"/>
      <c r="M22" s="21"/>
      <c r="P22" s="6" t="s">
        <v>3</v>
      </c>
      <c r="Q22" s="42">
        <f t="shared" ref="Q22:Q25" si="11">G12</f>
        <v>82.189263749999981</v>
      </c>
      <c r="R22" s="5" t="s">
        <v>42</v>
      </c>
    </row>
    <row r="23" spans="1:19" x14ac:dyDescent="0.25">
      <c r="A23" s="36"/>
      <c r="B23" s="36"/>
      <c r="C23" s="36"/>
      <c r="D23" s="36"/>
      <c r="E23" s="36"/>
      <c r="F23" s="36"/>
      <c r="H23" s="25"/>
      <c r="I23" s="28"/>
      <c r="J23" s="28"/>
      <c r="K23" s="31"/>
      <c r="L23" s="25"/>
      <c r="M23" s="23"/>
      <c r="O23" s="49"/>
      <c r="P23" s="6" t="s">
        <v>4</v>
      </c>
      <c r="Q23" s="42">
        <f t="shared" si="11"/>
        <v>85.505144999999999</v>
      </c>
      <c r="R23" s="5" t="s">
        <v>36</v>
      </c>
    </row>
    <row r="24" spans="1:19" x14ac:dyDescent="0.25">
      <c r="A24" s="58"/>
      <c r="B24" s="36"/>
      <c r="C24" s="36"/>
      <c r="D24" s="36"/>
      <c r="E24" s="36"/>
      <c r="F24" s="36"/>
      <c r="H24" s="25"/>
      <c r="I24" s="28"/>
      <c r="J24" s="28"/>
      <c r="K24" s="31"/>
      <c r="L24" s="25"/>
      <c r="M24" s="23"/>
      <c r="O24" s="49"/>
      <c r="P24" s="6" t="s">
        <v>5</v>
      </c>
      <c r="Q24" s="42">
        <f t="shared" si="11"/>
        <v>46.667747499999997</v>
      </c>
      <c r="R24" s="5" t="s">
        <v>32</v>
      </c>
      <c r="S24" s="21"/>
    </row>
    <row r="25" spans="1:19" x14ac:dyDescent="0.25">
      <c r="A25" s="58"/>
      <c r="B25" s="36"/>
      <c r="C25" s="36"/>
      <c r="D25" s="36"/>
      <c r="E25" s="45"/>
      <c r="F25" s="36"/>
      <c r="H25" s="32"/>
      <c r="I25" s="28"/>
      <c r="J25" s="28"/>
      <c r="K25" s="31"/>
      <c r="L25" s="25"/>
      <c r="M25" s="23"/>
      <c r="N25" s="23"/>
      <c r="O25" s="49"/>
      <c r="P25" s="6" t="s">
        <v>6</v>
      </c>
      <c r="Q25" s="42">
        <f t="shared" si="11"/>
        <v>48.063675000000003</v>
      </c>
      <c r="R25" s="5" t="s">
        <v>43</v>
      </c>
      <c r="S25" s="21"/>
    </row>
    <row r="26" spans="1:19" x14ac:dyDescent="0.25">
      <c r="A26" s="44"/>
      <c r="B26" s="44"/>
      <c r="C26" s="38"/>
      <c r="D26" s="36"/>
      <c r="E26" s="39"/>
      <c r="F26" s="36"/>
      <c r="H26" s="32"/>
      <c r="I26" s="28"/>
      <c r="J26" s="29"/>
      <c r="K26" s="26"/>
      <c r="L26" s="29"/>
      <c r="M26" s="23"/>
      <c r="N26" s="23" t="s">
        <v>35</v>
      </c>
      <c r="O26" s="49">
        <v>4.51</v>
      </c>
      <c r="P26" s="9" t="s">
        <v>44</v>
      </c>
      <c r="Q26" s="11">
        <f>O26*(L17/4)^0.5</f>
        <v>35.478852781732861</v>
      </c>
      <c r="R26" s="9"/>
    </row>
    <row r="27" spans="1:19" x14ac:dyDescent="0.25">
      <c r="A27" s="44"/>
      <c r="B27" s="44"/>
      <c r="C27" s="38"/>
      <c r="D27" s="36"/>
      <c r="E27" s="39"/>
      <c r="F27" s="36"/>
      <c r="H27" s="23"/>
      <c r="I27" s="28"/>
      <c r="J27" s="29"/>
      <c r="K27" s="28"/>
      <c r="L27" s="29"/>
      <c r="M27" s="32"/>
      <c r="N27" s="25"/>
      <c r="O27" s="25"/>
      <c r="P27" s="25"/>
      <c r="Q27" s="25"/>
      <c r="R27" s="25"/>
    </row>
    <row r="28" spans="1:19" x14ac:dyDescent="0.25">
      <c r="A28" s="44"/>
      <c r="B28" s="44"/>
      <c r="C28" s="38"/>
      <c r="D28" s="36"/>
      <c r="E28" s="39"/>
      <c r="F28" s="36"/>
      <c r="I28" s="28"/>
      <c r="J28" s="29"/>
      <c r="K28" s="28"/>
      <c r="L28" s="29"/>
      <c r="M28" s="25"/>
      <c r="N28" s="25"/>
    </row>
    <row r="29" spans="1:19" x14ac:dyDescent="0.25">
      <c r="A29" s="36"/>
      <c r="B29" s="44"/>
      <c r="C29" s="38"/>
      <c r="D29" s="36"/>
      <c r="E29" s="36"/>
      <c r="F29" s="36"/>
    </row>
    <row r="30" spans="1:19" x14ac:dyDescent="0.25">
      <c r="A30" s="36"/>
      <c r="B30" s="44"/>
      <c r="C30" s="38"/>
      <c r="D30" s="36"/>
      <c r="E30" s="36"/>
      <c r="F30" s="36"/>
    </row>
    <row r="31" spans="1:19" x14ac:dyDescent="0.25">
      <c r="A31" s="36"/>
      <c r="B31" s="44"/>
      <c r="C31" s="38"/>
      <c r="D31" s="36"/>
      <c r="E31" s="36"/>
      <c r="F31" s="36"/>
    </row>
    <row r="32" spans="1:19" x14ac:dyDescent="0.25">
      <c r="A32" s="36"/>
      <c r="B32" s="36"/>
      <c r="C32" s="36"/>
      <c r="D32" s="36"/>
      <c r="E32" s="36"/>
      <c r="F32" s="36"/>
    </row>
  </sheetData>
  <mergeCells count="9">
    <mergeCell ref="A24:A25"/>
    <mergeCell ref="B1:H1"/>
    <mergeCell ref="I1:O1"/>
    <mergeCell ref="P1:V1"/>
    <mergeCell ref="W1:AC1"/>
    <mergeCell ref="A9:A10"/>
    <mergeCell ref="B9:E9"/>
    <mergeCell ref="F9:F10"/>
    <mergeCell ref="A22:D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15ABD-E041-463B-818D-623772394FB2}">
  <dimension ref="A1:AC32"/>
  <sheetViews>
    <sheetView topLeftCell="H11" workbookViewId="0">
      <selection activeCell="H20" sqref="H20:L27"/>
    </sheetView>
  </sheetViews>
  <sheetFormatPr defaultRowHeight="15" x14ac:dyDescent="0.25"/>
  <cols>
    <col min="1" max="1" width="19.42578125" customWidth="1"/>
    <col min="2" max="2" width="10.140625" customWidth="1"/>
    <col min="10" max="10" width="12.42578125" customWidth="1"/>
    <col min="11" max="11" width="14" customWidth="1"/>
    <col min="15" max="15" width="12.140625" customWidth="1"/>
    <col min="17" max="17" width="10.7109375" customWidth="1"/>
  </cols>
  <sheetData>
    <row r="1" spans="1:29" x14ac:dyDescent="0.25">
      <c r="B1" s="50" t="s">
        <v>41</v>
      </c>
      <c r="C1" s="50"/>
      <c r="D1" s="50"/>
      <c r="E1" s="50"/>
      <c r="F1" s="50"/>
      <c r="G1" s="50"/>
      <c r="H1" s="50"/>
      <c r="I1" s="50" t="s">
        <v>39</v>
      </c>
      <c r="J1" s="50"/>
      <c r="K1" s="50"/>
      <c r="L1" s="50"/>
      <c r="M1" s="50"/>
      <c r="N1" s="50"/>
      <c r="O1" s="50"/>
      <c r="P1" s="50" t="s">
        <v>38</v>
      </c>
      <c r="Q1" s="50"/>
      <c r="R1" s="50"/>
      <c r="S1" s="50"/>
      <c r="T1" s="50"/>
      <c r="U1" s="50"/>
      <c r="V1" s="50"/>
      <c r="W1" s="50" t="s">
        <v>37</v>
      </c>
      <c r="X1" s="50"/>
      <c r="Y1" s="50"/>
      <c r="Z1" s="50"/>
      <c r="AA1" s="50"/>
      <c r="AB1" s="50"/>
      <c r="AC1" s="50"/>
    </row>
    <row r="2" spans="1:29" x14ac:dyDescent="0.25">
      <c r="A2" t="s">
        <v>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 t="s">
        <v>1</v>
      </c>
      <c r="I2">
        <v>1</v>
      </c>
      <c r="J2">
        <v>2</v>
      </c>
      <c r="K2">
        <v>3</v>
      </c>
      <c r="L2">
        <v>4</v>
      </c>
      <c r="M2">
        <v>5</v>
      </c>
      <c r="N2">
        <v>6</v>
      </c>
      <c r="O2" t="s">
        <v>40</v>
      </c>
      <c r="P2">
        <v>1</v>
      </c>
      <c r="Q2">
        <v>2</v>
      </c>
      <c r="R2">
        <v>3</v>
      </c>
      <c r="S2">
        <v>4</v>
      </c>
      <c r="T2">
        <v>5</v>
      </c>
      <c r="U2">
        <v>6</v>
      </c>
      <c r="V2" t="s">
        <v>1</v>
      </c>
      <c r="W2">
        <v>1</v>
      </c>
      <c r="X2">
        <v>2</v>
      </c>
      <c r="Y2">
        <v>3</v>
      </c>
      <c r="Z2">
        <v>4</v>
      </c>
      <c r="AA2">
        <v>5</v>
      </c>
      <c r="AB2">
        <v>6</v>
      </c>
      <c r="AC2" t="s">
        <v>1</v>
      </c>
    </row>
    <row r="3" spans="1:29" x14ac:dyDescent="0.25">
      <c r="A3" t="s">
        <v>2</v>
      </c>
      <c r="B3" s="21">
        <f>6.3*8.7*0.759</f>
        <v>41.600789999999996</v>
      </c>
      <c r="C3" s="21">
        <f>5.7*6.9*0.759</f>
        <v>29.851470000000006</v>
      </c>
      <c r="D3" s="21">
        <f>3.1*6.8*0.759</f>
        <v>15.999719999999998</v>
      </c>
      <c r="E3" s="21">
        <f>3.1*6.8*0.759</f>
        <v>15.999719999999998</v>
      </c>
      <c r="F3" s="21">
        <f>3.7*4.8*0.759</f>
        <v>13.479840000000001</v>
      </c>
      <c r="G3" s="21"/>
      <c r="H3" s="21">
        <f>AVERAGE(B3:G3)</f>
        <v>23.386307999999996</v>
      </c>
      <c r="I3" s="21">
        <f>3.3*6.1*0.759</f>
        <v>15.27867</v>
      </c>
      <c r="J3" s="21">
        <f>7.2*12.4*0.759</f>
        <v>67.76352</v>
      </c>
      <c r="K3" s="21">
        <f>5.6*8.8*0.759</f>
        <v>37.40352</v>
      </c>
      <c r="L3" s="21"/>
      <c r="M3" s="21"/>
      <c r="N3" s="21"/>
      <c r="O3" s="21">
        <f>AVERAGE(I3:N3)</f>
        <v>40.148569999999999</v>
      </c>
      <c r="P3" s="21">
        <f>5.2*7.8*0.759</f>
        <v>30.785040000000002</v>
      </c>
      <c r="Q3" s="21">
        <f>2.6*3.9*0.759</f>
        <v>7.6962600000000005</v>
      </c>
      <c r="R3" s="21"/>
      <c r="S3" s="21"/>
      <c r="T3" s="21"/>
      <c r="U3" s="21"/>
      <c r="V3" s="21">
        <f>AVERAGE(P3:U3)</f>
        <v>19.240650000000002</v>
      </c>
      <c r="W3" s="21">
        <f>5.8*7.4*0.759</f>
        <v>32.576280000000004</v>
      </c>
      <c r="X3" s="21">
        <f>3.9*5.1*0.759</f>
        <v>15.096509999999999</v>
      </c>
      <c r="Y3" s="21">
        <f>5.9*10.4*0.759</f>
        <v>46.572240000000008</v>
      </c>
      <c r="Z3" s="21">
        <f>3.8*6.4*0.759</f>
        <v>18.458880000000001</v>
      </c>
      <c r="AA3" s="21">
        <f>4.1*5.6*0.759</f>
        <v>17.426639999999999</v>
      </c>
      <c r="AB3" s="21"/>
      <c r="AC3" s="21">
        <f>AVERAGE(W3:AB3)</f>
        <v>26.026109999999999</v>
      </c>
    </row>
    <row r="4" spans="1:29" x14ac:dyDescent="0.25">
      <c r="A4" t="s">
        <v>3</v>
      </c>
      <c r="B4" s="21">
        <f>8.9*14.3*0.759</f>
        <v>96.597930000000005</v>
      </c>
      <c r="C4" s="21">
        <f>10.6*14.4*0.759</f>
        <v>115.85375999999999</v>
      </c>
      <c r="D4" s="21">
        <f>9.4*16.4*0.759</f>
        <v>117.00744</v>
      </c>
      <c r="E4" s="21">
        <f>7.7*11.3*0.759</f>
        <v>66.040590000000009</v>
      </c>
      <c r="F4" s="21">
        <f>9.6*12.3*0.759</f>
        <v>89.622720000000001</v>
      </c>
      <c r="G4" s="21">
        <f>9.6*12.4*0.759</f>
        <v>90.35136</v>
      </c>
      <c r="H4" s="21">
        <f t="shared" ref="H4:H7" si="0">AVERAGE(B4:G4)</f>
        <v>95.912300000000002</v>
      </c>
      <c r="I4" s="21">
        <f>8.3*11.8*0.759</f>
        <v>74.336460000000017</v>
      </c>
      <c r="J4" s="21">
        <f>12.4*18.4*0.759</f>
        <v>173.17344</v>
      </c>
      <c r="K4" s="21">
        <f>10.8*20.4*0.759</f>
        <v>167.22288</v>
      </c>
      <c r="L4" s="21">
        <f>10.7*17.3*0.759</f>
        <v>140.49849</v>
      </c>
      <c r="M4" s="21">
        <f>11.3*15.4*0.759</f>
        <v>132.08118000000002</v>
      </c>
      <c r="N4" s="21">
        <f>9.3*12.9*0.759</f>
        <v>91.057230000000004</v>
      </c>
      <c r="O4" s="21">
        <f t="shared" ref="O4:O7" si="1">AVERAGE(I4:N4)</f>
        <v>129.72828000000001</v>
      </c>
      <c r="P4" s="21">
        <f>12.9*16.3*0.759</f>
        <v>159.59493000000001</v>
      </c>
      <c r="Q4" s="21">
        <f>9.8*16.4*0.759</f>
        <v>121.98648</v>
      </c>
      <c r="R4" s="21">
        <f>10.6*17.6*0.759</f>
        <v>141.59904</v>
      </c>
      <c r="S4" s="21">
        <f>9.8*13.2*0.759</f>
        <v>98.184240000000017</v>
      </c>
      <c r="T4" s="21">
        <f>9.4*13.8*0.759</f>
        <v>98.457480000000004</v>
      </c>
      <c r="U4" s="21">
        <f>8.4*13.9*0.759</f>
        <v>88.620840000000001</v>
      </c>
      <c r="V4" s="21">
        <f t="shared" ref="V4:V7" si="2">AVERAGE(P4:U4)</f>
        <v>118.07383500000002</v>
      </c>
      <c r="W4" s="21">
        <f>5.3*8.1*0.759</f>
        <v>32.583869999999997</v>
      </c>
      <c r="X4" s="21">
        <f>7.1*12.6*0.759</f>
        <v>67.900139999999993</v>
      </c>
      <c r="Y4" s="21">
        <f>6.8*12.8*0.759</f>
        <v>66.063360000000003</v>
      </c>
      <c r="Z4" s="21">
        <f>9.2*9.6*0.759</f>
        <v>67.034880000000001</v>
      </c>
      <c r="AA4" s="21">
        <f>9.4*14.2*0.759</f>
        <v>101.31131999999999</v>
      </c>
      <c r="AB4" s="21">
        <f>8.4*11.1*0.759</f>
        <v>70.769159999999999</v>
      </c>
      <c r="AC4" s="21">
        <f t="shared" ref="AC4:AC7" si="3">AVERAGE(W4:AB4)</f>
        <v>67.610454999999988</v>
      </c>
    </row>
    <row r="5" spans="1:29" x14ac:dyDescent="0.25">
      <c r="A5" t="s">
        <v>4</v>
      </c>
      <c r="B5" s="21">
        <f>9.6*15.8*0.759</f>
        <v>115.12512000000001</v>
      </c>
      <c r="C5" s="21">
        <f>10.2*16.1*0.759</f>
        <v>124.64297999999999</v>
      </c>
      <c r="D5" s="21">
        <f>10.4*13.4*0.759</f>
        <v>105.77424000000001</v>
      </c>
      <c r="E5" s="21">
        <f>9.7*15.2*0.759</f>
        <v>111.90695999999998</v>
      </c>
      <c r="F5" s="21">
        <f>9.8*14.9*0.759</f>
        <v>110.82918000000001</v>
      </c>
      <c r="G5" s="21">
        <f>9.1*15.2*0.759</f>
        <v>104.98487999999999</v>
      </c>
      <c r="H5" s="21">
        <f t="shared" si="0"/>
        <v>112.21055999999999</v>
      </c>
      <c r="I5" s="21">
        <f>10.6*16.6*0.759</f>
        <v>133.55364</v>
      </c>
      <c r="J5" s="21">
        <f>9.1*15.4*0.759</f>
        <v>106.36626</v>
      </c>
      <c r="K5" s="21">
        <f>8.4*14.4*0.759</f>
        <v>91.808640000000011</v>
      </c>
      <c r="L5" s="21">
        <f>8.2*11.7*0.759</f>
        <v>72.818459999999988</v>
      </c>
      <c r="M5" s="21">
        <f>11.9*19.4*0.759</f>
        <v>175.22273999999999</v>
      </c>
      <c r="N5" s="21">
        <f>9.6*13.9*0.759</f>
        <v>101.28095999999999</v>
      </c>
      <c r="O5" s="21">
        <f t="shared" si="1"/>
        <v>113.50845</v>
      </c>
      <c r="P5" s="21">
        <f>10.4*14.3*0.759</f>
        <v>112.87848</v>
      </c>
      <c r="Q5" s="21">
        <f>11.3*19.3*0.759</f>
        <v>165.53031000000001</v>
      </c>
      <c r="R5" s="21">
        <f>7.7*16.6*0.759</f>
        <v>97.015380000000007</v>
      </c>
      <c r="S5" s="21">
        <f>10.2*15.4*0.759</f>
        <v>119.22371999999999</v>
      </c>
      <c r="T5" s="21">
        <f>9.4*17.6*0.759</f>
        <v>125.56896000000002</v>
      </c>
      <c r="U5" s="21">
        <f>9.4*17.1*0.759</f>
        <v>122.00166</v>
      </c>
      <c r="V5" s="21">
        <f t="shared" si="2"/>
        <v>123.703085</v>
      </c>
      <c r="W5" s="21">
        <f>12.6*17.1*0.759</f>
        <v>163.53414000000001</v>
      </c>
      <c r="X5" s="21">
        <f>8.2*12.1*0.759</f>
        <v>75.307979999999986</v>
      </c>
      <c r="Y5" s="21">
        <f>9.1*15.3*0.759</f>
        <v>105.67556999999999</v>
      </c>
      <c r="Z5" s="21">
        <f>6.8*12.6*0.759</f>
        <v>65.031120000000001</v>
      </c>
      <c r="AA5" s="21">
        <f>6.8*8.4*0.759</f>
        <v>43.354079999999996</v>
      </c>
      <c r="AB5" s="21">
        <f>8.3*11.7*0.759</f>
        <v>73.706490000000002</v>
      </c>
      <c r="AC5" s="21">
        <f t="shared" si="3"/>
        <v>87.768230000000003</v>
      </c>
    </row>
    <row r="6" spans="1:29" x14ac:dyDescent="0.25">
      <c r="A6" t="s">
        <v>5</v>
      </c>
      <c r="B6" s="21">
        <f>4.3*6.1*0.759</f>
        <v>19.908569999999997</v>
      </c>
      <c r="C6" s="21">
        <f>6.1*8.9*0.759</f>
        <v>41.206110000000002</v>
      </c>
      <c r="D6" s="21">
        <f>6.7*10.7*0.759</f>
        <v>54.412709999999997</v>
      </c>
      <c r="E6" s="21">
        <f>6.2*8.8*0.759</f>
        <v>41.411040000000007</v>
      </c>
      <c r="F6" s="21">
        <f>7.6*9.8*0.759</f>
        <v>56.530320000000003</v>
      </c>
      <c r="G6" s="21">
        <f>7.6*11.4*0.759</f>
        <v>65.75976</v>
      </c>
      <c r="H6" s="21">
        <f t="shared" si="0"/>
        <v>46.538085000000002</v>
      </c>
      <c r="I6" s="21">
        <f>7.2*13.2*0.759</f>
        <v>72.135359999999991</v>
      </c>
      <c r="J6" s="21">
        <f>6.2*8.9*0.759</f>
        <v>41.881620000000005</v>
      </c>
      <c r="K6" s="21">
        <f>5.1*6.1*0.759</f>
        <v>23.612489999999998</v>
      </c>
      <c r="L6" s="21">
        <f>8.6*9.4*0.759</f>
        <v>61.357560000000007</v>
      </c>
      <c r="M6" s="21">
        <f>4.3*6.4*0.759</f>
        <v>20.88768</v>
      </c>
      <c r="N6" s="21">
        <f>9.4*11.6*0.759</f>
        <v>82.76136000000001</v>
      </c>
      <c r="O6" s="21">
        <f t="shared" si="1"/>
        <v>50.439345000000003</v>
      </c>
      <c r="P6" s="21">
        <f>7.8*15.6*0.759</f>
        <v>92.355119999999999</v>
      </c>
      <c r="Q6" s="21">
        <f>7.4*11.8*0.759</f>
        <v>66.275880000000001</v>
      </c>
      <c r="R6" s="21">
        <f>12.6*17.4*0.759</f>
        <v>166.40315999999999</v>
      </c>
      <c r="S6" s="21">
        <f>10.9*16.9*0.759</f>
        <v>139.81538999999998</v>
      </c>
      <c r="T6" s="21">
        <f>7.9*15.2*0.759</f>
        <v>91.140720000000002</v>
      </c>
      <c r="U6" s="21">
        <f>7.8*10.1*0.759</f>
        <v>59.794020000000003</v>
      </c>
      <c r="V6" s="21">
        <f t="shared" si="2"/>
        <v>102.63071500000001</v>
      </c>
      <c r="W6" s="21">
        <f>2.7*5.3*0.759</f>
        <v>10.86129</v>
      </c>
      <c r="X6" s="21">
        <f>3.8*6.7*0.759</f>
        <v>19.32414</v>
      </c>
      <c r="Y6" s="21">
        <f>4.4*7.8*0.759</f>
        <v>26.04888</v>
      </c>
      <c r="Z6" s="21">
        <f>3.8*5.3*0.759</f>
        <v>15.286259999999999</v>
      </c>
      <c r="AA6" s="21">
        <f>9.7*14.4*0.759</f>
        <v>106.01712000000001</v>
      </c>
      <c r="AB6" s="21">
        <f>8.4*13.1*0.759</f>
        <v>83.520360000000011</v>
      </c>
      <c r="AC6" s="21">
        <f t="shared" si="3"/>
        <v>43.509674999999994</v>
      </c>
    </row>
    <row r="7" spans="1:29" x14ac:dyDescent="0.25">
      <c r="A7" t="s">
        <v>6</v>
      </c>
      <c r="B7" s="21">
        <f>6.1*8.6*0.759</f>
        <v>39.817139999999995</v>
      </c>
      <c r="C7" s="21">
        <f>8.6*12.3*0.759</f>
        <v>80.287019999999998</v>
      </c>
      <c r="D7" s="21">
        <f>8.7*15.4*0.759</f>
        <v>101.69081999999999</v>
      </c>
      <c r="E7" s="21">
        <f>6.1*7.8*0.759</f>
        <v>36.113219999999998</v>
      </c>
      <c r="F7" s="21">
        <f>6.6*8.6*0.759</f>
        <v>43.080840000000002</v>
      </c>
      <c r="G7" s="21">
        <f>3.8*7.1*0.759</f>
        <v>20.477819999999998</v>
      </c>
      <c r="H7" s="21">
        <f t="shared" si="0"/>
        <v>53.577809999999999</v>
      </c>
      <c r="I7" s="21">
        <f>9.2*17.2*0.759</f>
        <v>120.10415999999999</v>
      </c>
      <c r="J7" s="21">
        <f>10.6*15.4*0.759</f>
        <v>123.89916000000001</v>
      </c>
      <c r="K7" s="21">
        <f>9.2*11.9*0.759</f>
        <v>83.095319999999987</v>
      </c>
      <c r="L7" s="21">
        <f>7.2*12.2*0.759</f>
        <v>66.670560000000009</v>
      </c>
      <c r="M7" s="21">
        <f>9.8*18.4*0.759</f>
        <v>136.86287999999999</v>
      </c>
      <c r="N7" s="21">
        <f>9.6*13.2*0.759</f>
        <v>96.180479999999989</v>
      </c>
      <c r="O7" s="21">
        <f t="shared" si="1"/>
        <v>104.46875999999999</v>
      </c>
      <c r="P7" s="21">
        <f>10.1*14.8*0.759</f>
        <v>113.45532</v>
      </c>
      <c r="Q7" s="21">
        <f>10.2*13.5*0.759</f>
        <v>104.51429999999999</v>
      </c>
      <c r="R7" s="21">
        <f>9.1*11.3*0.759</f>
        <v>78.047970000000007</v>
      </c>
      <c r="S7" s="21">
        <f>3.7*8.2*0.759</f>
        <v>23.02806</v>
      </c>
      <c r="T7" s="21">
        <f>7.3*10.2*0.759</f>
        <v>56.515139999999995</v>
      </c>
      <c r="U7" s="21">
        <f>8.1*11.3*0.759</f>
        <v>69.471270000000004</v>
      </c>
      <c r="V7" s="21">
        <f t="shared" si="2"/>
        <v>74.172009999999986</v>
      </c>
      <c r="W7" s="21">
        <f>6.4*10.1*0.759</f>
        <v>49.06176</v>
      </c>
      <c r="X7" s="21">
        <f>4.6*6.1*0.759</f>
        <v>21.297539999999998</v>
      </c>
      <c r="Y7" s="21">
        <f>5.1*8.8*0.759</f>
        <v>34.063920000000003</v>
      </c>
      <c r="Z7" s="21">
        <f>7.8*7.7*0.759</f>
        <v>45.585540000000002</v>
      </c>
      <c r="AA7" s="21">
        <f>4.1*5.2*0.759</f>
        <v>16.18188</v>
      </c>
      <c r="AB7" s="21">
        <f>3.6*4.1*0.759</f>
        <v>11.20284</v>
      </c>
      <c r="AC7" s="21">
        <f t="shared" si="3"/>
        <v>29.565580000000001</v>
      </c>
    </row>
    <row r="8" spans="1:29" x14ac:dyDescent="0.25">
      <c r="A8" s="1"/>
      <c r="B8" s="1"/>
      <c r="C8" s="1"/>
      <c r="D8" s="1"/>
      <c r="E8" s="1"/>
      <c r="F8" s="1"/>
      <c r="G8" s="2"/>
      <c r="I8" s="3"/>
      <c r="J8" s="3"/>
      <c r="K8" s="3"/>
      <c r="L8" s="3"/>
      <c r="M8" s="3"/>
      <c r="N8" s="3"/>
    </row>
    <row r="9" spans="1:29" ht="15" customHeight="1" x14ac:dyDescent="0.25">
      <c r="A9" s="51" t="s">
        <v>7</v>
      </c>
      <c r="B9" s="52" t="s">
        <v>8</v>
      </c>
      <c r="C9" s="53"/>
      <c r="D9" s="53"/>
      <c r="E9" s="54"/>
      <c r="F9" s="55" t="s">
        <v>9</v>
      </c>
      <c r="G9" s="4"/>
      <c r="I9" s="5" t="s">
        <v>10</v>
      </c>
      <c r="J9" s="6">
        <v>4</v>
      </c>
    </row>
    <row r="10" spans="1:29" x14ac:dyDescent="0.25">
      <c r="A10" s="51"/>
      <c r="B10" s="6" t="s">
        <v>11</v>
      </c>
      <c r="C10" s="6" t="s">
        <v>12</v>
      </c>
      <c r="D10" s="6" t="s">
        <v>13</v>
      </c>
      <c r="E10" s="6" t="s">
        <v>14</v>
      </c>
      <c r="F10" s="56"/>
      <c r="G10" s="7" t="s">
        <v>1</v>
      </c>
      <c r="I10" s="8" t="s">
        <v>15</v>
      </c>
      <c r="J10" s="6">
        <v>5</v>
      </c>
      <c r="M10" s="3"/>
      <c r="N10" s="3"/>
    </row>
    <row r="11" spans="1:29" x14ac:dyDescent="0.25">
      <c r="A11" s="6" t="s">
        <v>2</v>
      </c>
      <c r="B11" s="46">
        <f>AVERAGE(B3:G3)</f>
        <v>23.386307999999996</v>
      </c>
      <c r="C11" s="46">
        <f>AVERAGE(I3:N3)</f>
        <v>40.148569999999999</v>
      </c>
      <c r="D11" s="46">
        <f>AVERAGE(P3:U3)</f>
        <v>19.240650000000002</v>
      </c>
      <c r="E11" s="46">
        <f>AVERAGE(W3:AB3)</f>
        <v>26.026109999999999</v>
      </c>
      <c r="F11" s="46">
        <f>SUM(B11:E11)</f>
        <v>108.801638</v>
      </c>
      <c r="G11" s="46">
        <f t="shared" ref="G11:G15" si="4">AVERAGE(B11:E11)</f>
        <v>27.200409499999999</v>
      </c>
      <c r="H11" s="27"/>
      <c r="I11" s="10" t="s">
        <v>16</v>
      </c>
      <c r="J11" s="11">
        <f>F17^2/(J9*J10)</f>
        <v>106904.19285455646</v>
      </c>
      <c r="K11" s="27"/>
      <c r="L11" s="27"/>
      <c r="M11" s="3"/>
      <c r="N11" s="3"/>
    </row>
    <row r="12" spans="1:29" x14ac:dyDescent="0.25">
      <c r="A12" s="6" t="s">
        <v>3</v>
      </c>
      <c r="B12" s="46">
        <f t="shared" ref="B12:B15" si="5">AVERAGE(B4:G4)</f>
        <v>95.912300000000002</v>
      </c>
      <c r="C12" s="46">
        <f t="shared" ref="C12:C15" si="6">AVERAGE(I4:N4)</f>
        <v>129.72828000000001</v>
      </c>
      <c r="D12" s="46">
        <f t="shared" ref="D12:D15" si="7">AVERAGE(P4:U4)</f>
        <v>118.07383500000002</v>
      </c>
      <c r="E12" s="46">
        <f>AVERAGE(W4:AB4)</f>
        <v>67.610454999999988</v>
      </c>
      <c r="F12" s="46">
        <f t="shared" ref="F12:F16" si="8">SUM(B12:E12)</f>
        <v>411.32487000000003</v>
      </c>
      <c r="G12" s="46">
        <f t="shared" si="4"/>
        <v>102.83121750000001</v>
      </c>
      <c r="H12" s="13"/>
      <c r="N12" s="14"/>
    </row>
    <row r="13" spans="1:29" x14ac:dyDescent="0.25">
      <c r="A13" s="6" t="s">
        <v>4</v>
      </c>
      <c r="B13" s="46">
        <f t="shared" si="5"/>
        <v>112.21055999999999</v>
      </c>
      <c r="C13" s="46">
        <f t="shared" si="6"/>
        <v>113.50845</v>
      </c>
      <c r="D13" s="46">
        <f t="shared" si="7"/>
        <v>123.703085</v>
      </c>
      <c r="E13" s="46">
        <f>AVERAGE(W5:AB5)</f>
        <v>87.768230000000003</v>
      </c>
      <c r="F13" s="46">
        <f t="shared" si="8"/>
        <v>437.19032499999997</v>
      </c>
      <c r="G13" s="46">
        <f t="shared" si="4"/>
        <v>109.29758124999999</v>
      </c>
      <c r="H13" s="13"/>
    </row>
    <row r="14" spans="1:29" x14ac:dyDescent="0.25">
      <c r="A14" s="6" t="s">
        <v>5</v>
      </c>
      <c r="B14" s="46">
        <f t="shared" si="5"/>
        <v>46.538085000000002</v>
      </c>
      <c r="C14" s="46">
        <f t="shared" si="6"/>
        <v>50.439345000000003</v>
      </c>
      <c r="D14" s="46">
        <f t="shared" si="7"/>
        <v>102.63071500000001</v>
      </c>
      <c r="E14" s="46">
        <f>AVERAGE(W6:AB6)</f>
        <v>43.509674999999994</v>
      </c>
      <c r="F14" s="46">
        <f t="shared" si="8"/>
        <v>243.11781999999999</v>
      </c>
      <c r="G14" s="46">
        <f t="shared" si="4"/>
        <v>60.779454999999999</v>
      </c>
      <c r="H14" s="13"/>
      <c r="I14" s="43" t="s">
        <v>17</v>
      </c>
      <c r="J14" s="6" t="s">
        <v>18</v>
      </c>
      <c r="K14" s="6" t="s">
        <v>19</v>
      </c>
      <c r="L14" s="6" t="s">
        <v>20</v>
      </c>
      <c r="M14" s="6" t="s">
        <v>21</v>
      </c>
      <c r="N14" s="6" t="s">
        <v>22</v>
      </c>
      <c r="O14" s="11" t="s">
        <v>23</v>
      </c>
      <c r="P14" s="6" t="s">
        <v>24</v>
      </c>
    </row>
    <row r="15" spans="1:29" x14ac:dyDescent="0.25">
      <c r="A15" s="6" t="s">
        <v>6</v>
      </c>
      <c r="B15" s="46">
        <f t="shared" si="5"/>
        <v>53.577809999999999</v>
      </c>
      <c r="C15" s="46">
        <f t="shared" si="6"/>
        <v>104.46875999999999</v>
      </c>
      <c r="D15" s="46">
        <f t="shared" si="7"/>
        <v>74.172009999999986</v>
      </c>
      <c r="E15" s="46">
        <f>AVERAGE(W7:AB7)</f>
        <v>29.565580000000001</v>
      </c>
      <c r="F15" s="46">
        <f t="shared" si="8"/>
        <v>261.78415999999999</v>
      </c>
      <c r="G15" s="46">
        <f t="shared" si="4"/>
        <v>65.446039999999996</v>
      </c>
      <c r="H15" s="13"/>
      <c r="I15" s="10" t="s">
        <v>25</v>
      </c>
      <c r="J15" s="6">
        <f>J9-1</f>
        <v>3</v>
      </c>
      <c r="K15" s="13">
        <f>SUMSQ(B16:E16)/(J10)-J11</f>
        <v>4800.4067130710464</v>
      </c>
      <c r="L15" s="16">
        <f>K15/J15</f>
        <v>1600.1355710236821</v>
      </c>
      <c r="M15" s="16">
        <f>L15/L17</f>
        <v>5.0870238779041363</v>
      </c>
      <c r="N15" s="11" t="str">
        <f>IF(M15&lt;O15,"tn",IF(M15&lt;P15,"*","**"))</f>
        <v>*</v>
      </c>
      <c r="O15" s="16">
        <f>FINV(0.05,J15,J17)</f>
        <v>3.4902948194976045</v>
      </c>
      <c r="P15" s="16">
        <f>FINV(0.01,J15,J17)</f>
        <v>5.9525446815458682</v>
      </c>
    </row>
    <row r="16" spans="1:29" x14ac:dyDescent="0.25">
      <c r="A16" s="6" t="s">
        <v>26</v>
      </c>
      <c r="B16" s="11">
        <f>SUM(B11:B15)</f>
        <v>331.62506300000001</v>
      </c>
      <c r="C16" s="11">
        <f>SUM(C11:C15)</f>
        <v>438.29340500000001</v>
      </c>
      <c r="D16" s="11">
        <f>SUM(D11:D15)</f>
        <v>437.82029500000004</v>
      </c>
      <c r="E16" s="11">
        <f>SUM(E11:E15)</f>
        <v>254.48004999999998</v>
      </c>
      <c r="F16" s="46">
        <f t="shared" si="8"/>
        <v>1462.218813</v>
      </c>
      <c r="G16" s="46"/>
      <c r="H16" s="13"/>
      <c r="I16" s="10" t="s">
        <v>27</v>
      </c>
      <c r="J16" s="6">
        <f>J10-1</f>
        <v>4</v>
      </c>
      <c r="K16" s="16">
        <f>SUMSQ(F11:F15)/J9-J11</f>
        <v>18045.443698959425</v>
      </c>
      <c r="L16" s="16">
        <f t="shared" ref="L16:L17" si="9">K16/J16</f>
        <v>4511.3609247398563</v>
      </c>
      <c r="M16" s="16">
        <f>L16/L17</f>
        <v>14.34216022790714</v>
      </c>
      <c r="N16" s="11" t="str">
        <f t="shared" ref="N16" si="10">IF(M16&lt;O16,"tn",IF(M16&lt;P16,"*","**"))</f>
        <v>**</v>
      </c>
      <c r="O16" s="16">
        <f>FINV(0.05,J16,J17)</f>
        <v>3.2591667269012499</v>
      </c>
      <c r="P16" s="16">
        <f>FINV(0.01,J16,J17)</f>
        <v>5.4119514344731394</v>
      </c>
    </row>
    <row r="17" spans="1:19" x14ac:dyDescent="0.25">
      <c r="A17" s="6" t="s">
        <v>28</v>
      </c>
      <c r="B17" s="47"/>
      <c r="C17" s="47"/>
      <c r="D17" s="47"/>
      <c r="E17" s="47"/>
      <c r="F17" s="11">
        <f>SUM(B11:E15)</f>
        <v>1462.2188130000002</v>
      </c>
      <c r="G17" s="14"/>
      <c r="H17" s="13"/>
      <c r="I17" s="10" t="s">
        <v>29</v>
      </c>
      <c r="J17" s="6">
        <f>(J9-1)*(J10-1)</f>
        <v>12</v>
      </c>
      <c r="K17" s="16">
        <f>K18-K15-K16</f>
        <v>3774.6288032355951</v>
      </c>
      <c r="L17" s="16">
        <f t="shared" si="9"/>
        <v>314.55240026963293</v>
      </c>
      <c r="M17" s="17"/>
      <c r="N17" s="18"/>
      <c r="O17" s="19"/>
      <c r="P17" s="19"/>
    </row>
    <row r="18" spans="1:19" x14ac:dyDescent="0.25">
      <c r="A18" s="6" t="s">
        <v>30</v>
      </c>
      <c r="B18" s="48"/>
      <c r="C18" s="48"/>
      <c r="D18" s="48"/>
      <c r="E18" s="48"/>
      <c r="F18" s="11">
        <f>AVERAGE(B11:E15)</f>
        <v>73.110940650000003</v>
      </c>
      <c r="G18" s="14"/>
      <c r="H18" s="13"/>
      <c r="I18" s="10" t="s">
        <v>31</v>
      </c>
      <c r="J18" s="6">
        <f>J9*J10-1</f>
        <v>19</v>
      </c>
      <c r="K18" s="16">
        <f>SUMSQ(B11:E15)-J11</f>
        <v>26620.479215266067</v>
      </c>
      <c r="L18" s="20"/>
      <c r="M18" s="17"/>
      <c r="N18" s="18"/>
      <c r="O18" s="17"/>
      <c r="P18" s="17"/>
    </row>
    <row r="19" spans="1:19" x14ac:dyDescent="0.25">
      <c r="H19" s="13"/>
      <c r="J19" s="14"/>
      <c r="K19" s="14"/>
      <c r="L19" s="14"/>
      <c r="M19" s="14"/>
      <c r="N19" s="21"/>
      <c r="O19" s="22"/>
      <c r="P19" s="22"/>
    </row>
    <row r="20" spans="1:19" x14ac:dyDescent="0.25">
      <c r="H20" s="59"/>
      <c r="I20" s="24"/>
      <c r="J20" s="25"/>
      <c r="K20" s="25"/>
      <c r="L20" s="25"/>
      <c r="M20" s="21"/>
      <c r="N20" s="13"/>
      <c r="O20" s="41"/>
      <c r="P20" s="5" t="s">
        <v>27</v>
      </c>
      <c r="Q20" s="5" t="s">
        <v>34</v>
      </c>
      <c r="R20" s="5" t="s">
        <v>33</v>
      </c>
    </row>
    <row r="21" spans="1:19" x14ac:dyDescent="0.25">
      <c r="A21" s="34"/>
      <c r="H21" s="59"/>
      <c r="I21" s="25"/>
      <c r="J21" s="28"/>
      <c r="K21" s="31"/>
      <c r="L21" s="25"/>
      <c r="M21" s="21"/>
      <c r="N21" s="13"/>
      <c r="P21" s="6" t="s">
        <v>2</v>
      </c>
      <c r="Q21" s="42">
        <f>G11</f>
        <v>27.200409499999999</v>
      </c>
      <c r="R21" s="5" t="s">
        <v>32</v>
      </c>
      <c r="S21" s="21"/>
    </row>
    <row r="22" spans="1:19" x14ac:dyDescent="0.25">
      <c r="A22" s="57"/>
      <c r="B22" s="57"/>
      <c r="C22" s="57"/>
      <c r="D22" s="57"/>
      <c r="E22" s="44"/>
      <c r="F22" s="36"/>
      <c r="H22" s="25"/>
      <c r="I22" s="25"/>
      <c r="J22" s="28"/>
      <c r="K22" s="31"/>
      <c r="L22" s="25"/>
      <c r="M22" s="21"/>
      <c r="P22" s="6" t="s">
        <v>3</v>
      </c>
      <c r="Q22" s="42">
        <f t="shared" ref="Q22:Q25" si="11">G12</f>
        <v>102.83121750000001</v>
      </c>
      <c r="R22" s="5" t="s">
        <v>42</v>
      </c>
    </row>
    <row r="23" spans="1:19" x14ac:dyDescent="0.25">
      <c r="A23" s="36"/>
      <c r="B23" s="36"/>
      <c r="C23" s="36"/>
      <c r="D23" s="36"/>
      <c r="E23" s="36"/>
      <c r="F23" s="36"/>
      <c r="H23" s="25"/>
      <c r="I23" s="28"/>
      <c r="J23" s="28"/>
      <c r="K23" s="31"/>
      <c r="L23" s="25"/>
      <c r="M23" s="23"/>
      <c r="O23" s="49"/>
      <c r="P23" s="6" t="s">
        <v>4</v>
      </c>
      <c r="Q23" s="42">
        <f t="shared" si="11"/>
        <v>109.29758124999999</v>
      </c>
      <c r="R23" s="5" t="s">
        <v>36</v>
      </c>
    </row>
    <row r="24" spans="1:19" x14ac:dyDescent="0.25">
      <c r="A24" s="58"/>
      <c r="B24" s="36"/>
      <c r="C24" s="36"/>
      <c r="D24" s="36"/>
      <c r="E24" s="36"/>
      <c r="F24" s="36"/>
      <c r="H24" s="25"/>
      <c r="I24" s="28"/>
      <c r="J24" s="28"/>
      <c r="K24" s="31"/>
      <c r="L24" s="25"/>
      <c r="M24" s="23"/>
      <c r="O24" s="49"/>
      <c r="P24" s="6" t="s">
        <v>5</v>
      </c>
      <c r="Q24" s="42">
        <f t="shared" si="11"/>
        <v>60.779454999999999</v>
      </c>
      <c r="R24" s="5" t="s">
        <v>32</v>
      </c>
      <c r="S24" s="21"/>
    </row>
    <row r="25" spans="1:19" x14ac:dyDescent="0.25">
      <c r="A25" s="58"/>
      <c r="B25" s="36"/>
      <c r="C25" s="36"/>
      <c r="D25" s="36"/>
      <c r="E25" s="45"/>
      <c r="F25" s="36"/>
      <c r="H25" s="32"/>
      <c r="I25" s="28"/>
      <c r="J25" s="28"/>
      <c r="K25" s="31"/>
      <c r="L25" s="25"/>
      <c r="M25" s="23"/>
      <c r="N25" s="23"/>
      <c r="O25" s="49"/>
      <c r="P25" s="6" t="s">
        <v>6</v>
      </c>
      <c r="Q25" s="42">
        <f t="shared" si="11"/>
        <v>65.446039999999996</v>
      </c>
      <c r="R25" s="5" t="s">
        <v>43</v>
      </c>
      <c r="S25" s="21"/>
    </row>
    <row r="26" spans="1:19" x14ac:dyDescent="0.25">
      <c r="A26" s="44"/>
      <c r="B26" s="44"/>
      <c r="C26" s="38"/>
      <c r="D26" s="36"/>
      <c r="E26" s="39"/>
      <c r="F26" s="36"/>
      <c r="H26" s="32"/>
      <c r="I26" s="28"/>
      <c r="J26" s="29"/>
      <c r="K26" s="26"/>
      <c r="L26" s="29"/>
      <c r="M26" s="23"/>
      <c r="N26" s="23" t="s">
        <v>35</v>
      </c>
      <c r="O26" s="49">
        <v>4.51</v>
      </c>
      <c r="P26" s="9" t="s">
        <v>44</v>
      </c>
      <c r="Q26" s="11">
        <f>O26*(L17/4)^0.5</f>
        <v>39.993834764637036</v>
      </c>
      <c r="R26" s="9"/>
    </row>
    <row r="27" spans="1:19" x14ac:dyDescent="0.25">
      <c r="A27" s="44"/>
      <c r="B27" s="44"/>
      <c r="C27" s="38"/>
      <c r="D27" s="36"/>
      <c r="E27" s="39"/>
      <c r="F27" s="36"/>
      <c r="H27" s="32"/>
      <c r="I27" s="28"/>
      <c r="J27" s="29"/>
      <c r="K27" s="28"/>
      <c r="L27" s="29"/>
      <c r="M27" s="32"/>
      <c r="N27" s="25"/>
      <c r="O27" s="25"/>
      <c r="P27" s="25"/>
      <c r="Q27" s="25"/>
      <c r="R27" s="25"/>
    </row>
    <row r="28" spans="1:19" x14ac:dyDescent="0.25">
      <c r="A28" s="44"/>
      <c r="B28" s="44"/>
      <c r="C28" s="38"/>
      <c r="D28" s="36"/>
      <c r="E28" s="39"/>
      <c r="F28" s="36"/>
      <c r="I28" s="28"/>
      <c r="J28" s="29"/>
      <c r="K28" s="28"/>
      <c r="L28" s="29"/>
      <c r="M28" s="25"/>
      <c r="N28" s="25"/>
    </row>
    <row r="29" spans="1:19" x14ac:dyDescent="0.25">
      <c r="A29" s="36"/>
      <c r="B29" s="44"/>
      <c r="C29" s="38"/>
      <c r="D29" s="36"/>
      <c r="E29" s="36"/>
      <c r="F29" s="36"/>
    </row>
    <row r="30" spans="1:19" x14ac:dyDescent="0.25">
      <c r="A30" s="36"/>
      <c r="B30" s="44"/>
      <c r="C30" s="38"/>
      <c r="D30" s="36"/>
      <c r="E30" s="36"/>
      <c r="F30" s="36"/>
    </row>
    <row r="31" spans="1:19" x14ac:dyDescent="0.25">
      <c r="A31" s="36"/>
      <c r="B31" s="44"/>
      <c r="C31" s="38"/>
      <c r="D31" s="36"/>
      <c r="E31" s="36"/>
      <c r="F31" s="36"/>
    </row>
    <row r="32" spans="1:19" x14ac:dyDescent="0.25">
      <c r="A32" s="36"/>
      <c r="B32" s="36"/>
      <c r="C32" s="36"/>
      <c r="D32" s="36"/>
      <c r="E32" s="36"/>
      <c r="F32" s="36"/>
    </row>
  </sheetData>
  <mergeCells count="9">
    <mergeCell ref="A22:D22"/>
    <mergeCell ref="A24:A25"/>
    <mergeCell ref="W1:AC1"/>
    <mergeCell ref="P1:V1"/>
    <mergeCell ref="I1:O1"/>
    <mergeCell ref="B1:H1"/>
    <mergeCell ref="A9:A10"/>
    <mergeCell ref="B9:E9"/>
    <mergeCell ref="F9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7 HST</vt:lpstr>
      <vt:lpstr>14 HST</vt:lpstr>
      <vt:lpstr>21 HST</vt:lpstr>
      <vt:lpstr>28 HST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2022-12-09T14:07:02Z</dcterms:created>
  <dcterms:modified xsi:type="dcterms:W3CDTF">2023-03-06T14:21:58Z</dcterms:modified>
</cp:coreProperties>
</file>