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SKRIPSI PERMEN JELLY\"/>
    </mc:Choice>
  </mc:AlternateContent>
  <bookViews>
    <workbookView xWindow="0" yWindow="0" windowWidth="20490" windowHeight="7755" activeTab="10"/>
  </bookViews>
  <sheets>
    <sheet name="ORLEP WARNA" sheetId="1" r:id="rId1"/>
    <sheet name="ORLEP RASA" sheetId="2" r:id="rId2"/>
    <sheet name="ORLEP TEKSTUR" sheetId="3" r:id="rId3"/>
    <sheet name="ORLEP AROMA" sheetId="4" r:id="rId4"/>
    <sheet name="Kadar Air" sheetId="21" r:id="rId5"/>
    <sheet name="Kadar Abu" sheetId="22" r:id="rId6"/>
    <sheet name="pH" sheetId="9" r:id="rId7"/>
    <sheet name="Tekstur" sheetId="10" r:id="rId8"/>
    <sheet name="WARNA L" sheetId="12" r:id="rId9"/>
    <sheet name="WARNA A" sheetId="13" r:id="rId10"/>
    <sheet name="WARNA B" sheetId="14" r:id="rId11"/>
    <sheet name="ANTIOKSIDAN" sheetId="15" r:id="rId12"/>
    <sheet name="RAK ANTIOKSIDAN" sheetId="17" r:id="rId13"/>
    <sheet name="Perlakuan Terbaik" sheetId="18" r:id="rId14"/>
    <sheet name="Sheet1" sheetId="20" r:id="rId1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4" i="22" l="1"/>
  <c r="N25" i="22"/>
  <c r="N23" i="22"/>
  <c r="L29" i="22"/>
  <c r="L28" i="22"/>
  <c r="L27" i="22"/>
  <c r="L25" i="22"/>
  <c r="L24" i="22"/>
  <c r="L23" i="22"/>
  <c r="K19" i="22"/>
  <c r="M19" i="22" s="1"/>
  <c r="L20" i="22" s="1"/>
  <c r="L26" i="22" s="1"/>
  <c r="D27" i="22"/>
  <c r="C27" i="22"/>
  <c r="E27" i="22" s="1"/>
  <c r="D25" i="22"/>
  <c r="D24" i="22"/>
  <c r="E24" i="22" s="1"/>
  <c r="C24" i="22"/>
  <c r="D23" i="22"/>
  <c r="C23" i="22"/>
  <c r="C25" i="22" s="1"/>
  <c r="E22" i="22"/>
  <c r="D22" i="22"/>
  <c r="C22" i="22"/>
  <c r="D21" i="22"/>
  <c r="D26" i="22" s="1"/>
  <c r="C21" i="22"/>
  <c r="J12" i="22"/>
  <c r="L8" i="22"/>
  <c r="L9" i="22" s="1"/>
  <c r="L10" i="22" s="1"/>
  <c r="K8" i="22"/>
  <c r="J8" i="22"/>
  <c r="M7" i="22"/>
  <c r="N7" i="22" s="1"/>
  <c r="L7" i="22"/>
  <c r="K7" i="22"/>
  <c r="J7" i="22"/>
  <c r="L6" i="22"/>
  <c r="K6" i="22"/>
  <c r="K9" i="22" s="1"/>
  <c r="K10" i="22" s="1"/>
  <c r="J6" i="22"/>
  <c r="J9" i="22" s="1"/>
  <c r="J10" i="22" s="1"/>
  <c r="E10" i="22"/>
  <c r="D14" i="22"/>
  <c r="C14" i="22"/>
  <c r="G13" i="22"/>
  <c r="F13" i="22"/>
  <c r="G12" i="22"/>
  <c r="F12" i="22"/>
  <c r="G11" i="22"/>
  <c r="F11" i="22"/>
  <c r="F10" i="22"/>
  <c r="G10" i="22"/>
  <c r="E14" i="22"/>
  <c r="G8" i="22"/>
  <c r="F8" i="22"/>
  <c r="G7" i="22"/>
  <c r="F7" i="22"/>
  <c r="G6" i="22"/>
  <c r="F6" i="22"/>
  <c r="G5" i="22"/>
  <c r="F5" i="22"/>
  <c r="S24" i="21"/>
  <c r="S25" i="21"/>
  <c r="S26" i="21"/>
  <c r="S27" i="21"/>
  <c r="S28" i="21"/>
  <c r="S29" i="21"/>
  <c r="S30" i="21"/>
  <c r="S31" i="21"/>
  <c r="S23" i="21"/>
  <c r="Q24" i="21"/>
  <c r="Q25" i="21"/>
  <c r="Q26" i="21"/>
  <c r="Q27" i="21"/>
  <c r="Q28" i="21"/>
  <c r="Q29" i="21"/>
  <c r="Q30" i="21"/>
  <c r="Q31" i="21"/>
  <c r="Q23" i="21"/>
  <c r="Q32" i="21"/>
  <c r="Q19" i="21"/>
  <c r="P19" i="21"/>
  <c r="R19" i="21" s="1"/>
  <c r="Q20" i="21" s="1"/>
  <c r="N28" i="21"/>
  <c r="N29" i="21"/>
  <c r="N27" i="21"/>
  <c r="N24" i="21"/>
  <c r="N25" i="21"/>
  <c r="N23" i="21"/>
  <c r="L30" i="21"/>
  <c r="M19" i="21"/>
  <c r="K19" i="21"/>
  <c r="L29" i="21"/>
  <c r="L28" i="21"/>
  <c r="L27" i="21"/>
  <c r="L26" i="21"/>
  <c r="L25" i="21"/>
  <c r="L24" i="21"/>
  <c r="L23" i="21"/>
  <c r="L20" i="21"/>
  <c r="D27" i="21"/>
  <c r="E27" i="21" s="1"/>
  <c r="D23" i="21"/>
  <c r="D22" i="21"/>
  <c r="E22" i="21" s="1"/>
  <c r="D21" i="21"/>
  <c r="E21" i="21" s="1"/>
  <c r="C27" i="21"/>
  <c r="D24" i="21"/>
  <c r="C24" i="21"/>
  <c r="E23" i="21"/>
  <c r="C23" i="21"/>
  <c r="C25" i="21" s="1"/>
  <c r="C22" i="21"/>
  <c r="C21" i="21"/>
  <c r="J12" i="21"/>
  <c r="L8" i="21"/>
  <c r="K8" i="21"/>
  <c r="L7" i="21"/>
  <c r="K7" i="21"/>
  <c r="M7" i="21" s="1"/>
  <c r="N7" i="21" s="1"/>
  <c r="L6" i="21"/>
  <c r="K6" i="21"/>
  <c r="J8" i="21"/>
  <c r="J7" i="21"/>
  <c r="J6" i="21"/>
  <c r="J9" i="21" s="1"/>
  <c r="J10" i="21" s="1"/>
  <c r="M8" i="21"/>
  <c r="N8" i="21" s="1"/>
  <c r="L9" i="21"/>
  <c r="L10" i="21" s="1"/>
  <c r="E14" i="21"/>
  <c r="C14" i="21"/>
  <c r="G13" i="21"/>
  <c r="F13" i="21"/>
  <c r="G12" i="21"/>
  <c r="F12" i="21"/>
  <c r="G11" i="21"/>
  <c r="F11" i="21"/>
  <c r="G10" i="21"/>
  <c r="F10" i="21"/>
  <c r="G9" i="21"/>
  <c r="F9" i="21"/>
  <c r="G8" i="21"/>
  <c r="F8" i="21"/>
  <c r="G7" i="21"/>
  <c r="F7" i="21"/>
  <c r="G6" i="21"/>
  <c r="F6" i="21"/>
  <c r="F5" i="21"/>
  <c r="F14" i="21" s="1"/>
  <c r="H25" i="22" l="1"/>
  <c r="E25" i="22"/>
  <c r="H22" i="22"/>
  <c r="E21" i="22"/>
  <c r="H24" i="22"/>
  <c r="C26" i="22"/>
  <c r="H21" i="22" s="1"/>
  <c r="E23" i="22"/>
  <c r="M8" i="22"/>
  <c r="N8" i="22" s="1"/>
  <c r="M6" i="22"/>
  <c r="F9" i="22"/>
  <c r="F14" i="22" s="1"/>
  <c r="G9" i="22"/>
  <c r="D25" i="21"/>
  <c r="H25" i="21"/>
  <c r="E25" i="21"/>
  <c r="E24" i="21"/>
  <c r="C26" i="21"/>
  <c r="G21" i="21" s="1"/>
  <c r="D26" i="21"/>
  <c r="E26" i="21" s="1"/>
  <c r="F22" i="21" s="1"/>
  <c r="K9" i="21"/>
  <c r="K10" i="21" s="1"/>
  <c r="M6" i="21"/>
  <c r="G5" i="21"/>
  <c r="D14" i="21"/>
  <c r="M5" i="18"/>
  <c r="L5" i="18"/>
  <c r="D22" i="18"/>
  <c r="E22" i="18"/>
  <c r="D23" i="18"/>
  <c r="F22" i="18"/>
  <c r="P30" i="3"/>
  <c r="P28" i="3"/>
  <c r="Q33" i="2"/>
  <c r="Q30" i="2"/>
  <c r="Q33" i="4"/>
  <c r="S37" i="1"/>
  <c r="S36" i="1"/>
  <c r="S35" i="1"/>
  <c r="Q31" i="4"/>
  <c r="T34" i="1"/>
  <c r="C33" i="4"/>
  <c r="Q28" i="4"/>
  <c r="S33" i="1"/>
  <c r="S30" i="1"/>
  <c r="C34" i="1"/>
  <c r="Q45" i="1"/>
  <c r="R48" i="1"/>
  <c r="R47" i="1"/>
  <c r="R46" i="1"/>
  <c r="Q42" i="1"/>
  <c r="Q41" i="1"/>
  <c r="Q40" i="1"/>
  <c r="Q39" i="1"/>
  <c r="Q38" i="1"/>
  <c r="Q37" i="1"/>
  <c r="Q36" i="1"/>
  <c r="Q35" i="1"/>
  <c r="Q34" i="1"/>
  <c r="P25" i="1"/>
  <c r="Q33" i="1"/>
  <c r="G23" i="22" l="1"/>
  <c r="G25" i="22"/>
  <c r="H23" i="22"/>
  <c r="G21" i="22"/>
  <c r="E26" i="22"/>
  <c r="G22" i="22"/>
  <c r="G24" i="22"/>
  <c r="N6" i="22"/>
  <c r="M9" i="22"/>
  <c r="F24" i="21"/>
  <c r="F23" i="21"/>
  <c r="H24" i="21"/>
  <c r="H22" i="21"/>
  <c r="G25" i="21"/>
  <c r="G22" i="21"/>
  <c r="I22" i="21" s="1"/>
  <c r="G23" i="21"/>
  <c r="F21" i="21"/>
  <c r="I21" i="21" s="1"/>
  <c r="H23" i="21"/>
  <c r="H21" i="21"/>
  <c r="G24" i="21"/>
  <c r="F25" i="21"/>
  <c r="N6" i="21"/>
  <c r="M9" i="21"/>
  <c r="L8" i="18"/>
  <c r="M8" i="18"/>
  <c r="M6" i="18"/>
  <c r="D34" i="18"/>
  <c r="U25" i="18"/>
  <c r="U27" i="18"/>
  <c r="U28" i="18"/>
  <c r="U29" i="18"/>
  <c r="U30" i="18"/>
  <c r="U31" i="18"/>
  <c r="U32" i="18"/>
  <c r="U33" i="18"/>
  <c r="U22" i="18"/>
  <c r="S25" i="18"/>
  <c r="S27" i="18"/>
  <c r="S28" i="18"/>
  <c r="S29" i="18"/>
  <c r="S30" i="18"/>
  <c r="S31" i="18"/>
  <c r="S32" i="18"/>
  <c r="S33" i="18"/>
  <c r="S22" i="18"/>
  <c r="Q25" i="18"/>
  <c r="Q27" i="18"/>
  <c r="Q28" i="18"/>
  <c r="Q29" i="18"/>
  <c r="Q30" i="18"/>
  <c r="Q31" i="18"/>
  <c r="Q32" i="18"/>
  <c r="Q33" i="18"/>
  <c r="Q22" i="18"/>
  <c r="O25" i="18"/>
  <c r="O27" i="18"/>
  <c r="O28" i="18"/>
  <c r="O29" i="18"/>
  <c r="O30" i="18"/>
  <c r="O31" i="18"/>
  <c r="O32" i="18"/>
  <c r="O33" i="18"/>
  <c r="O22" i="18"/>
  <c r="M25" i="18"/>
  <c r="M27" i="18"/>
  <c r="M28" i="18"/>
  <c r="M29" i="18"/>
  <c r="M30" i="18"/>
  <c r="M31" i="18"/>
  <c r="M32" i="18"/>
  <c r="M33" i="18"/>
  <c r="M22" i="18"/>
  <c r="K25" i="18"/>
  <c r="K27" i="18"/>
  <c r="K28" i="18"/>
  <c r="K29" i="18"/>
  <c r="K30" i="18"/>
  <c r="K31" i="18"/>
  <c r="K32" i="18"/>
  <c r="K33" i="18"/>
  <c r="K22" i="18"/>
  <c r="I32" i="18"/>
  <c r="I25" i="18"/>
  <c r="I27" i="18"/>
  <c r="I28" i="18"/>
  <c r="I29" i="18"/>
  <c r="I30" i="18"/>
  <c r="I31" i="18"/>
  <c r="I33" i="18"/>
  <c r="I22" i="18"/>
  <c r="G25" i="18"/>
  <c r="G27" i="18"/>
  <c r="G28" i="18"/>
  <c r="G29" i="18"/>
  <c r="G30" i="18"/>
  <c r="G31" i="18"/>
  <c r="G32" i="18"/>
  <c r="G33" i="18"/>
  <c r="G22" i="18"/>
  <c r="E25" i="18"/>
  <c r="E27" i="18"/>
  <c r="E28" i="18"/>
  <c r="E29" i="18"/>
  <c r="E30" i="18"/>
  <c r="E31" i="18"/>
  <c r="E32" i="18"/>
  <c r="E33" i="18"/>
  <c r="F24" i="22" l="1"/>
  <c r="I24" i="22" s="1"/>
  <c r="F22" i="22"/>
  <c r="I22" i="22" s="1"/>
  <c r="F25" i="22"/>
  <c r="I25" i="22" s="1"/>
  <c r="F21" i="22"/>
  <c r="I21" i="22" s="1"/>
  <c r="F23" i="22"/>
  <c r="I23" i="22" s="1"/>
  <c r="I24" i="21"/>
  <c r="I23" i="21"/>
  <c r="I25" i="21"/>
  <c r="C19" i="20"/>
  <c r="D19" i="20"/>
  <c r="E19" i="20"/>
  <c r="F19" i="20"/>
  <c r="G19" i="20"/>
  <c r="H19" i="20"/>
  <c r="I19" i="20"/>
  <c r="J19" i="20"/>
  <c r="K19" i="20"/>
  <c r="L19" i="20"/>
  <c r="M19" i="20"/>
  <c r="B19" i="20"/>
  <c r="C34" i="18" l="1"/>
  <c r="D24" i="18" s="1"/>
  <c r="D33" i="18" l="1"/>
  <c r="H32" i="18"/>
  <c r="D32" i="18"/>
  <c r="V32" i="18" s="1"/>
  <c r="D31" i="18"/>
  <c r="D30" i="18"/>
  <c r="D29" i="18"/>
  <c r="D28" i="18"/>
  <c r="D27" i="18"/>
  <c r="D26" i="18"/>
  <c r="D25" i="18"/>
  <c r="P32" i="18" l="1"/>
  <c r="J32" i="18"/>
  <c r="F32" i="18"/>
  <c r="N32" i="18"/>
  <c r="R32" i="18"/>
  <c r="L32" i="18"/>
  <c r="T32" i="18"/>
  <c r="J33" i="18"/>
  <c r="R33" i="18"/>
  <c r="L33" i="18"/>
  <c r="T33" i="18"/>
  <c r="F33" i="18"/>
  <c r="N33" i="18"/>
  <c r="V33" i="18"/>
  <c r="H33" i="18"/>
  <c r="P33" i="18"/>
  <c r="H22" i="18"/>
  <c r="M4" i="18" l="1"/>
  <c r="L4" i="18"/>
  <c r="M7" i="18"/>
  <c r="L7" i="18"/>
  <c r="D4" i="15" l="1"/>
  <c r="F4" i="17"/>
  <c r="G4" i="17"/>
  <c r="N6" i="18" l="1"/>
  <c r="I24" i="18" l="1"/>
  <c r="O24" i="18"/>
  <c r="E24" i="18"/>
  <c r="S24" i="18"/>
  <c r="G24" i="18"/>
  <c r="U24" i="18"/>
  <c r="Q24" i="18"/>
  <c r="M24" i="18"/>
  <c r="K24" i="18"/>
  <c r="T22" i="18"/>
  <c r="L22" i="18"/>
  <c r="R22" i="18"/>
  <c r="J22" i="18"/>
  <c r="V22" i="18"/>
  <c r="N22" i="18"/>
  <c r="P22" i="18"/>
  <c r="Q38" i="3" l="1"/>
  <c r="X42" i="3"/>
  <c r="U38" i="3"/>
  <c r="T38" i="3"/>
  <c r="S42" i="3"/>
  <c r="R42" i="3"/>
  <c r="Z42" i="3" s="1"/>
  <c r="R41" i="3"/>
  <c r="Z41" i="3" s="1"/>
  <c r="R40" i="3"/>
  <c r="W40" i="3" s="1"/>
  <c r="R39" i="3"/>
  <c r="W39" i="3" s="1"/>
  <c r="R38" i="3"/>
  <c r="W38" i="3" s="1"/>
  <c r="R37" i="3"/>
  <c r="S37" i="3" s="1"/>
  <c r="R36" i="3"/>
  <c r="U36" i="3" s="1"/>
  <c r="R35" i="3"/>
  <c r="T35" i="3" s="1"/>
  <c r="R34" i="3"/>
  <c r="S34" i="3" s="1"/>
  <c r="Q42" i="3"/>
  <c r="Q41" i="3"/>
  <c r="Q40" i="3"/>
  <c r="Q39" i="3"/>
  <c r="Q37" i="3"/>
  <c r="Q36" i="3"/>
  <c r="Q35" i="3"/>
  <c r="Q34" i="3"/>
  <c r="L43" i="3"/>
  <c r="S38" i="3" l="1"/>
  <c r="T36" i="3"/>
  <c r="V42" i="3"/>
  <c r="X40" i="3"/>
  <c r="T42" i="3"/>
  <c r="V38" i="3"/>
  <c r="Y42" i="3"/>
  <c r="U42" i="3"/>
  <c r="T40" i="3"/>
  <c r="U40" i="3"/>
  <c r="AA42" i="3"/>
  <c r="S41" i="3"/>
  <c r="S40" i="3"/>
  <c r="S36" i="3"/>
  <c r="T41" i="3"/>
  <c r="T37" i="3"/>
  <c r="U41" i="3"/>
  <c r="U37" i="3"/>
  <c r="V40" i="3"/>
  <c r="W42" i="3"/>
  <c r="X39" i="3"/>
  <c r="Y40" i="3"/>
  <c r="S39" i="3"/>
  <c r="S35" i="3"/>
  <c r="V37" i="3"/>
  <c r="V39" i="3"/>
  <c r="W41" i="3"/>
  <c r="T39" i="3"/>
  <c r="U39" i="3"/>
  <c r="X41" i="3"/>
  <c r="Y41" i="3"/>
  <c r="V41" i="3"/>
  <c r="N5" i="18" l="1"/>
  <c r="U23" i="18" l="1"/>
  <c r="I23" i="18"/>
  <c r="S23" i="18"/>
  <c r="O23" i="18"/>
  <c r="K23" i="18"/>
  <c r="G23" i="18"/>
  <c r="Q23" i="18"/>
  <c r="M23" i="18"/>
  <c r="E23" i="18"/>
  <c r="N15" i="18"/>
  <c r="N14" i="18"/>
  <c r="N13" i="18"/>
  <c r="N12" i="18"/>
  <c r="N11" i="18"/>
  <c r="N10" i="18"/>
  <c r="N9" i="18"/>
  <c r="N8" i="18"/>
  <c r="N7" i="18"/>
  <c r="N4" i="18"/>
  <c r="S26" i="18" l="1"/>
  <c r="K26" i="18"/>
  <c r="I26" i="18"/>
  <c r="J26" i="18" s="1"/>
  <c r="O26" i="18"/>
  <c r="P26" i="18" s="1"/>
  <c r="G26" i="18"/>
  <c r="U26" i="18"/>
  <c r="M26" i="18"/>
  <c r="E26" i="18"/>
  <c r="Q26" i="18"/>
  <c r="R25" i="18"/>
  <c r="J25" i="18"/>
  <c r="P25" i="18"/>
  <c r="H25" i="18"/>
  <c r="T25" i="18"/>
  <c r="L25" i="18"/>
  <c r="V25" i="18"/>
  <c r="N25" i="18"/>
  <c r="F25" i="18"/>
  <c r="R29" i="18"/>
  <c r="J29" i="18"/>
  <c r="P29" i="18"/>
  <c r="H29" i="18"/>
  <c r="T29" i="18"/>
  <c r="L29" i="18"/>
  <c r="V29" i="18"/>
  <c r="N29" i="18"/>
  <c r="F29" i="18"/>
  <c r="V24" i="18"/>
  <c r="N24" i="18"/>
  <c r="F24" i="18"/>
  <c r="T24" i="18"/>
  <c r="L24" i="18"/>
  <c r="P24" i="18"/>
  <c r="H24" i="18"/>
  <c r="R24" i="18"/>
  <c r="J24" i="18"/>
  <c r="V28" i="18"/>
  <c r="N28" i="18"/>
  <c r="F28" i="18"/>
  <c r="T28" i="18"/>
  <c r="L28" i="18"/>
  <c r="P28" i="18"/>
  <c r="H28" i="18"/>
  <c r="R28" i="18"/>
  <c r="J28" i="18"/>
  <c r="V26" i="18"/>
  <c r="N26" i="18"/>
  <c r="F26" i="18"/>
  <c r="T26" i="18"/>
  <c r="L26" i="18"/>
  <c r="H26" i="18"/>
  <c r="R26" i="18"/>
  <c r="V30" i="18"/>
  <c r="N30" i="18"/>
  <c r="F30" i="18"/>
  <c r="T30" i="18"/>
  <c r="L30" i="18"/>
  <c r="P30" i="18"/>
  <c r="H30" i="18"/>
  <c r="R30" i="18"/>
  <c r="J30" i="18"/>
  <c r="H23" i="18"/>
  <c r="R23" i="18"/>
  <c r="V23" i="18"/>
  <c r="J23" i="18"/>
  <c r="N23" i="18"/>
  <c r="T23" i="18"/>
  <c r="P23" i="18"/>
  <c r="F23" i="18"/>
  <c r="L23" i="18"/>
  <c r="R27" i="18"/>
  <c r="J27" i="18"/>
  <c r="P27" i="18"/>
  <c r="H27" i="18"/>
  <c r="T27" i="18"/>
  <c r="L27" i="18"/>
  <c r="V27" i="18"/>
  <c r="N27" i="18"/>
  <c r="F27" i="18"/>
  <c r="R31" i="18"/>
  <c r="J31" i="18"/>
  <c r="P31" i="18"/>
  <c r="H31" i="18"/>
  <c r="T31" i="18"/>
  <c r="L31" i="18"/>
  <c r="V31" i="18"/>
  <c r="N31" i="18"/>
  <c r="F31" i="18"/>
  <c r="Q18" i="17"/>
  <c r="F34" i="18" l="1"/>
  <c r="L34" i="18"/>
  <c r="N34" i="18"/>
  <c r="H34" i="18"/>
  <c r="J34" i="18"/>
  <c r="P34" i="18"/>
  <c r="V34" i="18"/>
  <c r="T34" i="18"/>
  <c r="R34" i="18"/>
  <c r="C26" i="17" l="1"/>
  <c r="C23" i="17"/>
  <c r="C22" i="17"/>
  <c r="C24" i="17" s="1"/>
  <c r="C21" i="17"/>
  <c r="C20" i="17"/>
  <c r="C45" i="15"/>
  <c r="C25" i="17" l="1"/>
  <c r="H21" i="17" s="1"/>
  <c r="H22" i="17" l="1"/>
  <c r="G20" i="17"/>
  <c r="H24" i="17"/>
  <c r="G23" i="17"/>
  <c r="G21" i="17"/>
  <c r="G24" i="17"/>
  <c r="G22" i="17"/>
  <c r="H23" i="17"/>
  <c r="H20" i="17"/>
  <c r="E13" i="17" l="1"/>
  <c r="D13" i="17"/>
  <c r="C13" i="17"/>
  <c r="G12" i="17"/>
  <c r="Q30" i="17" s="1"/>
  <c r="F12" i="17"/>
  <c r="L7" i="17" s="1"/>
  <c r="G11" i="17"/>
  <c r="Q29" i="17" s="1"/>
  <c r="F11" i="17"/>
  <c r="K7" i="17" s="1"/>
  <c r="G10" i="17"/>
  <c r="Q28" i="17" s="1"/>
  <c r="F10" i="17"/>
  <c r="J7" i="17" s="1"/>
  <c r="G9" i="17"/>
  <c r="Q27" i="17" s="1"/>
  <c r="F9" i="17"/>
  <c r="L6" i="17" s="1"/>
  <c r="G8" i="17"/>
  <c r="Q26" i="17" s="1"/>
  <c r="F8" i="17"/>
  <c r="K6" i="17" s="1"/>
  <c r="G7" i="17"/>
  <c r="Q25" i="17" s="1"/>
  <c r="F7" i="17"/>
  <c r="J6" i="17" s="1"/>
  <c r="G6" i="17"/>
  <c r="Q24" i="17" s="1"/>
  <c r="F6" i="17"/>
  <c r="L5" i="17" s="1"/>
  <c r="G5" i="17"/>
  <c r="Q23" i="17" s="1"/>
  <c r="F5" i="17"/>
  <c r="K5" i="17" s="1"/>
  <c r="Q22" i="17"/>
  <c r="M7" i="17" l="1"/>
  <c r="N7" i="17" s="1"/>
  <c r="L24" i="17" s="1"/>
  <c r="L8" i="17"/>
  <c r="L9" i="17" s="1"/>
  <c r="L28" i="17" s="1"/>
  <c r="M6" i="17"/>
  <c r="N6" i="17" s="1"/>
  <c r="L23" i="17" s="1"/>
  <c r="F13" i="17"/>
  <c r="J11" i="17" s="1"/>
  <c r="D21" i="17" s="1"/>
  <c r="K8" i="17"/>
  <c r="K9" i="17" s="1"/>
  <c r="L27" i="17" s="1"/>
  <c r="J5" i="17"/>
  <c r="D26" i="17" l="1"/>
  <c r="D20" i="17"/>
  <c r="E20" i="17" s="1"/>
  <c r="M5" i="17"/>
  <c r="D22" i="17" s="1"/>
  <c r="E22" i="17" s="1"/>
  <c r="J8" i="17"/>
  <c r="J9" i="17" s="1"/>
  <c r="L26" i="17" s="1"/>
  <c r="AC135" i="15"/>
  <c r="AF129" i="15"/>
  <c r="AD129" i="15" s="1"/>
  <c r="AF128" i="15"/>
  <c r="AD128" i="15" s="1"/>
  <c r="AF127" i="15"/>
  <c r="AD127" i="15" s="1"/>
  <c r="AF126" i="15"/>
  <c r="AD126" i="15" s="1"/>
  <c r="AF125" i="15"/>
  <c r="AD125" i="15" s="1"/>
  <c r="AC120" i="15"/>
  <c r="AF114" i="15"/>
  <c r="AD114" i="15" s="1"/>
  <c r="AF113" i="15"/>
  <c r="AD113" i="15" s="1"/>
  <c r="AF112" i="15"/>
  <c r="AD112" i="15" s="1"/>
  <c r="AF111" i="15"/>
  <c r="AD111" i="15" s="1"/>
  <c r="AF110" i="15"/>
  <c r="AD110" i="15" s="1"/>
  <c r="AC105" i="15"/>
  <c r="AF99" i="15"/>
  <c r="AD99" i="15" s="1"/>
  <c r="AF98" i="15"/>
  <c r="AD98" i="15" s="1"/>
  <c r="AF97" i="15"/>
  <c r="AD97" i="15" s="1"/>
  <c r="AF96" i="15"/>
  <c r="AD96" i="15" s="1"/>
  <c r="AF95" i="15"/>
  <c r="AD95" i="15" s="1"/>
  <c r="AC90" i="15"/>
  <c r="AF84" i="15"/>
  <c r="AD84" i="15" s="1"/>
  <c r="AF83" i="15"/>
  <c r="AD83" i="15" s="1"/>
  <c r="AF82" i="15"/>
  <c r="AD82" i="15" s="1"/>
  <c r="AF81" i="15"/>
  <c r="AD81" i="15" s="1"/>
  <c r="AF80" i="15"/>
  <c r="AD80" i="15" s="1"/>
  <c r="AC75" i="15"/>
  <c r="AF69" i="15"/>
  <c r="AD69" i="15" s="1"/>
  <c r="AF68" i="15"/>
  <c r="AD68" i="15" s="1"/>
  <c r="AF67" i="15"/>
  <c r="AD67" i="15" s="1"/>
  <c r="AF66" i="15"/>
  <c r="AD66" i="15" s="1"/>
  <c r="AF65" i="15"/>
  <c r="AD65" i="15" s="1"/>
  <c r="AC60" i="15"/>
  <c r="AF54" i="15"/>
  <c r="AD54" i="15" s="1"/>
  <c r="AF53" i="15"/>
  <c r="AD53" i="15" s="1"/>
  <c r="AF52" i="15"/>
  <c r="AD52" i="15" s="1"/>
  <c r="AF51" i="15"/>
  <c r="AD51" i="15" s="1"/>
  <c r="AF50" i="15"/>
  <c r="AD50" i="15" s="1"/>
  <c r="AC45" i="15"/>
  <c r="AF39" i="15"/>
  <c r="AD39" i="15" s="1"/>
  <c r="AF38" i="15"/>
  <c r="AD38" i="15" s="1"/>
  <c r="AF37" i="15"/>
  <c r="AD37" i="15" s="1"/>
  <c r="AF36" i="15"/>
  <c r="AD36" i="15" s="1"/>
  <c r="AF35" i="15"/>
  <c r="AD35" i="15" s="1"/>
  <c r="AC30" i="15"/>
  <c r="AF24" i="15"/>
  <c r="AD24" i="15" s="1"/>
  <c r="AF23" i="15"/>
  <c r="AD23" i="15" s="1"/>
  <c r="AF22" i="15"/>
  <c r="AD22" i="15" s="1"/>
  <c r="AF21" i="15"/>
  <c r="AD21" i="15" s="1"/>
  <c r="AF20" i="15"/>
  <c r="AD20" i="15" s="1"/>
  <c r="AC14" i="15"/>
  <c r="AF8" i="15"/>
  <c r="AD8" i="15" s="1"/>
  <c r="AF7" i="15"/>
  <c r="AD7" i="15" s="1"/>
  <c r="AF6" i="15"/>
  <c r="AD6" i="15" s="1"/>
  <c r="AF5" i="15"/>
  <c r="AD5" i="15" s="1"/>
  <c r="AF4" i="15"/>
  <c r="AD4" i="15"/>
  <c r="P135" i="15"/>
  <c r="S129" i="15"/>
  <c r="Q129" i="15" s="1"/>
  <c r="S128" i="15"/>
  <c r="Q128" i="15" s="1"/>
  <c r="S127" i="15"/>
  <c r="Q127" i="15" s="1"/>
  <c r="S126" i="15"/>
  <c r="Q126" i="15" s="1"/>
  <c r="S125" i="15"/>
  <c r="Q125" i="15" s="1"/>
  <c r="P120" i="15"/>
  <c r="S114" i="15"/>
  <c r="Q114" i="15" s="1"/>
  <c r="S113" i="15"/>
  <c r="Q113" i="15" s="1"/>
  <c r="S112" i="15"/>
  <c r="Q112" i="15" s="1"/>
  <c r="S111" i="15"/>
  <c r="Q111" i="15" s="1"/>
  <c r="S110" i="15"/>
  <c r="Q110" i="15" s="1"/>
  <c r="S98" i="15"/>
  <c r="Q98" i="15" s="1"/>
  <c r="P105" i="15"/>
  <c r="S99" i="15"/>
  <c r="Q99" i="15" s="1"/>
  <c r="S97" i="15"/>
  <c r="Q97" i="15" s="1"/>
  <c r="S96" i="15"/>
  <c r="Q96" i="15" s="1"/>
  <c r="S95" i="15"/>
  <c r="Q95" i="15" s="1"/>
  <c r="P90" i="15"/>
  <c r="S84" i="15"/>
  <c r="Q84" i="15" s="1"/>
  <c r="S83" i="15"/>
  <c r="Q83" i="15" s="1"/>
  <c r="S82" i="15"/>
  <c r="Q82" i="15" s="1"/>
  <c r="S81" i="15"/>
  <c r="Q81" i="15" s="1"/>
  <c r="S80" i="15"/>
  <c r="Q80" i="15" s="1"/>
  <c r="P75" i="15"/>
  <c r="S69" i="15"/>
  <c r="Q69" i="15" s="1"/>
  <c r="S68" i="15"/>
  <c r="Q68" i="15" s="1"/>
  <c r="S67" i="15"/>
  <c r="Q67" i="15" s="1"/>
  <c r="S66" i="15"/>
  <c r="Q66" i="15" s="1"/>
  <c r="S65" i="15"/>
  <c r="Q65" i="15" s="1"/>
  <c r="P60" i="15"/>
  <c r="S54" i="15"/>
  <c r="Q54" i="15" s="1"/>
  <c r="S53" i="15"/>
  <c r="Q53" i="15" s="1"/>
  <c r="S52" i="15"/>
  <c r="Q52" i="15" s="1"/>
  <c r="S51" i="15"/>
  <c r="Q51" i="15" s="1"/>
  <c r="S50" i="15"/>
  <c r="Q50" i="15" s="1"/>
  <c r="P45" i="15"/>
  <c r="S39" i="15"/>
  <c r="Q39" i="15" s="1"/>
  <c r="S38" i="15"/>
  <c r="Q38" i="15" s="1"/>
  <c r="S37" i="15"/>
  <c r="Q37" i="15" s="1"/>
  <c r="S36" i="15"/>
  <c r="Q36" i="15" s="1"/>
  <c r="S35" i="15"/>
  <c r="Q35" i="15" s="1"/>
  <c r="P30" i="15"/>
  <c r="S24" i="15"/>
  <c r="Q24" i="15" s="1"/>
  <c r="S23" i="15"/>
  <c r="Q23" i="15" s="1"/>
  <c r="S22" i="15"/>
  <c r="Q22" i="15" s="1"/>
  <c r="S21" i="15"/>
  <c r="Q21" i="15" s="1"/>
  <c r="S20" i="15"/>
  <c r="Q20" i="15" s="1"/>
  <c r="P14" i="15"/>
  <c r="S8" i="15"/>
  <c r="Q8" i="15" s="1"/>
  <c r="S7" i="15"/>
  <c r="Q7" i="15" s="1"/>
  <c r="S6" i="15"/>
  <c r="Q6" i="15" s="1"/>
  <c r="S5" i="15"/>
  <c r="Q5" i="15" s="1"/>
  <c r="S4" i="15"/>
  <c r="Q4" i="15"/>
  <c r="C14" i="15"/>
  <c r="F126" i="15"/>
  <c r="D126" i="15" s="1"/>
  <c r="F127" i="15"/>
  <c r="D127" i="15" s="1"/>
  <c r="F128" i="15"/>
  <c r="D128" i="15" s="1"/>
  <c r="F129" i="15"/>
  <c r="D129" i="15" s="1"/>
  <c r="F125" i="15"/>
  <c r="D125" i="15" s="1"/>
  <c r="C135" i="15"/>
  <c r="C120" i="15"/>
  <c r="F111" i="15"/>
  <c r="D111" i="15" s="1"/>
  <c r="F112" i="15"/>
  <c r="D112" i="15" s="1"/>
  <c r="F113" i="15"/>
  <c r="D113" i="15" s="1"/>
  <c r="F114" i="15"/>
  <c r="D114" i="15" s="1"/>
  <c r="F110" i="15"/>
  <c r="D110" i="15" s="1"/>
  <c r="C75" i="15"/>
  <c r="C105" i="15"/>
  <c r="F96" i="15"/>
  <c r="D96" i="15" s="1"/>
  <c r="F97" i="15"/>
  <c r="D97" i="15" s="1"/>
  <c r="F98" i="15"/>
  <c r="D98" i="15" s="1"/>
  <c r="F99" i="15"/>
  <c r="D99" i="15" s="1"/>
  <c r="F95" i="15"/>
  <c r="D95" i="15" s="1"/>
  <c r="F81" i="15"/>
  <c r="D81" i="15" s="1"/>
  <c r="F82" i="15"/>
  <c r="D82" i="15" s="1"/>
  <c r="F83" i="15"/>
  <c r="D83" i="15" s="1"/>
  <c r="F84" i="15"/>
  <c r="D84" i="15" s="1"/>
  <c r="F80" i="15"/>
  <c r="D80" i="15" s="1"/>
  <c r="C90" i="15"/>
  <c r="F66" i="15"/>
  <c r="D66" i="15" s="1"/>
  <c r="F67" i="15"/>
  <c r="D67" i="15" s="1"/>
  <c r="F68" i="15"/>
  <c r="D68" i="15" s="1"/>
  <c r="F69" i="15"/>
  <c r="D69" i="15" s="1"/>
  <c r="F65" i="15"/>
  <c r="D65" i="15" s="1"/>
  <c r="C60" i="15"/>
  <c r="F51" i="15"/>
  <c r="D51" i="15" s="1"/>
  <c r="F52" i="15"/>
  <c r="D52" i="15" s="1"/>
  <c r="F53" i="15"/>
  <c r="D53" i="15" s="1"/>
  <c r="F54" i="15"/>
  <c r="D54" i="15" s="1"/>
  <c r="F50" i="15"/>
  <c r="D50" i="15" s="1"/>
  <c r="F36" i="15"/>
  <c r="D36" i="15" s="1"/>
  <c r="F37" i="15"/>
  <c r="D37" i="15" s="1"/>
  <c r="F38" i="15"/>
  <c r="D38" i="15" s="1"/>
  <c r="F39" i="15"/>
  <c r="D39" i="15" s="1"/>
  <c r="F35" i="15"/>
  <c r="D35" i="15" s="1"/>
  <c r="C30" i="15"/>
  <c r="F4" i="15"/>
  <c r="F5" i="15"/>
  <c r="D5" i="15" s="1"/>
  <c r="D23" i="17" l="1"/>
  <c r="E23" i="17" s="1"/>
  <c r="E21" i="17"/>
  <c r="E26" i="17"/>
  <c r="D25" i="17"/>
  <c r="E25" i="17" s="1"/>
  <c r="P18" i="17" s="1"/>
  <c r="R18" i="17" s="1"/>
  <c r="M8" i="17"/>
  <c r="N5" i="17"/>
  <c r="L22" i="17" s="1"/>
  <c r="F21" i="15"/>
  <c r="D21" i="15" s="1"/>
  <c r="F22" i="15"/>
  <c r="D22" i="15" s="1"/>
  <c r="F23" i="15"/>
  <c r="D23" i="15" s="1"/>
  <c r="F24" i="15"/>
  <c r="D24" i="15" s="1"/>
  <c r="F20" i="15"/>
  <c r="D20" i="15" s="1"/>
  <c r="F8" i="15"/>
  <c r="D8" i="15" s="1"/>
  <c r="F7" i="15"/>
  <c r="D7" i="15" s="1"/>
  <c r="F6" i="15"/>
  <c r="D6" i="15" s="1"/>
  <c r="F22" i="17" l="1"/>
  <c r="I22" i="17" s="1"/>
  <c r="Q19" i="17"/>
  <c r="Q31" i="17" s="1"/>
  <c r="S23" i="17" s="1"/>
  <c r="K18" i="17"/>
  <c r="M18" i="17" s="1"/>
  <c r="L19" i="17" s="1"/>
  <c r="F21" i="17"/>
  <c r="I21" i="17" s="1"/>
  <c r="D24" i="17"/>
  <c r="E24" i="17" s="1"/>
  <c r="F24" i="17" s="1"/>
  <c r="I24" i="17" s="1"/>
  <c r="F20" i="17"/>
  <c r="I20" i="17" s="1"/>
  <c r="F23" i="17"/>
  <c r="I23" i="17" s="1"/>
  <c r="Q18" i="14"/>
  <c r="S22" i="17" l="1"/>
  <c r="S24" i="17"/>
  <c r="L25" i="17"/>
  <c r="N23" i="17" s="1"/>
  <c r="L29" i="17"/>
  <c r="S27" i="17"/>
  <c r="S28" i="17"/>
  <c r="S25" i="17"/>
  <c r="S29" i="17"/>
  <c r="S26" i="17"/>
  <c r="S30" i="17"/>
  <c r="C26" i="14"/>
  <c r="C23" i="14"/>
  <c r="C22" i="14"/>
  <c r="C21" i="14"/>
  <c r="C20" i="14"/>
  <c r="C25" i="14" s="1"/>
  <c r="H21" i="14" s="1"/>
  <c r="E13" i="14"/>
  <c r="D13" i="14"/>
  <c r="C13" i="14"/>
  <c r="G12" i="14"/>
  <c r="Q30" i="14" s="1"/>
  <c r="F12" i="14"/>
  <c r="L7" i="14" s="1"/>
  <c r="G11" i="14"/>
  <c r="Q29" i="14" s="1"/>
  <c r="F11" i="14"/>
  <c r="K7" i="14" s="1"/>
  <c r="G10" i="14"/>
  <c r="Q28" i="14" s="1"/>
  <c r="F10" i="14"/>
  <c r="J7" i="14" s="1"/>
  <c r="G9" i="14"/>
  <c r="Q27" i="14" s="1"/>
  <c r="F9" i="14"/>
  <c r="L6" i="14" s="1"/>
  <c r="G8" i="14"/>
  <c r="Q26" i="14" s="1"/>
  <c r="F8" i="14"/>
  <c r="K6" i="14" s="1"/>
  <c r="G7" i="14"/>
  <c r="Q25" i="14" s="1"/>
  <c r="F7" i="14"/>
  <c r="J6" i="14" s="1"/>
  <c r="G6" i="14"/>
  <c r="Q24" i="14" s="1"/>
  <c r="F6" i="14"/>
  <c r="L5" i="14" s="1"/>
  <c r="G5" i="14"/>
  <c r="Q23" i="14" s="1"/>
  <c r="F5" i="14"/>
  <c r="K5" i="14" s="1"/>
  <c r="G4" i="14"/>
  <c r="Q22" i="14" s="1"/>
  <c r="F4" i="14"/>
  <c r="C26" i="13"/>
  <c r="C23" i="13"/>
  <c r="C22" i="13"/>
  <c r="C24" i="13" s="1"/>
  <c r="C21" i="13"/>
  <c r="C20" i="13"/>
  <c r="G5" i="13"/>
  <c r="Q23" i="13" s="1"/>
  <c r="F5" i="13"/>
  <c r="K5" i="13" s="1"/>
  <c r="E13" i="13"/>
  <c r="D13" i="13"/>
  <c r="C13" i="13"/>
  <c r="G12" i="13"/>
  <c r="Q30" i="13" s="1"/>
  <c r="F12" i="13"/>
  <c r="L7" i="13" s="1"/>
  <c r="G11" i="13"/>
  <c r="Q29" i="13" s="1"/>
  <c r="F11" i="13"/>
  <c r="K7" i="13" s="1"/>
  <c r="G10" i="13"/>
  <c r="Q28" i="13" s="1"/>
  <c r="F10" i="13"/>
  <c r="J7" i="13" s="1"/>
  <c r="G9" i="13"/>
  <c r="Q27" i="13" s="1"/>
  <c r="F9" i="13"/>
  <c r="L6" i="13" s="1"/>
  <c r="G8" i="13"/>
  <c r="Q26" i="13" s="1"/>
  <c r="F8" i="13"/>
  <c r="K6" i="13" s="1"/>
  <c r="G7" i="13"/>
  <c r="Q25" i="13" s="1"/>
  <c r="F7" i="13"/>
  <c r="J6" i="13" s="1"/>
  <c r="G6" i="13"/>
  <c r="Q24" i="13" s="1"/>
  <c r="F6" i="13"/>
  <c r="L5" i="13" s="1"/>
  <c r="G4" i="13"/>
  <c r="Q22" i="13" s="1"/>
  <c r="F4" i="13"/>
  <c r="J5" i="13" s="1"/>
  <c r="C24" i="14" l="1"/>
  <c r="H24" i="14" s="1"/>
  <c r="N22" i="17"/>
  <c r="N26" i="17"/>
  <c r="N27" i="17"/>
  <c r="N28" i="17"/>
  <c r="N24" i="17"/>
  <c r="G21" i="14"/>
  <c r="M6" i="14"/>
  <c r="N6" i="14" s="1"/>
  <c r="L23" i="14" s="1"/>
  <c r="M7" i="14"/>
  <c r="N7" i="14" s="1"/>
  <c r="L24" i="14" s="1"/>
  <c r="L8" i="14"/>
  <c r="K8" i="14"/>
  <c r="K9" i="14" s="1"/>
  <c r="L27" i="14" s="1"/>
  <c r="J5" i="14"/>
  <c r="J8" i="14" s="1"/>
  <c r="J9" i="14" s="1"/>
  <c r="L26" i="14" s="1"/>
  <c r="G23" i="14"/>
  <c r="H22" i="14"/>
  <c r="G24" i="14"/>
  <c r="G22" i="14"/>
  <c r="H23" i="14"/>
  <c r="G20" i="14"/>
  <c r="H20" i="14"/>
  <c r="M5" i="14"/>
  <c r="F13" i="14"/>
  <c r="J11" i="14" s="1"/>
  <c r="D20" i="14" s="1"/>
  <c r="E20" i="14" s="1"/>
  <c r="C25" i="13"/>
  <c r="H23" i="13" s="1"/>
  <c r="G20" i="13"/>
  <c r="G21" i="13"/>
  <c r="M7" i="13"/>
  <c r="N7" i="13" s="1"/>
  <c r="L24" i="13" s="1"/>
  <c r="L8" i="13"/>
  <c r="L9" i="13" s="1"/>
  <c r="L28" i="13" s="1"/>
  <c r="M6" i="13"/>
  <c r="N6" i="13" s="1"/>
  <c r="L23" i="13" s="1"/>
  <c r="K8" i="13"/>
  <c r="K9" i="13" s="1"/>
  <c r="L27" i="13" s="1"/>
  <c r="F13" i="13"/>
  <c r="J11" i="13" s="1"/>
  <c r="M5" i="13"/>
  <c r="J8" i="13"/>
  <c r="J9" i="13" s="1"/>
  <c r="L26" i="13" s="1"/>
  <c r="C26" i="10"/>
  <c r="C23" i="10"/>
  <c r="C22" i="10"/>
  <c r="C24" i="10" s="1"/>
  <c r="C21" i="10"/>
  <c r="C20" i="10"/>
  <c r="D13" i="10"/>
  <c r="E13" i="10"/>
  <c r="C13" i="10"/>
  <c r="G5" i="10"/>
  <c r="P23" i="10" s="1"/>
  <c r="G6" i="10"/>
  <c r="P24" i="10" s="1"/>
  <c r="G7" i="10"/>
  <c r="P25" i="10" s="1"/>
  <c r="G8" i="10"/>
  <c r="P26" i="10" s="1"/>
  <c r="G9" i="10"/>
  <c r="P27" i="10" s="1"/>
  <c r="G10" i="10"/>
  <c r="P28" i="10" s="1"/>
  <c r="G11" i="10"/>
  <c r="P29" i="10" s="1"/>
  <c r="G12" i="10"/>
  <c r="P30" i="10" s="1"/>
  <c r="F10" i="10"/>
  <c r="J7" i="10" s="1"/>
  <c r="F5" i="10"/>
  <c r="K5" i="10" s="1"/>
  <c r="F6" i="10"/>
  <c r="L5" i="10" s="1"/>
  <c r="F7" i="10"/>
  <c r="J6" i="10" s="1"/>
  <c r="F8" i="10"/>
  <c r="K6" i="10" s="1"/>
  <c r="F9" i="10"/>
  <c r="L6" i="10" s="1"/>
  <c r="F11" i="10"/>
  <c r="K7" i="10" s="1"/>
  <c r="F12" i="10"/>
  <c r="L7" i="10" s="1"/>
  <c r="C27" i="9"/>
  <c r="C25" i="10" l="1"/>
  <c r="G22" i="13"/>
  <c r="D26" i="13"/>
  <c r="D22" i="13"/>
  <c r="E22" i="13" s="1"/>
  <c r="D23" i="13"/>
  <c r="E23" i="13" s="1"/>
  <c r="D21" i="13"/>
  <c r="D20" i="13"/>
  <c r="E20" i="13" s="1"/>
  <c r="G24" i="13"/>
  <c r="M7" i="10"/>
  <c r="N7" i="10" s="1"/>
  <c r="L24" i="10" s="1"/>
  <c r="L8" i="10"/>
  <c r="L9" i="10" s="1"/>
  <c r="L28" i="10" s="1"/>
  <c r="M6" i="10"/>
  <c r="N6" i="10" s="1"/>
  <c r="L23" i="10" s="1"/>
  <c r="K8" i="10"/>
  <c r="K9" i="10" s="1"/>
  <c r="L27" i="10" s="1"/>
  <c r="L9" i="14"/>
  <c r="L28" i="14" s="1"/>
  <c r="D23" i="14"/>
  <c r="E23" i="14" s="1"/>
  <c r="D22" i="14"/>
  <c r="E22" i="14" s="1"/>
  <c r="D26" i="14"/>
  <c r="D21" i="14"/>
  <c r="N5" i="14"/>
  <c r="L22" i="14" s="1"/>
  <c r="M8" i="14"/>
  <c r="H24" i="13"/>
  <c r="H20" i="13"/>
  <c r="G23" i="13"/>
  <c r="H22" i="13"/>
  <c r="H21" i="13"/>
  <c r="N5" i="13"/>
  <c r="L22" i="13" s="1"/>
  <c r="M8" i="13"/>
  <c r="H21" i="10"/>
  <c r="G20" i="10"/>
  <c r="G23" i="10"/>
  <c r="H24" i="10"/>
  <c r="G21" i="10"/>
  <c r="H22" i="10"/>
  <c r="H20" i="10"/>
  <c r="E26" i="13" l="1"/>
  <c r="D25" i="13"/>
  <c r="E25" i="13" s="1"/>
  <c r="P18" i="13" s="1"/>
  <c r="R18" i="13" s="1"/>
  <c r="Q19" i="13" s="1"/>
  <c r="Q31" i="13" s="1"/>
  <c r="D24" i="13"/>
  <c r="E24" i="13" s="1"/>
  <c r="E21" i="13"/>
  <c r="E21" i="14"/>
  <c r="D24" i="14"/>
  <c r="E24" i="14" s="1"/>
  <c r="E26" i="14"/>
  <c r="D25" i="14"/>
  <c r="E25" i="14" s="1"/>
  <c r="P18" i="14" s="1"/>
  <c r="H23" i="10"/>
  <c r="G24" i="10"/>
  <c r="G22" i="10"/>
  <c r="R18" i="14" l="1"/>
  <c r="Q19" i="14" s="1"/>
  <c r="Q31" i="14" s="1"/>
  <c r="S23" i="13"/>
  <c r="S27" i="13"/>
  <c r="S22" i="13"/>
  <c r="S24" i="13"/>
  <c r="S28" i="13"/>
  <c r="S29" i="13"/>
  <c r="S25" i="13"/>
  <c r="S30" i="13"/>
  <c r="S26" i="13"/>
  <c r="F21" i="13"/>
  <c r="I21" i="13" s="1"/>
  <c r="F24" i="13"/>
  <c r="I24" i="13" s="1"/>
  <c r="F20" i="13"/>
  <c r="I20" i="13" s="1"/>
  <c r="K18" i="13"/>
  <c r="M18" i="13" s="1"/>
  <c r="L19" i="13" s="1"/>
  <c r="L25" i="13" s="1"/>
  <c r="N22" i="13" s="1"/>
  <c r="F22" i="13"/>
  <c r="I22" i="13" s="1"/>
  <c r="F23" i="13"/>
  <c r="I23" i="13" s="1"/>
  <c r="F24" i="14"/>
  <c r="I24" i="14" s="1"/>
  <c r="F21" i="14"/>
  <c r="I21" i="14" s="1"/>
  <c r="F22" i="14"/>
  <c r="I22" i="14" s="1"/>
  <c r="K18" i="14"/>
  <c r="M18" i="14" s="1"/>
  <c r="L19" i="14" s="1"/>
  <c r="F23" i="14"/>
  <c r="I23" i="14" s="1"/>
  <c r="F20" i="14"/>
  <c r="I20" i="14" s="1"/>
  <c r="L25" i="14" l="1"/>
  <c r="N22" i="14" s="1"/>
  <c r="L29" i="14"/>
  <c r="S22" i="14"/>
  <c r="S29" i="14"/>
  <c r="S30" i="14"/>
  <c r="S23" i="14"/>
  <c r="S26" i="14"/>
  <c r="S24" i="14"/>
  <c r="S25" i="14"/>
  <c r="S27" i="14"/>
  <c r="S28" i="14"/>
  <c r="N23" i="13"/>
  <c r="N24" i="13"/>
  <c r="C26" i="12"/>
  <c r="C23" i="12"/>
  <c r="C22" i="12"/>
  <c r="C23" i="9"/>
  <c r="C21" i="12"/>
  <c r="C22" i="9"/>
  <c r="C20" i="12"/>
  <c r="G5" i="12"/>
  <c r="P23" i="12" s="1"/>
  <c r="G6" i="12"/>
  <c r="P24" i="12" s="1"/>
  <c r="G7" i="12"/>
  <c r="P25" i="12" s="1"/>
  <c r="G8" i="12"/>
  <c r="P26" i="12" s="1"/>
  <c r="G9" i="12"/>
  <c r="P27" i="12" s="1"/>
  <c r="G10" i="12"/>
  <c r="P28" i="12" s="1"/>
  <c r="G11" i="12"/>
  <c r="P29" i="12" s="1"/>
  <c r="G12" i="12"/>
  <c r="P30" i="12" s="1"/>
  <c r="G4" i="12"/>
  <c r="P22" i="12" s="1"/>
  <c r="D13" i="12"/>
  <c r="E13" i="12"/>
  <c r="C13" i="12"/>
  <c r="F10" i="12"/>
  <c r="J7" i="12" s="1"/>
  <c r="F5" i="12"/>
  <c r="K5" i="12" s="1"/>
  <c r="F6" i="12"/>
  <c r="F7" i="12"/>
  <c r="J6" i="12" s="1"/>
  <c r="F8" i="12"/>
  <c r="K6" i="12" s="1"/>
  <c r="F9" i="12"/>
  <c r="L6" i="12" s="1"/>
  <c r="F11" i="12"/>
  <c r="K7" i="12" s="1"/>
  <c r="F12" i="12"/>
  <c r="L7" i="12" s="1"/>
  <c r="F4" i="12"/>
  <c r="J5" i="12" s="1"/>
  <c r="G4" i="10"/>
  <c r="P22" i="10" s="1"/>
  <c r="F4" i="10"/>
  <c r="N23" i="14" l="1"/>
  <c r="N24" i="14"/>
  <c r="N26" i="14"/>
  <c r="N27" i="14"/>
  <c r="N28" i="14"/>
  <c r="C25" i="12"/>
  <c r="H20" i="12" s="1"/>
  <c r="M6" i="12"/>
  <c r="N6" i="12" s="1"/>
  <c r="L23" i="12" s="1"/>
  <c r="C24" i="12"/>
  <c r="F13" i="12"/>
  <c r="J11" i="12" s="1"/>
  <c r="J5" i="10"/>
  <c r="F13" i="10"/>
  <c r="J11" i="10" s="1"/>
  <c r="K8" i="12"/>
  <c r="K9" i="12" s="1"/>
  <c r="L27" i="12" s="1"/>
  <c r="L5" i="12"/>
  <c r="L8" i="12" s="1"/>
  <c r="L9" i="12" s="1"/>
  <c r="L28" i="12" s="1"/>
  <c r="M7" i="12"/>
  <c r="N7" i="12" s="1"/>
  <c r="L24" i="12" s="1"/>
  <c r="J8" i="12"/>
  <c r="J9" i="12" s="1"/>
  <c r="L26" i="12" s="1"/>
  <c r="G21" i="12" l="1"/>
  <c r="G23" i="12"/>
  <c r="G22" i="12"/>
  <c r="H22" i="12"/>
  <c r="G24" i="12"/>
  <c r="H24" i="12"/>
  <c r="H23" i="12"/>
  <c r="M5" i="12"/>
  <c r="M8" i="12" s="1"/>
  <c r="H21" i="12"/>
  <c r="G20" i="12"/>
  <c r="D26" i="12"/>
  <c r="D21" i="12"/>
  <c r="D20" i="12"/>
  <c r="E20" i="12" s="1"/>
  <c r="D23" i="12"/>
  <c r="E23" i="12" s="1"/>
  <c r="D21" i="10"/>
  <c r="D26" i="10"/>
  <c r="D20" i="10"/>
  <c r="E20" i="10" s="1"/>
  <c r="J8" i="10"/>
  <c r="J9" i="10" s="1"/>
  <c r="L26" i="10" s="1"/>
  <c r="M5" i="10"/>
  <c r="D22" i="10" s="1"/>
  <c r="E22" i="10" s="1"/>
  <c r="N5" i="12" l="1"/>
  <c r="L22" i="12" s="1"/>
  <c r="D22" i="12"/>
  <c r="E22" i="12" s="1"/>
  <c r="E21" i="12"/>
  <c r="E26" i="12"/>
  <c r="D25" i="12"/>
  <c r="E25" i="12" s="1"/>
  <c r="N5" i="10"/>
  <c r="L22" i="10" s="1"/>
  <c r="M8" i="10"/>
  <c r="E26" i="10"/>
  <c r="D25" i="10"/>
  <c r="E25" i="10" s="1"/>
  <c r="D23" i="10"/>
  <c r="E23" i="10" s="1"/>
  <c r="E21" i="10"/>
  <c r="C24" i="9"/>
  <c r="C25" i="9" s="1"/>
  <c r="C21" i="9"/>
  <c r="K7" i="9"/>
  <c r="D14" i="9"/>
  <c r="E14" i="9"/>
  <c r="C14" i="9"/>
  <c r="G12" i="9"/>
  <c r="G6" i="9"/>
  <c r="G7" i="9"/>
  <c r="G8" i="9"/>
  <c r="G9" i="9"/>
  <c r="G10" i="9"/>
  <c r="G11" i="9"/>
  <c r="G13" i="9"/>
  <c r="F6" i="9"/>
  <c r="K6" i="9" s="1"/>
  <c r="F7" i="9"/>
  <c r="L6" i="9" s="1"/>
  <c r="F8" i="9"/>
  <c r="J7" i="9" s="1"/>
  <c r="F9" i="9"/>
  <c r="F10" i="9"/>
  <c r="L7" i="9" s="1"/>
  <c r="F11" i="9"/>
  <c r="J8" i="9" s="1"/>
  <c r="F12" i="9"/>
  <c r="K8" i="9" s="1"/>
  <c r="F13" i="9"/>
  <c r="L8" i="9" s="1"/>
  <c r="G5" i="9"/>
  <c r="F5" i="9"/>
  <c r="J6" i="9" s="1"/>
  <c r="O18" i="12" l="1"/>
  <c r="Q18" i="12" s="1"/>
  <c r="P19" i="12" s="1"/>
  <c r="P31" i="12" s="1"/>
  <c r="K18" i="12"/>
  <c r="M18" i="12" s="1"/>
  <c r="L19" i="12" s="1"/>
  <c r="L25" i="12" s="1"/>
  <c r="J9" i="9"/>
  <c r="J10" i="9" s="1"/>
  <c r="L27" i="9" s="1"/>
  <c r="N27" i="9" s="1"/>
  <c r="M8" i="9"/>
  <c r="N8" i="9" s="1"/>
  <c r="L25" i="9" s="1"/>
  <c r="L9" i="9"/>
  <c r="L10" i="9" s="1"/>
  <c r="L29" i="9" s="1"/>
  <c r="N29" i="9" s="1"/>
  <c r="K9" i="9"/>
  <c r="K10" i="9" s="1"/>
  <c r="L28" i="9" s="1"/>
  <c r="N28" i="9" s="1"/>
  <c r="F20" i="10"/>
  <c r="I20" i="10" s="1"/>
  <c r="O18" i="10"/>
  <c r="D24" i="12"/>
  <c r="E24" i="12" s="1"/>
  <c r="F24" i="12" s="1"/>
  <c r="I24" i="12" s="1"/>
  <c r="M7" i="9"/>
  <c r="N7" i="9" s="1"/>
  <c r="L24" i="9" s="1"/>
  <c r="F14" i="9"/>
  <c r="J12" i="9" s="1"/>
  <c r="C26" i="9"/>
  <c r="H21" i="9" s="1"/>
  <c r="F21" i="12"/>
  <c r="I21" i="12" s="1"/>
  <c r="F23" i="12"/>
  <c r="I23" i="12" s="1"/>
  <c r="F20" i="12"/>
  <c r="I20" i="12" s="1"/>
  <c r="F22" i="12"/>
  <c r="I22" i="12" s="1"/>
  <c r="D24" i="10"/>
  <c r="E24" i="10" s="1"/>
  <c r="F24" i="10" s="1"/>
  <c r="I24" i="10" s="1"/>
  <c r="F23" i="10"/>
  <c r="I23" i="10" s="1"/>
  <c r="F21" i="10"/>
  <c r="I21" i="10" s="1"/>
  <c r="K18" i="10"/>
  <c r="M18" i="10" s="1"/>
  <c r="L19" i="10" s="1"/>
  <c r="F22" i="10"/>
  <c r="I22" i="10" s="1"/>
  <c r="M6" i="9"/>
  <c r="N23" i="12" l="1"/>
  <c r="N24" i="12"/>
  <c r="N22" i="12"/>
  <c r="G24" i="9"/>
  <c r="G25" i="9"/>
  <c r="G21" i="9"/>
  <c r="R30" i="12"/>
  <c r="R28" i="12"/>
  <c r="R23" i="12"/>
  <c r="R24" i="12"/>
  <c r="R27" i="12"/>
  <c r="R26" i="12"/>
  <c r="R29" i="12"/>
  <c r="R22" i="12"/>
  <c r="R25" i="12"/>
  <c r="L25" i="10"/>
  <c r="N24" i="10" s="1"/>
  <c r="L29" i="10"/>
  <c r="Q18" i="10"/>
  <c r="P19" i="10" s="1"/>
  <c r="P31" i="10" s="1"/>
  <c r="D21" i="9"/>
  <c r="E21" i="9" s="1"/>
  <c r="D23" i="9"/>
  <c r="E23" i="9" s="1"/>
  <c r="D27" i="9"/>
  <c r="D22" i="9"/>
  <c r="D24" i="9"/>
  <c r="E24" i="9" s="1"/>
  <c r="H23" i="9"/>
  <c r="G23" i="9"/>
  <c r="H22" i="9"/>
  <c r="G22" i="9"/>
  <c r="H25" i="9"/>
  <c r="H24" i="9"/>
  <c r="N6" i="9"/>
  <c r="L23" i="9" s="1"/>
  <c r="M9" i="9"/>
  <c r="N23" i="10" l="1"/>
  <c r="N22" i="10"/>
  <c r="N28" i="10"/>
  <c r="N26" i="10"/>
  <c r="N27" i="10"/>
  <c r="R22" i="10"/>
  <c r="R24" i="10"/>
  <c r="R29" i="10"/>
  <c r="R30" i="10"/>
  <c r="R23" i="10"/>
  <c r="R27" i="10"/>
  <c r="R25" i="10"/>
  <c r="R26" i="10"/>
  <c r="R28" i="10"/>
  <c r="E22" i="9"/>
  <c r="D25" i="9"/>
  <c r="E25" i="9" s="1"/>
  <c r="E27" i="9"/>
  <c r="D26" i="9"/>
  <c r="E26" i="9" s="1"/>
  <c r="K19" i="9" s="1"/>
  <c r="M19" i="9" s="1"/>
  <c r="L20" i="9" s="1"/>
  <c r="L26" i="9" s="1"/>
  <c r="F24" i="9"/>
  <c r="I24" i="9" s="1"/>
  <c r="N25" i="9" l="1"/>
  <c r="N24" i="9"/>
  <c r="N23" i="9"/>
  <c r="F21" i="9"/>
  <c r="I21" i="9" s="1"/>
  <c r="F25" i="9"/>
  <c r="I25" i="9" s="1"/>
  <c r="F23" i="9"/>
  <c r="I23" i="9" s="1"/>
  <c r="F22" i="9"/>
  <c r="I22" i="9" s="1"/>
  <c r="C34" i="4" l="1"/>
  <c r="C34" i="3"/>
  <c r="C35" i="2" l="1"/>
  <c r="C35" i="1"/>
  <c r="X5" i="1" l="1"/>
  <c r="X6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O25" i="1"/>
  <c r="M34" i="1" s="1"/>
  <c r="M35" i="1"/>
  <c r="Q25" i="1"/>
  <c r="M36" i="1" s="1"/>
  <c r="R25" i="1"/>
  <c r="M37" i="1" s="1"/>
  <c r="S25" i="1"/>
  <c r="M38" i="1" s="1"/>
  <c r="T25" i="1"/>
  <c r="M39" i="1" s="1"/>
  <c r="U25" i="1"/>
  <c r="M40" i="1" s="1"/>
  <c r="V25" i="1"/>
  <c r="M41" i="1" s="1"/>
  <c r="W25" i="1"/>
  <c r="M42" i="1" s="1"/>
  <c r="T26" i="1"/>
  <c r="P26" i="1"/>
  <c r="AA9" i="4"/>
  <c r="AA3" i="4"/>
  <c r="AA11" i="4"/>
  <c r="AA10" i="4"/>
  <c r="AA8" i="4"/>
  <c r="AA7" i="4"/>
  <c r="AA6" i="4"/>
  <c r="AA5" i="4"/>
  <c r="AA4" i="4"/>
  <c r="D25" i="4"/>
  <c r="L35" i="4" s="1"/>
  <c r="E25" i="4"/>
  <c r="L36" i="4" s="1"/>
  <c r="F25" i="4"/>
  <c r="L37" i="4" s="1"/>
  <c r="G25" i="4"/>
  <c r="L38" i="4" s="1"/>
  <c r="H25" i="4"/>
  <c r="L39" i="4" s="1"/>
  <c r="I25" i="4"/>
  <c r="L40" i="4" s="1"/>
  <c r="J25" i="4"/>
  <c r="L41" i="4" s="1"/>
  <c r="K25" i="4"/>
  <c r="L42" i="4" s="1"/>
  <c r="D24" i="4"/>
  <c r="E24" i="4"/>
  <c r="F24" i="4"/>
  <c r="G24" i="4"/>
  <c r="H24" i="4"/>
  <c r="I24" i="4"/>
  <c r="J24" i="4"/>
  <c r="K24" i="4"/>
  <c r="C25" i="4"/>
  <c r="L34" i="4" s="1"/>
  <c r="C24" i="4"/>
  <c r="Q25" i="4"/>
  <c r="P25" i="4"/>
  <c r="R25" i="4"/>
  <c r="S25" i="4"/>
  <c r="T25" i="4"/>
  <c r="U25" i="4"/>
  <c r="V25" i="4"/>
  <c r="W25" i="4"/>
  <c r="P24" i="4"/>
  <c r="M35" i="4" s="1"/>
  <c r="Q24" i="4"/>
  <c r="M36" i="4" s="1"/>
  <c r="R24" i="4"/>
  <c r="M37" i="4" s="1"/>
  <c r="S24" i="4"/>
  <c r="M38" i="4" s="1"/>
  <c r="T24" i="4"/>
  <c r="M39" i="4" s="1"/>
  <c r="U24" i="4"/>
  <c r="M40" i="4" s="1"/>
  <c r="V24" i="4"/>
  <c r="M41" i="4" s="1"/>
  <c r="W24" i="4"/>
  <c r="M42" i="4" s="1"/>
  <c r="O25" i="4"/>
  <c r="O24" i="4"/>
  <c r="M34" i="4" s="1"/>
  <c r="X23" i="4"/>
  <c r="L23" i="4"/>
  <c r="X22" i="4"/>
  <c r="L22" i="4"/>
  <c r="X21" i="4"/>
  <c r="L21" i="4"/>
  <c r="X20" i="4"/>
  <c r="L20" i="4"/>
  <c r="X19" i="4"/>
  <c r="L19" i="4"/>
  <c r="X18" i="4"/>
  <c r="L18" i="4"/>
  <c r="X17" i="4"/>
  <c r="L17" i="4"/>
  <c r="X16" i="4"/>
  <c r="L16" i="4"/>
  <c r="X15" i="4"/>
  <c r="L15" i="4"/>
  <c r="X14" i="4"/>
  <c r="L14" i="4"/>
  <c r="X13" i="4"/>
  <c r="L13" i="4"/>
  <c r="X12" i="4"/>
  <c r="L12" i="4"/>
  <c r="X11" i="4"/>
  <c r="L11" i="4"/>
  <c r="X10" i="4"/>
  <c r="L10" i="4"/>
  <c r="X9" i="4"/>
  <c r="L9" i="4"/>
  <c r="X8" i="4"/>
  <c r="L8" i="4"/>
  <c r="X7" i="4"/>
  <c r="L7" i="4"/>
  <c r="X6" i="4"/>
  <c r="L6" i="4"/>
  <c r="X5" i="4"/>
  <c r="L5" i="4"/>
  <c r="X4" i="4"/>
  <c r="L4" i="4"/>
  <c r="AA10" i="3"/>
  <c r="AA6" i="3"/>
  <c r="AA3" i="3"/>
  <c r="AA11" i="3"/>
  <c r="AA9" i="3"/>
  <c r="AA8" i="3"/>
  <c r="AA7" i="3"/>
  <c r="AA5" i="3"/>
  <c r="AA4" i="3"/>
  <c r="D25" i="3"/>
  <c r="L35" i="3" s="1"/>
  <c r="E25" i="3"/>
  <c r="L36" i="3" s="1"/>
  <c r="F25" i="3"/>
  <c r="L37" i="3" s="1"/>
  <c r="G25" i="3"/>
  <c r="L38" i="3" s="1"/>
  <c r="H25" i="3"/>
  <c r="L39" i="3" s="1"/>
  <c r="I25" i="3"/>
  <c r="L40" i="3" s="1"/>
  <c r="J25" i="3"/>
  <c r="L41" i="3" s="1"/>
  <c r="K25" i="3"/>
  <c r="L42" i="3" s="1"/>
  <c r="D24" i="3"/>
  <c r="E24" i="3"/>
  <c r="F24" i="3"/>
  <c r="G24" i="3"/>
  <c r="H24" i="3"/>
  <c r="I24" i="3"/>
  <c r="J24" i="3"/>
  <c r="K24" i="3"/>
  <c r="C25" i="3"/>
  <c r="L34" i="3" s="1"/>
  <c r="C24" i="3"/>
  <c r="P25" i="3"/>
  <c r="Q25" i="3"/>
  <c r="R25" i="3"/>
  <c r="S25" i="3"/>
  <c r="T25" i="3"/>
  <c r="U25" i="3"/>
  <c r="V25" i="3"/>
  <c r="W25" i="3"/>
  <c r="O25" i="3"/>
  <c r="P24" i="3"/>
  <c r="M35" i="3" s="1"/>
  <c r="O35" i="3" s="1"/>
  <c r="Q24" i="3"/>
  <c r="M36" i="3" s="1"/>
  <c r="O36" i="3" s="1"/>
  <c r="R24" i="3"/>
  <c r="M37" i="3" s="1"/>
  <c r="O37" i="3" s="1"/>
  <c r="S24" i="3"/>
  <c r="M38" i="3" s="1"/>
  <c r="O38" i="3" s="1"/>
  <c r="T24" i="3"/>
  <c r="M39" i="3" s="1"/>
  <c r="O39" i="3" s="1"/>
  <c r="U24" i="3"/>
  <c r="M40" i="3" s="1"/>
  <c r="O40" i="3" s="1"/>
  <c r="V24" i="3"/>
  <c r="M41" i="3" s="1"/>
  <c r="O41" i="3" s="1"/>
  <c r="W24" i="3"/>
  <c r="M42" i="3" s="1"/>
  <c r="O42" i="3" s="1"/>
  <c r="O24" i="3"/>
  <c r="X23" i="3"/>
  <c r="L23" i="3"/>
  <c r="X22" i="3"/>
  <c r="L22" i="3"/>
  <c r="X21" i="3"/>
  <c r="L21" i="3"/>
  <c r="X20" i="3"/>
  <c r="L20" i="3"/>
  <c r="X19" i="3"/>
  <c r="L19" i="3"/>
  <c r="X18" i="3"/>
  <c r="L18" i="3"/>
  <c r="X17" i="3"/>
  <c r="L17" i="3"/>
  <c r="X16" i="3"/>
  <c r="L16" i="3"/>
  <c r="X15" i="3"/>
  <c r="L15" i="3"/>
  <c r="X14" i="3"/>
  <c r="L14" i="3"/>
  <c r="X13" i="3"/>
  <c r="L13" i="3"/>
  <c r="X12" i="3"/>
  <c r="L12" i="3"/>
  <c r="X11" i="3"/>
  <c r="L11" i="3"/>
  <c r="X10" i="3"/>
  <c r="L10" i="3"/>
  <c r="X9" i="3"/>
  <c r="L9" i="3"/>
  <c r="X8" i="3"/>
  <c r="L8" i="3"/>
  <c r="X7" i="3"/>
  <c r="L7" i="3"/>
  <c r="X6" i="3"/>
  <c r="L6" i="3"/>
  <c r="X5" i="3"/>
  <c r="L5" i="3"/>
  <c r="X4" i="3"/>
  <c r="L4" i="3"/>
  <c r="L24" i="3" s="1"/>
  <c r="AA11" i="1"/>
  <c r="AA10" i="1"/>
  <c r="AA9" i="1"/>
  <c r="AA7" i="1"/>
  <c r="AA6" i="1"/>
  <c r="AA5" i="1"/>
  <c r="AA4" i="1"/>
  <c r="AA11" i="2"/>
  <c r="AA10" i="2"/>
  <c r="AA9" i="2"/>
  <c r="AA8" i="2"/>
  <c r="AA7" i="2"/>
  <c r="AA6" i="2"/>
  <c r="AA5" i="2"/>
  <c r="AA4" i="2"/>
  <c r="AA3" i="2"/>
  <c r="D24" i="2"/>
  <c r="L34" i="2" s="1"/>
  <c r="E24" i="2"/>
  <c r="L35" i="2" s="1"/>
  <c r="F24" i="2"/>
  <c r="L36" i="2" s="1"/>
  <c r="G24" i="2"/>
  <c r="L37" i="2" s="1"/>
  <c r="H24" i="2"/>
  <c r="L38" i="2" s="1"/>
  <c r="I24" i="2"/>
  <c r="L39" i="2" s="1"/>
  <c r="J24" i="2"/>
  <c r="L40" i="2" s="1"/>
  <c r="K24" i="2"/>
  <c r="L41" i="2" s="1"/>
  <c r="C24" i="2"/>
  <c r="L33" i="2" s="1"/>
  <c r="P24" i="2"/>
  <c r="M35" i="2" s="1"/>
  <c r="Q24" i="2"/>
  <c r="M36" i="2" s="1"/>
  <c r="R24" i="2"/>
  <c r="M37" i="2" s="1"/>
  <c r="S24" i="2"/>
  <c r="M38" i="2" s="1"/>
  <c r="T24" i="2"/>
  <c r="M39" i="2" s="1"/>
  <c r="U24" i="2"/>
  <c r="M40" i="2" s="1"/>
  <c r="V24" i="2"/>
  <c r="M41" i="2" s="1"/>
  <c r="W24" i="2"/>
  <c r="M42" i="2" s="1"/>
  <c r="O24" i="2"/>
  <c r="X23" i="2"/>
  <c r="L23" i="2"/>
  <c r="X22" i="2"/>
  <c r="L22" i="2"/>
  <c r="X21" i="2"/>
  <c r="L21" i="2"/>
  <c r="X20" i="2"/>
  <c r="L20" i="2"/>
  <c r="X19" i="2"/>
  <c r="L19" i="2"/>
  <c r="X18" i="2"/>
  <c r="L18" i="2"/>
  <c r="X17" i="2"/>
  <c r="L17" i="2"/>
  <c r="X16" i="2"/>
  <c r="L16" i="2"/>
  <c r="X15" i="2"/>
  <c r="L15" i="2"/>
  <c r="X14" i="2"/>
  <c r="L14" i="2"/>
  <c r="X13" i="2"/>
  <c r="L13" i="2"/>
  <c r="X12" i="2"/>
  <c r="L12" i="2"/>
  <c r="X11" i="2"/>
  <c r="L11" i="2"/>
  <c r="X10" i="2"/>
  <c r="L10" i="2"/>
  <c r="X9" i="2"/>
  <c r="L9" i="2"/>
  <c r="X8" i="2"/>
  <c r="L8" i="2"/>
  <c r="X7" i="2"/>
  <c r="L7" i="2"/>
  <c r="X6" i="2"/>
  <c r="L6" i="2"/>
  <c r="X5" i="2"/>
  <c r="L5" i="2"/>
  <c r="X4" i="2"/>
  <c r="L4" i="2"/>
  <c r="AA3" i="1"/>
  <c r="Q26" i="1"/>
  <c r="R26" i="1"/>
  <c r="S26" i="1"/>
  <c r="U26" i="1"/>
  <c r="V26" i="1"/>
  <c r="W26" i="1"/>
  <c r="O26" i="1"/>
  <c r="D25" i="1"/>
  <c r="L35" i="1" s="1"/>
  <c r="E25" i="1"/>
  <c r="L36" i="1" s="1"/>
  <c r="F25" i="1"/>
  <c r="L37" i="1" s="1"/>
  <c r="G25" i="1"/>
  <c r="L38" i="1" s="1"/>
  <c r="H25" i="1"/>
  <c r="L39" i="1" s="1"/>
  <c r="I25" i="1"/>
  <c r="L40" i="1" s="1"/>
  <c r="J25" i="1"/>
  <c r="L41" i="1" s="1"/>
  <c r="K25" i="1"/>
  <c r="L42" i="1" s="1"/>
  <c r="C25" i="1"/>
  <c r="L34" i="1" s="1"/>
  <c r="K24" i="1"/>
  <c r="D24" i="1"/>
  <c r="E24" i="1"/>
  <c r="F24" i="1"/>
  <c r="G24" i="1"/>
  <c r="H24" i="1"/>
  <c r="I24" i="1"/>
  <c r="J24" i="1"/>
  <c r="C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4" i="1"/>
  <c r="L24" i="4" l="1"/>
  <c r="C34" i="2"/>
  <c r="M34" i="2"/>
  <c r="L24" i="1"/>
  <c r="M34" i="3"/>
  <c r="O34" i="3" s="1"/>
  <c r="C33" i="3"/>
  <c r="AA8" i="1"/>
</calcChain>
</file>

<file path=xl/sharedStrings.xml><?xml version="1.0" encoding="utf-8"?>
<sst xmlns="http://schemas.openxmlformats.org/spreadsheetml/2006/main" count="1383" uniqueCount="192">
  <si>
    <t>ORGANOLEPTIK WARNA</t>
  </si>
  <si>
    <t>Panelis</t>
  </si>
  <si>
    <t>Perlakuan</t>
  </si>
  <si>
    <t>Total</t>
  </si>
  <si>
    <t>G1A1</t>
  </si>
  <si>
    <t>G1A2</t>
  </si>
  <si>
    <t>G1A3</t>
  </si>
  <si>
    <t>G2A1</t>
  </si>
  <si>
    <t>G2A2</t>
  </si>
  <si>
    <t>G2A3</t>
  </si>
  <si>
    <t>G3A1</t>
  </si>
  <si>
    <t>G3A2</t>
  </si>
  <si>
    <t>G3A3</t>
  </si>
  <si>
    <t>RANK</t>
  </si>
  <si>
    <t>TOTAL</t>
  </si>
  <si>
    <t>RATA2</t>
  </si>
  <si>
    <t>STANDAR DEVISIASI</t>
  </si>
  <si>
    <t>ORGANOLEPTIK RASA</t>
  </si>
  <si>
    <t>Standar Devisiasi</t>
  </si>
  <si>
    <t>ORGANOLEPTIK TEKSTUR</t>
  </si>
  <si>
    <t>ORGANOLEPTIK AROMA</t>
  </si>
  <si>
    <t>PERLAKUAN</t>
  </si>
  <si>
    <t>ULANGAN</t>
  </si>
  <si>
    <t>RERATA</t>
  </si>
  <si>
    <t>Kadar Abu</t>
  </si>
  <si>
    <t>T</t>
  </si>
  <si>
    <t>X2</t>
  </si>
  <si>
    <t>T&lt;X2</t>
  </si>
  <si>
    <t>Terima H0/ Tolak H1</t>
  </si>
  <si>
    <t>T &gt; X2</t>
  </si>
  <si>
    <t>Tolak H0 / Terima H1</t>
  </si>
  <si>
    <t>Organoleptik Tekstur</t>
  </si>
  <si>
    <t>G1A1 (Gelatin 5% &amp; As Sitrat 0,5%)</t>
  </si>
  <si>
    <t>TOTAL RANKING</t>
  </si>
  <si>
    <t>RATA- RATA</t>
  </si>
  <si>
    <t>GIA3 (Gelatin 5% &amp; As Sitrat 1,5%)</t>
  </si>
  <si>
    <t>G1A2 (Gelatin 5% &amp; As Sitrat 1%)</t>
  </si>
  <si>
    <t>G2A1 (Gelatin 7,5% &amp; As Sitrat 0,5%)</t>
  </si>
  <si>
    <t>G2A2 (Gelatin 7,5% &amp; As Sitrat 1%)</t>
  </si>
  <si>
    <t>G2A3 (Gelatin 7,5% &amp; As Sitrat 1,5%)</t>
  </si>
  <si>
    <t>G3A1 (Gelatin 10% &amp; As Sitrat 0,5%)</t>
  </si>
  <si>
    <t>G3A2 (Gelatin 10% &amp; As Sitrat 1%)</t>
  </si>
  <si>
    <t>G3A3 (Gelatin 10% &amp; As Sitrat 1,5%)</t>
  </si>
  <si>
    <t>Titik Kritis</t>
  </si>
  <si>
    <t>T &lt; X2</t>
  </si>
  <si>
    <t>Terima H0 / Tolak H1</t>
  </si>
  <si>
    <t>TABEL 2 ARAH</t>
  </si>
  <si>
    <t>FAKTOR A</t>
  </si>
  <si>
    <t>FAKTOR G</t>
  </si>
  <si>
    <t>AI</t>
  </si>
  <si>
    <t>A2</t>
  </si>
  <si>
    <t>A3</t>
  </si>
  <si>
    <t>G1</t>
  </si>
  <si>
    <t>G2</t>
  </si>
  <si>
    <t>G3</t>
  </si>
  <si>
    <t>FK</t>
  </si>
  <si>
    <t>t (perlakuan)</t>
  </si>
  <si>
    <t>r (ulangan)</t>
  </si>
  <si>
    <t>G</t>
  </si>
  <si>
    <t>A</t>
  </si>
  <si>
    <t>TABEL ANOVA RAK FAKTORIAL UJI KADAR AIR</t>
  </si>
  <si>
    <t>SK</t>
  </si>
  <si>
    <t>DB</t>
  </si>
  <si>
    <t>JK</t>
  </si>
  <si>
    <t>KT</t>
  </si>
  <si>
    <t>F hit</t>
  </si>
  <si>
    <t>F Tab</t>
  </si>
  <si>
    <t>KET</t>
  </si>
  <si>
    <t>Kelompok</t>
  </si>
  <si>
    <t>GxA</t>
  </si>
  <si>
    <t>Galat / sisa</t>
  </si>
  <si>
    <t>Akar KTG/t</t>
  </si>
  <si>
    <t>BNJ Tabel</t>
  </si>
  <si>
    <t>BNJ Hit</t>
  </si>
  <si>
    <t>BNJ 5%</t>
  </si>
  <si>
    <t>rata-rata</t>
  </si>
  <si>
    <t xml:space="preserve">notasi </t>
  </si>
  <si>
    <t>A1</t>
  </si>
  <si>
    <t>tn</t>
  </si>
  <si>
    <t>B</t>
  </si>
  <si>
    <t>AB</t>
  </si>
  <si>
    <t>Sangat Nyata</t>
  </si>
  <si>
    <t>TABEL ANOVA RAK FAKTORIAL UJI pH</t>
  </si>
  <si>
    <t>TABEL ANOVA RAK FAKTORIAL UJI KADAR ABU</t>
  </si>
  <si>
    <t>C</t>
  </si>
  <si>
    <t>WARNA COLOR READER L</t>
  </si>
  <si>
    <t>TABEL ANOVA RAK FAKTORIAL WARNA L (KECERAHAN)</t>
  </si>
  <si>
    <t>F Hit</t>
  </si>
  <si>
    <t>F Tabel</t>
  </si>
  <si>
    <t>Keterangan</t>
  </si>
  <si>
    <t>Akar KTG/r</t>
  </si>
  <si>
    <t>notasi</t>
  </si>
  <si>
    <t>Blanko</t>
  </si>
  <si>
    <t>Konsentrasi</t>
  </si>
  <si>
    <t>% inhibisi</t>
  </si>
  <si>
    <t>Absorbansi</t>
  </si>
  <si>
    <t>Abs Blanko-Abs Sampel</t>
  </si>
  <si>
    <t>Nilai IC50</t>
  </si>
  <si>
    <t>x =</t>
  </si>
  <si>
    <t>G1A1 (2)</t>
  </si>
  <si>
    <t>y = ax + b</t>
  </si>
  <si>
    <t xml:space="preserve">y </t>
  </si>
  <si>
    <t>a</t>
  </si>
  <si>
    <t>b</t>
  </si>
  <si>
    <t>G1A1 (3)</t>
  </si>
  <si>
    <t>G1A2 (1)</t>
  </si>
  <si>
    <t>G1A2 (2)</t>
  </si>
  <si>
    <t>G1A2 (3)</t>
  </si>
  <si>
    <t>G1A3 (2)</t>
  </si>
  <si>
    <t>G1A3 (3)</t>
  </si>
  <si>
    <t>G2A1 (1)</t>
  </si>
  <si>
    <t>G2A1 (2)</t>
  </si>
  <si>
    <t>G2A2 (1)</t>
  </si>
  <si>
    <t>G2A2 (2)</t>
  </si>
  <si>
    <t>G2A2 (3)</t>
  </si>
  <si>
    <t>G2A3 (1)</t>
  </si>
  <si>
    <t>G2A3 (2)</t>
  </si>
  <si>
    <t>G2A3 (3)</t>
  </si>
  <si>
    <t>G3A1 (1)</t>
  </si>
  <si>
    <t>G3A1 (2)</t>
  </si>
  <si>
    <t>G3A1 (3)</t>
  </si>
  <si>
    <t>G3A2 (1)</t>
  </si>
  <si>
    <t>G3A2 (2)</t>
  </si>
  <si>
    <t>G3A2 (3)</t>
  </si>
  <si>
    <t>G3A3 (1)</t>
  </si>
  <si>
    <t>G3A3 (2)</t>
  </si>
  <si>
    <t>G3A3 (3)</t>
  </si>
  <si>
    <t>TABEL ANOVA RAK FAKTORIAL WARNA A (REDNESS)</t>
  </si>
  <si>
    <t>TABEL ANOVA RAK FAKTORIAL UJI ANTIOKSIDAN</t>
  </si>
  <si>
    <t>cd</t>
  </si>
  <si>
    <t>ab</t>
  </si>
  <si>
    <t>bc</t>
  </si>
  <si>
    <t>d</t>
  </si>
  <si>
    <t>c</t>
  </si>
  <si>
    <t>de</t>
  </si>
  <si>
    <t>f</t>
  </si>
  <si>
    <t>ef</t>
  </si>
  <si>
    <t>Parameter</t>
  </si>
  <si>
    <t>Nilai Perlakuan</t>
  </si>
  <si>
    <t>Nilai Terbaik</t>
  </si>
  <si>
    <t>Nilai Terjelek</t>
  </si>
  <si>
    <t>Selisih</t>
  </si>
  <si>
    <t>Kadar Air</t>
  </si>
  <si>
    <t>Tekstur</t>
  </si>
  <si>
    <t>Antioksidan</t>
  </si>
  <si>
    <t>Warna (L)</t>
  </si>
  <si>
    <t>Warna (a)</t>
  </si>
  <si>
    <t>Warna (b)</t>
  </si>
  <si>
    <t>Organoleptik Aroma</t>
  </si>
  <si>
    <t>Organoleptik Warna</t>
  </si>
  <si>
    <t>Organoleptik Rasa</t>
  </si>
  <si>
    <r>
      <t xml:space="preserve">kelompok A </t>
    </r>
    <r>
      <rPr>
        <sz val="11"/>
        <color theme="1"/>
        <rFont val="Wingdings"/>
        <charset val="2"/>
      </rPr>
      <t>á</t>
    </r>
  </si>
  <si>
    <r>
      <t xml:space="preserve">kelompok B </t>
    </r>
    <r>
      <rPr>
        <sz val="11"/>
        <color theme="1"/>
        <rFont val="Wingdings"/>
        <charset val="2"/>
      </rPr>
      <t>â</t>
    </r>
  </si>
  <si>
    <t>kadar abu</t>
  </si>
  <si>
    <t>nilai terbaik</t>
  </si>
  <si>
    <r>
      <t xml:space="preserve">G1A3 </t>
    </r>
    <r>
      <rPr>
        <sz val="11"/>
        <color rgb="FFFF0000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(1)</t>
    </r>
  </si>
  <si>
    <r>
      <t>G1A1</t>
    </r>
    <r>
      <rPr>
        <sz val="11"/>
        <color theme="1"/>
        <rFont val="Calibri"/>
        <family val="2"/>
        <scheme val="minor"/>
      </rPr>
      <t xml:space="preserve"> (1)</t>
    </r>
  </si>
  <si>
    <t>abc</t>
  </si>
  <si>
    <t>abcd</t>
  </si>
  <si>
    <t>Notasi</t>
  </si>
  <si>
    <t>bcde</t>
  </si>
  <si>
    <t>cde</t>
  </si>
  <si>
    <t>e</t>
  </si>
  <si>
    <t>KADAR AIR</t>
  </si>
  <si>
    <t>pH</t>
  </si>
  <si>
    <t>G2A1 (3)</t>
  </si>
  <si>
    <t>Bobot Parameter</t>
  </si>
  <si>
    <t>Bobot Normal</t>
  </si>
  <si>
    <t>Nilai Efektif</t>
  </si>
  <si>
    <t>Nilai Normal</t>
  </si>
  <si>
    <t>KADAR ABU</t>
  </si>
  <si>
    <t>TEKSTUR</t>
  </si>
  <si>
    <t>ANTIOKSIDAN</t>
  </si>
  <si>
    <t xml:space="preserve"> L</t>
  </si>
  <si>
    <t>ORGANOLEPTIK</t>
  </si>
  <si>
    <t>Warna</t>
  </si>
  <si>
    <t>Rasa</t>
  </si>
  <si>
    <t>Aroma</t>
  </si>
  <si>
    <t>RERATA PERLAKUAN TERBAIK</t>
  </si>
  <si>
    <t>antioksidan</t>
  </si>
  <si>
    <t>kadar air</t>
  </si>
  <si>
    <t>tekstur</t>
  </si>
  <si>
    <t>warna L</t>
  </si>
  <si>
    <t>warna a</t>
  </si>
  <si>
    <t>warna b</t>
  </si>
  <si>
    <t>orlep warna</t>
  </si>
  <si>
    <t>orlep aroma</t>
  </si>
  <si>
    <t>orlep rasa</t>
  </si>
  <si>
    <t>orlep tekstur</t>
  </si>
  <si>
    <t>sumsq 4 =</t>
  </si>
  <si>
    <t>SUMSQ</t>
  </si>
  <si>
    <t>(Bobot Parameter)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</si>
</sst>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"/>
    <numFmt numFmtId="165" formatCode="0.000"/>
    <numFmt numFmtId="166" formatCode="0.0"/>
    <numFmt numFmtId="167" formatCode="0.00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Wingdings"/>
      <charset val="2"/>
    </font>
    <font>
      <sz val="11"/>
      <color rgb="FFFF0000"/>
      <name val="Calibri"/>
      <family val="2"/>
      <scheme val="minor"/>
    </font>
    <font>
      <sz val="11"/>
      <color theme="1"/>
      <name val="Times New Roman"/>
      <family val="1"/>
    </font>
  </fonts>
  <fills count="25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52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3" borderId="1" xfId="0" applyFill="1" applyBorder="1"/>
    <xf numFmtId="0" fontId="0" fillId="4" borderId="1" xfId="0" applyFill="1" applyBorder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4" borderId="0" xfId="0" applyFill="1"/>
    <xf numFmtId="0" fontId="0" fillId="8" borderId="1" xfId="0" applyFill="1" applyBorder="1"/>
    <xf numFmtId="0" fontId="0" fillId="9" borderId="1" xfId="0" applyFill="1" applyBorder="1"/>
    <xf numFmtId="2" fontId="0" fillId="0" borderId="1" xfId="0" applyNumberFormat="1" applyBorder="1"/>
    <xf numFmtId="0" fontId="0" fillId="6" borderId="0" xfId="0" applyFill="1"/>
    <xf numFmtId="0" fontId="1" fillId="0" borderId="1" xfId="0" applyFont="1" applyFill="1" applyBorder="1"/>
    <xf numFmtId="2" fontId="1" fillId="0" borderId="1" xfId="0" applyNumberFormat="1" applyFont="1" applyBorder="1"/>
    <xf numFmtId="0" fontId="0" fillId="0" borderId="1" xfId="0" applyBorder="1" applyAlignment="1">
      <alignment horizontal="center" vertical="center"/>
    </xf>
    <xf numFmtId="0" fontId="1" fillId="3" borderId="1" xfId="0" applyFont="1" applyFill="1" applyBorder="1"/>
    <xf numFmtId="0" fontId="0" fillId="4" borderId="1" xfId="0" applyFill="1" applyBorder="1" applyAlignment="1">
      <alignment horizontal="center" vertical="center"/>
    </xf>
    <xf numFmtId="2" fontId="0" fillId="9" borderId="1" xfId="0" applyNumberFormat="1" applyFill="1" applyBorder="1"/>
    <xf numFmtId="0" fontId="0" fillId="0" borderId="1" xfId="0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2" fontId="0" fillId="9" borderId="1" xfId="0" applyNumberFormat="1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0" fillId="5" borderId="1" xfId="0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10" borderId="1" xfId="0" applyFill="1" applyBorder="1"/>
    <xf numFmtId="0" fontId="0" fillId="12" borderId="1" xfId="0" applyFill="1" applyBorder="1"/>
    <xf numFmtId="0" fontId="0" fillId="11" borderId="1" xfId="0" applyFill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0" xfId="0" applyBorder="1"/>
    <xf numFmtId="0" fontId="0" fillId="13" borderId="0" xfId="0" applyFill="1"/>
    <xf numFmtId="0" fontId="0" fillId="13" borderId="0" xfId="0" applyFill="1" applyBorder="1"/>
    <xf numFmtId="0" fontId="1" fillId="13" borderId="8" xfId="0" applyFont="1" applyFill="1" applyBorder="1"/>
    <xf numFmtId="0" fontId="1" fillId="0" borderId="8" xfId="0" applyFont="1" applyBorder="1"/>
    <xf numFmtId="0" fontId="1" fillId="0" borderId="5" xfId="0" applyFont="1" applyBorder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1" fillId="4" borderId="5" xfId="0" applyFont="1" applyFill="1" applyBorder="1"/>
    <xf numFmtId="0" fontId="0" fillId="13" borderId="11" xfId="0" applyFill="1" applyBorder="1"/>
    <xf numFmtId="2" fontId="1" fillId="4" borderId="1" xfId="0" applyNumberFormat="1" applyFont="1" applyFill="1" applyBorder="1"/>
    <xf numFmtId="2" fontId="1" fillId="0" borderId="1" xfId="0" applyNumberFormat="1" applyFont="1" applyBorder="1" applyAlignment="1">
      <alignment horizontal="center"/>
    </xf>
    <xf numFmtId="2" fontId="1" fillId="4" borderId="1" xfId="0" applyNumberFormat="1" applyFont="1" applyFill="1" applyBorder="1" applyAlignment="1">
      <alignment horizontal="center"/>
    </xf>
    <xf numFmtId="2" fontId="1" fillId="0" borderId="1" xfId="0" applyNumberFormat="1" applyFont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 vertical="center"/>
    </xf>
    <xf numFmtId="2" fontId="1" fillId="13" borderId="1" xfId="0" applyNumberFormat="1" applyFont="1" applyFill="1" applyBorder="1" applyAlignment="1">
      <alignment horizontal="center" vertical="center"/>
    </xf>
    <xf numFmtId="2" fontId="0" fillId="0" borderId="0" xfId="0" applyNumberFormat="1"/>
    <xf numFmtId="2" fontId="1" fillId="13" borderId="1" xfId="0" applyNumberFormat="1" applyFont="1" applyFill="1" applyBorder="1"/>
    <xf numFmtId="0" fontId="0" fillId="8" borderId="0" xfId="0" applyFill="1"/>
    <xf numFmtId="0" fontId="1" fillId="8" borderId="1" xfId="0" applyFont="1" applyFill="1" applyBorder="1" applyAlignment="1">
      <alignment horizontal="center"/>
    </xf>
    <xf numFmtId="0" fontId="1" fillId="8" borderId="1" xfId="0" applyFont="1" applyFill="1" applyBorder="1"/>
    <xf numFmtId="0" fontId="2" fillId="0" borderId="1" xfId="0" applyFont="1" applyBorder="1"/>
    <xf numFmtId="0" fontId="0" fillId="13" borderId="1" xfId="0" applyFill="1" applyBorder="1"/>
    <xf numFmtId="2" fontId="0" fillId="8" borderId="0" xfId="0" applyNumberFormat="1" applyFill="1"/>
    <xf numFmtId="0" fontId="3" fillId="16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2" fontId="2" fillId="0" borderId="1" xfId="0" applyNumberFormat="1" applyFont="1" applyBorder="1" applyAlignment="1">
      <alignment vertical="center"/>
    </xf>
    <xf numFmtId="0" fontId="2" fillId="15" borderId="1" xfId="0" applyFont="1" applyFill="1" applyBorder="1" applyAlignment="1">
      <alignment vertical="center"/>
    </xf>
    <xf numFmtId="0" fontId="1" fillId="14" borderId="1" xfId="0" applyFont="1" applyFill="1" applyBorder="1" applyAlignment="1">
      <alignment horizontal="center"/>
    </xf>
    <xf numFmtId="2" fontId="1" fillId="8" borderId="1" xfId="0" applyNumberFormat="1" applyFont="1" applyFill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66" fontId="0" fillId="0" borderId="1" xfId="0" applyNumberFormat="1" applyBorder="1"/>
    <xf numFmtId="0" fontId="0" fillId="17" borderId="1" xfId="0" applyFill="1" applyBorder="1"/>
    <xf numFmtId="165" fontId="1" fillId="0" borderId="1" xfId="0" applyNumberFormat="1" applyFont="1" applyBorder="1"/>
    <xf numFmtId="0" fontId="3" fillId="15" borderId="1" xfId="0" applyFont="1" applyFill="1" applyBorder="1" applyAlignment="1">
      <alignment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65" fontId="0" fillId="0" borderId="1" xfId="0" applyNumberFormat="1" applyBorder="1"/>
    <xf numFmtId="165" fontId="0" fillId="0" borderId="0" xfId="0" applyNumberFormat="1"/>
    <xf numFmtId="0" fontId="1" fillId="0" borderId="1" xfId="0" applyFont="1" applyBorder="1" applyAlignment="1">
      <alignment horizontal="center" vertical="center"/>
    </xf>
    <xf numFmtId="0" fontId="3" fillId="13" borderId="0" xfId="0" applyFont="1" applyFill="1" applyAlignment="1">
      <alignment vertical="center"/>
    </xf>
    <xf numFmtId="2" fontId="3" fillId="0" borderId="0" xfId="0" applyNumberFormat="1" applyFont="1" applyAlignment="1">
      <alignment vertical="center"/>
    </xf>
    <xf numFmtId="0" fontId="3" fillId="0" borderId="0" xfId="0" applyNumberFormat="1" applyFont="1" applyAlignment="1">
      <alignment vertical="center"/>
    </xf>
    <xf numFmtId="0" fontId="3" fillId="15" borderId="0" xfId="0" applyFont="1" applyFill="1" applyBorder="1" applyAlignment="1">
      <alignment horizontal="center" vertical="center"/>
    </xf>
    <xf numFmtId="2" fontId="3" fillId="15" borderId="0" xfId="0" applyNumberFormat="1" applyFont="1" applyFill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vertical="center"/>
    </xf>
    <xf numFmtId="0" fontId="0" fillId="0" borderId="0" xfId="0" applyNumberFormat="1"/>
    <xf numFmtId="0" fontId="0" fillId="0" borderId="1" xfId="0" applyNumberForma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0" fillId="9" borderId="0" xfId="0" applyNumberFormat="1" applyFill="1"/>
    <xf numFmtId="0" fontId="0" fillId="11" borderId="0" xfId="0" applyNumberFormat="1" applyFill="1"/>
    <xf numFmtId="0" fontId="0" fillId="9" borderId="1" xfId="0" applyNumberFormat="1" applyFill="1" applyBorder="1" applyAlignment="1">
      <alignment horizontal="center" vertical="center"/>
    </xf>
    <xf numFmtId="0" fontId="0" fillId="19" borderId="0" xfId="0" applyNumberFormat="1" applyFill="1"/>
    <xf numFmtId="0" fontId="0" fillId="19" borderId="1" xfId="0" applyNumberFormat="1" applyFill="1" applyBorder="1" applyAlignment="1">
      <alignment horizontal="center" vertical="center"/>
    </xf>
    <xf numFmtId="0" fontId="0" fillId="8" borderId="0" xfId="0" applyNumberFormat="1" applyFill="1"/>
    <xf numFmtId="0" fontId="0" fillId="8" borderId="1" xfId="0" applyNumberFormat="1" applyFill="1" applyBorder="1" applyAlignment="1">
      <alignment horizontal="center" vertical="center"/>
    </xf>
    <xf numFmtId="0" fontId="0" fillId="20" borderId="0" xfId="0" applyFill="1"/>
    <xf numFmtId="0" fontId="0" fillId="0" borderId="0" xfId="0" applyFill="1" applyBorder="1"/>
    <xf numFmtId="165" fontId="0" fillId="0" borderId="0" xfId="0" applyNumberForma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21" borderId="1" xfId="0" applyFont="1" applyFill="1" applyBorder="1"/>
    <xf numFmtId="0" fontId="0" fillId="21" borderId="1" xfId="0" applyFill="1" applyBorder="1"/>
    <xf numFmtId="0" fontId="0" fillId="18" borderId="1" xfId="0" applyFill="1" applyBorder="1"/>
    <xf numFmtId="2" fontId="0" fillId="12" borderId="1" xfId="0" applyNumberFormat="1" applyFill="1" applyBorder="1"/>
    <xf numFmtId="0" fontId="1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164" fontId="1" fillId="0" borderId="1" xfId="0" applyNumberFormat="1" applyFont="1" applyBorder="1"/>
    <xf numFmtId="0" fontId="1" fillId="13" borderId="21" xfId="0" applyFont="1" applyFill="1" applyBorder="1"/>
    <xf numFmtId="165" fontId="1" fillId="0" borderId="0" xfId="0" applyNumberFormat="1" applyFont="1"/>
    <xf numFmtId="2" fontId="1" fillId="0" borderId="0" xfId="0" applyNumberFormat="1" applyFont="1"/>
    <xf numFmtId="0" fontId="1" fillId="8" borderId="0" xfId="0" applyFont="1" applyFill="1"/>
    <xf numFmtId="2" fontId="1" fillId="8" borderId="0" xfId="0" applyNumberFormat="1" applyFont="1" applyFill="1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1" fillId="13" borderId="0" xfId="0" applyFont="1" applyFill="1" applyBorder="1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4" borderId="1" xfId="0" applyFont="1" applyFill="1" applyBorder="1"/>
    <xf numFmtId="2" fontId="0" fillId="4" borderId="1" xfId="0" applyNumberFormat="1" applyFill="1" applyBorder="1"/>
    <xf numFmtId="165" fontId="0" fillId="4" borderId="1" xfId="0" applyNumberFormat="1" applyFill="1" applyBorder="1"/>
    <xf numFmtId="0" fontId="1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4" fillId="0" borderId="1" xfId="0" applyFont="1" applyBorder="1"/>
    <xf numFmtId="2" fontId="4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165" fontId="1" fillId="0" borderId="1" xfId="0" applyNumberFormat="1" applyFont="1" applyFill="1" applyBorder="1"/>
    <xf numFmtId="164" fontId="1" fillId="0" borderId="1" xfId="0" applyNumberFormat="1" applyFont="1" applyFill="1" applyBorder="1"/>
    <xf numFmtId="0" fontId="0" fillId="0" borderId="0" xfId="0" applyFill="1"/>
    <xf numFmtId="2" fontId="2" fillId="0" borderId="1" xfId="0" applyNumberFormat="1" applyFont="1" applyFill="1" applyBorder="1" applyAlignment="1">
      <alignment vertical="center"/>
    </xf>
    <xf numFmtId="2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22" borderId="1" xfId="0" applyFill="1" applyBorder="1"/>
    <xf numFmtId="0" fontId="0" fillId="19" borderId="1" xfId="0" applyFill="1" applyBorder="1"/>
    <xf numFmtId="0" fontId="0" fillId="23" borderId="1" xfId="0" applyFill="1" applyBorder="1"/>
    <xf numFmtId="2" fontId="0" fillId="0" borderId="11" xfId="0" applyNumberFormat="1" applyBorder="1"/>
    <xf numFmtId="0" fontId="0" fillId="0" borderId="1" xfId="0" applyBorder="1" applyAlignment="1">
      <alignment horizontal="center" vertical="center"/>
    </xf>
    <xf numFmtId="2" fontId="0" fillId="0" borderId="0" xfId="0" applyNumberFormat="1" applyBorder="1"/>
    <xf numFmtId="0" fontId="4" fillId="0" borderId="1" xfId="0" applyFont="1" applyBorder="1" applyAlignment="1">
      <alignment horizontal="center"/>
    </xf>
    <xf numFmtId="0" fontId="0" fillId="0" borderId="1" xfId="0" applyFill="1" applyBorder="1"/>
    <xf numFmtId="166" fontId="0" fillId="4" borderId="1" xfId="0" applyNumberFormat="1" applyFill="1" applyBorder="1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1" fontId="0" fillId="0" borderId="0" xfId="0" applyNumberFormat="1"/>
    <xf numFmtId="0" fontId="0" fillId="7" borderId="0" xfId="0" applyFill="1"/>
    <xf numFmtId="0" fontId="0" fillId="24" borderId="0" xfId="0" applyFill="1"/>
    <xf numFmtId="167" fontId="0" fillId="0" borderId="0" xfId="0" applyNumberFormat="1"/>
    <xf numFmtId="0" fontId="1" fillId="11" borderId="1" xfId="0" applyFont="1" applyFill="1" applyBorder="1"/>
    <xf numFmtId="2" fontId="4" fillId="0" borderId="1" xfId="0" applyNumberFormat="1" applyFont="1" applyFill="1" applyBorder="1" applyAlignment="1">
      <alignment horizontal="center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4" borderId="5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2" fontId="1" fillId="4" borderId="5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1" fillId="8" borderId="2" xfId="0" applyFont="1" applyFill="1" applyBorder="1" applyAlignment="1">
      <alignment horizontal="center" vertical="center"/>
    </xf>
    <xf numFmtId="0" fontId="1" fillId="8" borderId="3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/>
    </xf>
    <xf numFmtId="0" fontId="1" fillId="8" borderId="5" xfId="0" applyFont="1" applyFill="1" applyBorder="1" applyAlignment="1">
      <alignment horizontal="center" vertical="center"/>
    </xf>
    <xf numFmtId="0" fontId="1" fillId="8" borderId="6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13" borderId="0" xfId="0" applyFont="1" applyFill="1" applyAlignment="1">
      <alignment horizontal="center"/>
    </xf>
    <xf numFmtId="0" fontId="1" fillId="21" borderId="2" xfId="0" applyFont="1" applyFill="1" applyBorder="1" applyAlignment="1">
      <alignment horizontal="center"/>
    </xf>
    <xf numFmtId="0" fontId="1" fillId="21" borderId="3" xfId="0" applyFont="1" applyFill="1" applyBorder="1" applyAlignment="1">
      <alignment horizontal="center"/>
    </xf>
    <xf numFmtId="2" fontId="2" fillId="15" borderId="1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" fillId="14" borderId="16" xfId="0" applyFont="1" applyFill="1" applyBorder="1" applyAlignment="1">
      <alignment horizontal="center"/>
    </xf>
    <xf numFmtId="0" fontId="1" fillId="14" borderId="15" xfId="0" applyFont="1" applyFill="1" applyBorder="1" applyAlignment="1">
      <alignment horizontal="center"/>
    </xf>
    <xf numFmtId="0" fontId="1" fillId="14" borderId="17" xfId="0" applyFont="1" applyFill="1" applyBorder="1" applyAlignment="1">
      <alignment horizontal="center"/>
    </xf>
    <xf numFmtId="0" fontId="1" fillId="14" borderId="18" xfId="0" applyFont="1" applyFill="1" applyBorder="1" applyAlignment="1">
      <alignment horizontal="center"/>
    </xf>
    <xf numFmtId="0" fontId="1" fillId="14" borderId="19" xfId="0" applyFont="1" applyFill="1" applyBorder="1" applyAlignment="1">
      <alignment horizontal="center"/>
    </xf>
    <xf numFmtId="0" fontId="1" fillId="14" borderId="2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2" fontId="3" fillId="16" borderId="1" xfId="0" applyNumberFormat="1" applyFont="1" applyFill="1" applyBorder="1" applyAlignment="1">
      <alignment horizontal="center" vertical="center"/>
    </xf>
    <xf numFmtId="0" fontId="3" fillId="16" borderId="1" xfId="0" applyFont="1" applyFill="1" applyBorder="1" applyAlignment="1">
      <alignment horizontal="center" vertical="center"/>
    </xf>
    <xf numFmtId="0" fontId="1" fillId="14" borderId="2" xfId="0" applyFont="1" applyFill="1" applyBorder="1" applyAlignment="1">
      <alignment horizontal="center"/>
    </xf>
    <xf numFmtId="0" fontId="1" fillId="14" borderId="3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1" fillId="18" borderId="16" xfId="0" applyFont="1" applyFill="1" applyBorder="1" applyAlignment="1">
      <alignment horizontal="center"/>
    </xf>
    <xf numFmtId="0" fontId="1" fillId="18" borderId="15" xfId="0" applyFont="1" applyFill="1" applyBorder="1" applyAlignment="1">
      <alignment horizontal="center"/>
    </xf>
    <xf numFmtId="0" fontId="1" fillId="18" borderId="17" xfId="0" applyFont="1" applyFill="1" applyBorder="1" applyAlignment="1">
      <alignment horizontal="center"/>
    </xf>
    <xf numFmtId="0" fontId="1" fillId="18" borderId="18" xfId="0" applyFont="1" applyFill="1" applyBorder="1" applyAlignment="1">
      <alignment horizontal="center"/>
    </xf>
    <xf numFmtId="0" fontId="1" fillId="18" borderId="19" xfId="0" applyFont="1" applyFill="1" applyBorder="1" applyAlignment="1">
      <alignment horizontal="center"/>
    </xf>
    <xf numFmtId="0" fontId="1" fillId="18" borderId="20" xfId="0" applyFont="1" applyFill="1" applyBorder="1" applyAlignment="1">
      <alignment horizontal="center"/>
    </xf>
    <xf numFmtId="2" fontId="3" fillId="15" borderId="1" xfId="0" applyNumberFormat="1" applyFont="1" applyFill="1" applyBorder="1" applyAlignment="1">
      <alignment horizontal="center" vertical="center"/>
    </xf>
    <xf numFmtId="0" fontId="3" fillId="15" borderId="1" xfId="0" applyFont="1" applyFill="1" applyBorder="1" applyAlignment="1">
      <alignment horizontal="center" vertical="center"/>
    </xf>
    <xf numFmtId="0" fontId="0" fillId="18" borderId="16" xfId="0" applyFill="1" applyBorder="1" applyAlignment="1">
      <alignment horizontal="center"/>
    </xf>
    <xf numFmtId="0" fontId="0" fillId="18" borderId="15" xfId="0" applyFill="1" applyBorder="1" applyAlignment="1">
      <alignment horizontal="center"/>
    </xf>
    <xf numFmtId="0" fontId="0" fillId="18" borderId="17" xfId="0" applyFill="1" applyBorder="1" applyAlignment="1">
      <alignment horizontal="center"/>
    </xf>
    <xf numFmtId="0" fontId="0" fillId="18" borderId="18" xfId="0" applyFill="1" applyBorder="1" applyAlignment="1">
      <alignment horizontal="center"/>
    </xf>
    <xf numFmtId="0" fontId="0" fillId="18" borderId="19" xfId="0" applyFill="1" applyBorder="1" applyAlignment="1">
      <alignment horizontal="center"/>
    </xf>
    <xf numFmtId="0" fontId="0" fillId="18" borderId="20" xfId="0" applyFill="1" applyBorder="1" applyAlignment="1">
      <alignment horizontal="center"/>
    </xf>
    <xf numFmtId="0" fontId="1" fillId="13" borderId="1" xfId="0" applyFont="1" applyFill="1" applyBorder="1" applyAlignment="1">
      <alignment horizontal="center" vertical="center"/>
    </xf>
    <xf numFmtId="0" fontId="0" fillId="11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165" fontId="0" fillId="10" borderId="4" xfId="0" applyNumberFormat="1" applyFill="1" applyBorder="1" applyAlignment="1">
      <alignment horizontal="center"/>
    </xf>
    <xf numFmtId="165" fontId="0" fillId="10" borderId="6" xfId="0" applyNumberFormat="1" applyFill="1" applyBorder="1" applyAlignment="1">
      <alignment horizontal="center"/>
    </xf>
    <xf numFmtId="0" fontId="0" fillId="0" borderId="0" xfId="0" applyAlignment="1">
      <alignment horizontal="center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2" fontId="7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15" borderId="1" xfId="0" applyFont="1" applyFill="1" applyBorder="1" applyAlignment="1">
      <alignment vertical="center"/>
    </xf>
    <xf numFmtId="2" fontId="7" fillId="15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2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6153710068009456"/>
                  <c:y val="-3.1862284820031297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ANTIOKSIDAN!$C$4:$C$8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</c:numCache>
            </c:numRef>
          </c:xVal>
          <c:yVal>
            <c:numRef>
              <c:f>ANTIOKSIDAN!$D$4:$D$8</c:f>
              <c:numCache>
                <c:formatCode>0.00</c:formatCode>
                <c:ptCount val="5"/>
                <c:pt idx="0">
                  <c:v>17.30769230769231</c:v>
                </c:pt>
                <c:pt idx="1">
                  <c:v>16.586538461538463</c:v>
                </c:pt>
                <c:pt idx="2">
                  <c:v>23.557692307692303</c:v>
                </c:pt>
                <c:pt idx="3">
                  <c:v>27.163461538461537</c:v>
                </c:pt>
                <c:pt idx="4">
                  <c:v>37.980769230769226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3802016"/>
        <c:axId val="1103794944"/>
      </c:scatterChart>
      <c:valAx>
        <c:axId val="1103802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3794944"/>
        <c:crosses val="autoZero"/>
        <c:crossBetween val="midCat"/>
      </c:valAx>
      <c:valAx>
        <c:axId val="1103794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3802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0165645163317301"/>
                  <c:y val="-1.577356591275822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ANTIOKSIDAN!$P$4:$P$8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</c:numCache>
            </c:numRef>
          </c:xVal>
          <c:yVal>
            <c:numRef>
              <c:f>ANTIOKSIDAN!$Q$4:$Q$8</c:f>
              <c:numCache>
                <c:formatCode>0.00</c:formatCode>
                <c:ptCount val="5"/>
                <c:pt idx="0">
                  <c:v>10.336538461538458</c:v>
                </c:pt>
                <c:pt idx="1">
                  <c:v>11.057692307692305</c:v>
                </c:pt>
                <c:pt idx="2">
                  <c:v>9.8557692307692264</c:v>
                </c:pt>
                <c:pt idx="3">
                  <c:v>14.182692307692307</c:v>
                </c:pt>
                <c:pt idx="4">
                  <c:v>21.15384615384615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3835584"/>
        <c:axId val="1563836128"/>
      </c:scatterChart>
      <c:valAx>
        <c:axId val="15638355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3836128"/>
        <c:crosses val="autoZero"/>
        <c:crossBetween val="midCat"/>
      </c:valAx>
      <c:valAx>
        <c:axId val="1563836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3835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6817448717540748"/>
                  <c:y val="-5.7372647548953673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ANTIOKSIDAN!$P$20:$P$24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</c:numCache>
            </c:numRef>
          </c:xVal>
          <c:yVal>
            <c:numRef>
              <c:f>ANTIOKSIDAN!$Q$20:$Q$24</c:f>
              <c:numCache>
                <c:formatCode>0.00</c:formatCode>
                <c:ptCount val="5"/>
                <c:pt idx="0">
                  <c:v>6.7307692307692246</c:v>
                </c:pt>
                <c:pt idx="1">
                  <c:v>8.6538461538461497</c:v>
                </c:pt>
                <c:pt idx="2">
                  <c:v>9.1346153846153797</c:v>
                </c:pt>
                <c:pt idx="3">
                  <c:v>11.538461538461537</c:v>
                </c:pt>
                <c:pt idx="4">
                  <c:v>13.461538461538462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4845168"/>
        <c:axId val="1564838096"/>
      </c:scatterChart>
      <c:valAx>
        <c:axId val="15648451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4838096"/>
        <c:crosses val="autoZero"/>
        <c:crossBetween val="midCat"/>
      </c:valAx>
      <c:valAx>
        <c:axId val="1564838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48451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7.4518810148731405E-3"/>
                  <c:y val="0.2634722222222222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ANTIOKSIDAN!$P$35:$P$39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</c:numCache>
            </c:numRef>
          </c:xVal>
          <c:yVal>
            <c:numRef>
              <c:f>ANTIOKSIDAN!$Q$35:$Q$39</c:f>
              <c:numCache>
                <c:formatCode>0.00</c:formatCode>
                <c:ptCount val="5"/>
                <c:pt idx="0">
                  <c:v>7.6923076923076863</c:v>
                </c:pt>
                <c:pt idx="1">
                  <c:v>6.9711538461538387</c:v>
                </c:pt>
                <c:pt idx="2">
                  <c:v>10.576923076923075</c:v>
                </c:pt>
                <c:pt idx="3">
                  <c:v>11.778846153846152</c:v>
                </c:pt>
                <c:pt idx="4">
                  <c:v>13.221153846153845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4839184"/>
        <c:axId val="1564841904"/>
      </c:scatterChart>
      <c:valAx>
        <c:axId val="15648391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4841904"/>
        <c:crosses val="autoZero"/>
        <c:crossBetween val="midCat"/>
      </c:valAx>
      <c:valAx>
        <c:axId val="1564841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48391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9654811898512684"/>
                  <c:y val="-5.2775955088947217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ANTIOKSIDAN!$P$50:$P$54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</c:numCache>
            </c:numRef>
          </c:xVal>
          <c:yVal>
            <c:numRef>
              <c:f>ANTIOKSIDAN!$Q$50:$Q$54</c:f>
              <c:numCache>
                <c:formatCode>0.00</c:formatCode>
                <c:ptCount val="5"/>
                <c:pt idx="0">
                  <c:v>6.7307692307692246</c:v>
                </c:pt>
                <c:pt idx="1">
                  <c:v>6.9711538461538387</c:v>
                </c:pt>
                <c:pt idx="2">
                  <c:v>8.6538461538461497</c:v>
                </c:pt>
                <c:pt idx="3">
                  <c:v>10.817307692307688</c:v>
                </c:pt>
                <c:pt idx="4">
                  <c:v>13.221153846153845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4842992"/>
        <c:axId val="1564840272"/>
      </c:scatterChart>
      <c:valAx>
        <c:axId val="15648429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4840272"/>
        <c:crosses val="autoZero"/>
        <c:crossBetween val="midCat"/>
      </c:valAx>
      <c:valAx>
        <c:axId val="1564840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48429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7213155618117568"/>
                  <c:y val="-1.6212583695108012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ANTIOKSIDAN!$P$65:$P$69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</c:numCache>
            </c:numRef>
          </c:xVal>
          <c:yVal>
            <c:numRef>
              <c:f>ANTIOKSIDAN!$Q$65:$Q$69</c:f>
              <c:numCache>
                <c:formatCode>0.00</c:formatCode>
                <c:ptCount val="5"/>
                <c:pt idx="0">
                  <c:v>6.0096153846153761</c:v>
                </c:pt>
                <c:pt idx="1">
                  <c:v>7.2115384615384555</c:v>
                </c:pt>
                <c:pt idx="2">
                  <c:v>9.1346153846153797</c:v>
                </c:pt>
                <c:pt idx="3">
                  <c:v>11.057692307692305</c:v>
                </c:pt>
                <c:pt idx="4">
                  <c:v>12.019230769230768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4843536"/>
        <c:axId val="1564844080"/>
      </c:scatterChart>
      <c:valAx>
        <c:axId val="15648435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4844080"/>
        <c:crosses val="autoZero"/>
        <c:crossBetween val="midCat"/>
      </c:valAx>
      <c:valAx>
        <c:axId val="1564844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48435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2451881014873139E-2"/>
                  <c:y val="0.2896828521434820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ANTIOKSIDAN!$P$80:$P$84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</c:numCache>
            </c:numRef>
          </c:xVal>
          <c:yVal>
            <c:numRef>
              <c:f>ANTIOKSIDAN!$Q$80:$Q$84</c:f>
              <c:numCache>
                <c:formatCode>0.00</c:formatCode>
                <c:ptCount val="5"/>
                <c:pt idx="0">
                  <c:v>6.4903846153846079</c:v>
                </c:pt>
                <c:pt idx="1">
                  <c:v>7.2115384615384555</c:v>
                </c:pt>
                <c:pt idx="2">
                  <c:v>10.096153846153843</c:v>
                </c:pt>
                <c:pt idx="3">
                  <c:v>11.057692307692305</c:v>
                </c:pt>
                <c:pt idx="4">
                  <c:v>12.740384615384613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5265888"/>
        <c:axId val="1565268064"/>
      </c:scatterChart>
      <c:valAx>
        <c:axId val="15652658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5268064"/>
        <c:crosses val="autoZero"/>
        <c:crossBetween val="midCat"/>
      </c:valAx>
      <c:valAx>
        <c:axId val="1565268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52658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2.2884309272661673E-2"/>
                  <c:y val="0.270257604945184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ANTIOKSIDAN!$P$95:$P$99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</c:numCache>
            </c:numRef>
          </c:xVal>
          <c:yVal>
            <c:numRef>
              <c:f>ANTIOKSIDAN!$Q$95:$Q$99</c:f>
              <c:numCache>
                <c:formatCode>0.00</c:formatCode>
                <c:ptCount val="5"/>
                <c:pt idx="0">
                  <c:v>4.8076923076922986</c:v>
                </c:pt>
                <c:pt idx="1">
                  <c:v>8.6538461538461497</c:v>
                </c:pt>
                <c:pt idx="2">
                  <c:v>9.1346153846153797</c:v>
                </c:pt>
                <c:pt idx="3">
                  <c:v>10.096153846153843</c:v>
                </c:pt>
                <c:pt idx="4">
                  <c:v>13.221153846153845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5269152"/>
        <c:axId val="1565264800"/>
      </c:scatterChart>
      <c:valAx>
        <c:axId val="15652691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5264800"/>
        <c:crosses val="autoZero"/>
        <c:crossBetween val="midCat"/>
      </c:valAx>
      <c:valAx>
        <c:axId val="1565264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52691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2.5674103237095364E-2"/>
                  <c:y val="0.2773611111111111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ANTIOKSIDAN!$P$110:$P$114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</c:numCache>
            </c:numRef>
          </c:xVal>
          <c:yVal>
            <c:numRef>
              <c:f>ANTIOKSIDAN!$Q$110:$Q$114</c:f>
              <c:numCache>
                <c:formatCode>0.00</c:formatCode>
                <c:ptCount val="5"/>
                <c:pt idx="0">
                  <c:v>6.4903846153846079</c:v>
                </c:pt>
                <c:pt idx="1">
                  <c:v>8.6538461538461497</c:v>
                </c:pt>
                <c:pt idx="2">
                  <c:v>9.8557692307692264</c:v>
                </c:pt>
                <c:pt idx="3">
                  <c:v>11.778846153846152</c:v>
                </c:pt>
                <c:pt idx="4">
                  <c:v>12.259615384615381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5270240"/>
        <c:axId val="1565271328"/>
      </c:scatterChart>
      <c:valAx>
        <c:axId val="1565270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5271328"/>
        <c:crosses val="autoZero"/>
        <c:crossBetween val="midCat"/>
      </c:valAx>
      <c:valAx>
        <c:axId val="1565271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5270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8981233353447672"/>
                  <c:y val="-6.4023465249822397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ANTIOKSIDAN!$P$125:$P$129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</c:numCache>
            </c:numRef>
          </c:xVal>
          <c:yVal>
            <c:numRef>
              <c:f>ANTIOKSIDAN!$Q$125:$Q$129</c:f>
              <c:numCache>
                <c:formatCode>0.00</c:formatCode>
                <c:ptCount val="5"/>
                <c:pt idx="0">
                  <c:v>6.9711538461538387</c:v>
                </c:pt>
                <c:pt idx="1">
                  <c:v>7.4519230769230704</c:v>
                </c:pt>
                <c:pt idx="2">
                  <c:v>10.817307692307688</c:v>
                </c:pt>
                <c:pt idx="3">
                  <c:v>11.057692307692305</c:v>
                </c:pt>
                <c:pt idx="4">
                  <c:v>12.740384615384613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5608176"/>
        <c:axId val="1565604912"/>
      </c:scatterChart>
      <c:valAx>
        <c:axId val="15656081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5604912"/>
        <c:crosses val="autoZero"/>
        <c:crossBetween val="midCat"/>
      </c:valAx>
      <c:valAx>
        <c:axId val="1565604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56081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3183955721780885"/>
                  <c:y val="0.2474256389826383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ANTIOKSIDAN!$AC$4:$AC$8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</c:numCache>
            </c:numRef>
          </c:xVal>
          <c:yVal>
            <c:numRef>
              <c:f>ANTIOKSIDAN!$AD$4:$AD$8</c:f>
              <c:numCache>
                <c:formatCode>0.00</c:formatCode>
                <c:ptCount val="5"/>
                <c:pt idx="0">
                  <c:v>6.2499999999999929</c:v>
                </c:pt>
                <c:pt idx="1">
                  <c:v>7.4519230769230704</c:v>
                </c:pt>
                <c:pt idx="2">
                  <c:v>9.6153846153846114</c:v>
                </c:pt>
                <c:pt idx="3">
                  <c:v>10.576923076923075</c:v>
                </c:pt>
                <c:pt idx="4">
                  <c:v>12.499999999999998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5609264"/>
        <c:axId val="1565606544"/>
      </c:scatterChart>
      <c:valAx>
        <c:axId val="15656092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5606544"/>
        <c:crosses val="autoZero"/>
        <c:crossBetween val="midCat"/>
      </c:valAx>
      <c:valAx>
        <c:axId val="1565606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56092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2.6821468145563857E-2"/>
                  <c:y val="0.177185139254038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ANTIOKSIDAN!$C$20:$C$24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</c:numCache>
            </c:numRef>
          </c:xVal>
          <c:yVal>
            <c:numRef>
              <c:f>ANTIOKSIDAN!$D$20:$D$24</c:f>
              <c:numCache>
                <c:formatCode>0.00</c:formatCode>
                <c:ptCount val="5"/>
                <c:pt idx="0">
                  <c:v>16.586538461538463</c:v>
                </c:pt>
                <c:pt idx="1">
                  <c:v>19.471153846153836</c:v>
                </c:pt>
                <c:pt idx="2">
                  <c:v>24.27884615384615</c:v>
                </c:pt>
                <c:pt idx="3">
                  <c:v>24.999999999999996</c:v>
                </c:pt>
                <c:pt idx="4">
                  <c:v>27.64423076923077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3799296"/>
        <c:axId val="1103796576"/>
      </c:scatterChart>
      <c:valAx>
        <c:axId val="11037992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3796576"/>
        <c:crosses val="autoZero"/>
        <c:crossBetween val="midCat"/>
      </c:valAx>
      <c:valAx>
        <c:axId val="1103796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37992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6.741032370953631E-4"/>
                  <c:y val="0.3244262175561388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ANTIOKSIDAN!$AC$20:$AC$24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</c:numCache>
            </c:numRef>
          </c:xVal>
          <c:yVal>
            <c:numRef>
              <c:f>ANTIOKSIDAN!$AD$20:$AD$24</c:f>
              <c:numCache>
                <c:formatCode>0.00</c:formatCode>
                <c:ptCount val="5"/>
                <c:pt idx="0">
                  <c:v>6.2499999999999929</c:v>
                </c:pt>
                <c:pt idx="1">
                  <c:v>7.4519230769230704</c:v>
                </c:pt>
                <c:pt idx="2">
                  <c:v>9.6153846153846114</c:v>
                </c:pt>
                <c:pt idx="3">
                  <c:v>11.057692307692305</c:v>
                </c:pt>
                <c:pt idx="4">
                  <c:v>13.221153846153845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5608720"/>
        <c:axId val="1565607088"/>
      </c:scatterChart>
      <c:valAx>
        <c:axId val="15656087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5607088"/>
        <c:crosses val="autoZero"/>
        <c:crossBetween val="midCat"/>
      </c:valAx>
      <c:valAx>
        <c:axId val="1565607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56087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3.7099240759049536E-3"/>
                  <c:y val="0.3191689061366260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ANTIOKSIDAN!$AC$35:$AC$39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</c:numCache>
            </c:numRef>
          </c:xVal>
          <c:yVal>
            <c:numRef>
              <c:f>ANTIOKSIDAN!$AD$35:$AD$39</c:f>
              <c:numCache>
                <c:formatCode>0.00</c:formatCode>
                <c:ptCount val="5"/>
                <c:pt idx="0">
                  <c:v>6.0096153846153761</c:v>
                </c:pt>
                <c:pt idx="1">
                  <c:v>6.7307692307692246</c:v>
                </c:pt>
                <c:pt idx="2">
                  <c:v>9.8557692307692264</c:v>
                </c:pt>
                <c:pt idx="3">
                  <c:v>11.057692307692305</c:v>
                </c:pt>
                <c:pt idx="4">
                  <c:v>12.259615384615381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5607632"/>
        <c:axId val="1565606000"/>
      </c:scatterChart>
      <c:valAx>
        <c:axId val="15656076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5606000"/>
        <c:crosses val="autoZero"/>
        <c:crossBetween val="midCat"/>
      </c:valAx>
      <c:valAx>
        <c:axId val="1565606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56076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2.9995779798759354E-2"/>
                  <c:y val="0.2767143850231026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ANTIOKSIDAN!$AC$50:$AC$54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</c:numCache>
            </c:numRef>
          </c:xVal>
          <c:yVal>
            <c:numRef>
              <c:f>ANTIOKSIDAN!$AD$50:$AD$54</c:f>
              <c:numCache>
                <c:formatCode>0.00</c:formatCode>
                <c:ptCount val="5"/>
                <c:pt idx="0">
                  <c:v>5.0480769230769136</c:v>
                </c:pt>
                <c:pt idx="1">
                  <c:v>7.4519230769230704</c:v>
                </c:pt>
                <c:pt idx="2">
                  <c:v>7.6923076923076863</c:v>
                </c:pt>
                <c:pt idx="3">
                  <c:v>10.096153846153843</c:v>
                </c:pt>
                <c:pt idx="4">
                  <c:v>12.259615384615381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3501760"/>
        <c:axId val="1563518080"/>
      </c:scatterChart>
      <c:valAx>
        <c:axId val="15635017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3518080"/>
        <c:crosses val="autoZero"/>
        <c:crossBetween val="midCat"/>
      </c:valAx>
      <c:valAx>
        <c:axId val="1563518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35017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1262593512709308"/>
                  <c:y val="9.1588501108454318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ANTIOKSIDAN!$AC$65:$AC$69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</c:numCache>
            </c:numRef>
          </c:xVal>
          <c:yVal>
            <c:numRef>
              <c:f>ANTIOKSIDAN!$AD$65:$AD$69</c:f>
              <c:numCache>
                <c:formatCode>0.00</c:formatCode>
                <c:ptCount val="5"/>
                <c:pt idx="0">
                  <c:v>5.7692307692307621</c:v>
                </c:pt>
                <c:pt idx="1">
                  <c:v>8.173076923076918</c:v>
                </c:pt>
                <c:pt idx="2">
                  <c:v>7.4519230769230704</c:v>
                </c:pt>
                <c:pt idx="3">
                  <c:v>9.1346153846153797</c:v>
                </c:pt>
                <c:pt idx="4">
                  <c:v>13.221153846153845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3520256"/>
        <c:axId val="1563497408"/>
      </c:scatterChart>
      <c:valAx>
        <c:axId val="15635202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3497408"/>
        <c:crosses val="autoZero"/>
        <c:crossBetween val="midCat"/>
      </c:valAx>
      <c:valAx>
        <c:axId val="1563497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35202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1.5785214348206473E-2"/>
                  <c:y val="0.2634722222222222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ANTIOKSIDAN!$AC$80:$AC$84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</c:numCache>
            </c:numRef>
          </c:xVal>
          <c:yVal>
            <c:numRef>
              <c:f>ANTIOKSIDAN!$AD$80:$AD$84</c:f>
              <c:numCache>
                <c:formatCode>0.00</c:formatCode>
                <c:ptCount val="5"/>
                <c:pt idx="0">
                  <c:v>5.5288461538461453</c:v>
                </c:pt>
                <c:pt idx="1">
                  <c:v>7.9326923076923013</c:v>
                </c:pt>
                <c:pt idx="2">
                  <c:v>8.173076923076918</c:v>
                </c:pt>
                <c:pt idx="3">
                  <c:v>10.817307692307688</c:v>
                </c:pt>
                <c:pt idx="4">
                  <c:v>12.740384615384613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3505024"/>
        <c:axId val="1563501216"/>
      </c:scatterChart>
      <c:valAx>
        <c:axId val="15635050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3501216"/>
        <c:crosses val="autoZero"/>
        <c:crossBetween val="midCat"/>
      </c:valAx>
      <c:valAx>
        <c:axId val="1563501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35050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2.7442078214630202E-3"/>
                  <c:y val="0.2804458140429912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ANTIOKSIDAN!$AC$95:$AC$99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</c:numCache>
            </c:numRef>
          </c:xVal>
          <c:yVal>
            <c:numRef>
              <c:f>ANTIOKSIDAN!$AD$95:$AD$99</c:f>
              <c:numCache>
                <c:formatCode>0.00</c:formatCode>
                <c:ptCount val="5"/>
                <c:pt idx="0">
                  <c:v>8.6538461538461497</c:v>
                </c:pt>
                <c:pt idx="1">
                  <c:v>13.701923076923077</c:v>
                </c:pt>
                <c:pt idx="2">
                  <c:v>16.105769230769234</c:v>
                </c:pt>
                <c:pt idx="3">
                  <c:v>13.461538461538462</c:v>
                </c:pt>
                <c:pt idx="4">
                  <c:v>15.865384615384617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3517536"/>
        <c:axId val="1563509376"/>
      </c:scatterChart>
      <c:valAx>
        <c:axId val="15635175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3509376"/>
        <c:crosses val="autoZero"/>
        <c:crossBetween val="midCat"/>
      </c:valAx>
      <c:valAx>
        <c:axId val="15635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35175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6135077132452465E-2"/>
                  <c:y val="0.2811466736692329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ANTIOKSIDAN!$AC$110:$AC$114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</c:numCache>
            </c:numRef>
          </c:xVal>
          <c:yVal>
            <c:numRef>
              <c:f>ANTIOKSIDAN!$AD$110:$AD$114</c:f>
              <c:numCache>
                <c:formatCode>0.00</c:formatCode>
                <c:ptCount val="5"/>
                <c:pt idx="0">
                  <c:v>6.0096153846153761</c:v>
                </c:pt>
                <c:pt idx="1">
                  <c:v>7.4519230769230704</c:v>
                </c:pt>
                <c:pt idx="2">
                  <c:v>8.6538461538461497</c:v>
                </c:pt>
                <c:pt idx="3">
                  <c:v>12.259615384615381</c:v>
                </c:pt>
                <c:pt idx="4">
                  <c:v>10.817307692307688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3497952"/>
        <c:axId val="1563499040"/>
      </c:scatterChart>
      <c:valAx>
        <c:axId val="15634979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3499040"/>
        <c:crosses val="autoZero"/>
        <c:crossBetween val="midCat"/>
      </c:valAx>
      <c:valAx>
        <c:axId val="1563499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34979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22213205243495E-3"/>
                  <c:y val="0.2839372121001184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ANTIOKSIDAN!$AC$125:$AC$129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</c:numCache>
            </c:numRef>
          </c:xVal>
          <c:yVal>
            <c:numRef>
              <c:f>ANTIOKSIDAN!$AD$125:$AD$129</c:f>
              <c:numCache>
                <c:formatCode>0.00</c:formatCode>
                <c:ptCount val="5"/>
                <c:pt idx="0">
                  <c:v>6.2499999999999929</c:v>
                </c:pt>
                <c:pt idx="1">
                  <c:v>7.9326923076923013</c:v>
                </c:pt>
                <c:pt idx="2">
                  <c:v>8.8942307692307629</c:v>
                </c:pt>
                <c:pt idx="3">
                  <c:v>10.576923076923075</c:v>
                </c:pt>
                <c:pt idx="4">
                  <c:v>12.740384615384613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3525152"/>
        <c:axId val="1563498496"/>
      </c:scatterChart>
      <c:valAx>
        <c:axId val="15635251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3498496"/>
        <c:crosses val="autoZero"/>
        <c:crossBetween val="midCat"/>
      </c:valAx>
      <c:valAx>
        <c:axId val="1563498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35251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3078882664951177"/>
                  <c:y val="0.2645878136200716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ANTIOKSIDAN!$C$35:$C$39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</c:numCache>
            </c:numRef>
          </c:xVal>
          <c:yVal>
            <c:numRef>
              <c:f>ANTIOKSIDAN!$D$35:$D$39</c:f>
              <c:numCache>
                <c:formatCode>0.00</c:formatCode>
                <c:ptCount val="5"/>
                <c:pt idx="0">
                  <c:v>18.509615384615376</c:v>
                </c:pt>
                <c:pt idx="1">
                  <c:v>12.499999999999998</c:v>
                </c:pt>
                <c:pt idx="2">
                  <c:v>21.15384615384615</c:v>
                </c:pt>
                <c:pt idx="3">
                  <c:v>25.480769230769226</c:v>
                </c:pt>
                <c:pt idx="4">
                  <c:v>27.403846153846153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5716864"/>
        <c:axId val="1105855360"/>
      </c:scatterChart>
      <c:valAx>
        <c:axId val="1105716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5855360"/>
        <c:crosses val="autoZero"/>
        <c:crossBetween val="midCat"/>
      </c:valAx>
      <c:valAx>
        <c:axId val="1105855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57168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0507760229393291"/>
                  <c:y val="0.1936638104922018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ANTIOKSIDAN!$C$50:$C$54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</c:numCache>
            </c:numRef>
          </c:xVal>
          <c:yVal>
            <c:numRef>
              <c:f>ANTIOKSIDAN!$D$50:$D$54</c:f>
              <c:numCache>
                <c:formatCode>0.00</c:formatCode>
                <c:ptCount val="5"/>
                <c:pt idx="0">
                  <c:v>2.4038461538461426</c:v>
                </c:pt>
                <c:pt idx="1">
                  <c:v>8.8942307692307629</c:v>
                </c:pt>
                <c:pt idx="2">
                  <c:v>10.336538461538458</c:v>
                </c:pt>
                <c:pt idx="3">
                  <c:v>13.701923076923077</c:v>
                </c:pt>
                <c:pt idx="4">
                  <c:v>17.788461538461526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3268304"/>
        <c:axId val="1563271024"/>
      </c:scatterChart>
      <c:valAx>
        <c:axId val="1563268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3271024"/>
        <c:crosses val="autoZero"/>
        <c:crossBetween val="midCat"/>
      </c:valAx>
      <c:valAx>
        <c:axId val="1563271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32683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1948027034864268"/>
                  <c:y val="-3.1516010970976262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ANTIOKSIDAN!$C$65:$C$69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</c:numCache>
            </c:numRef>
          </c:xVal>
          <c:yVal>
            <c:numRef>
              <c:f>ANTIOKSIDAN!$D$65:$D$69</c:f>
              <c:numCache>
                <c:formatCode>0.00</c:formatCode>
                <c:ptCount val="5"/>
                <c:pt idx="0">
                  <c:v>0.24038461538461561</c:v>
                </c:pt>
                <c:pt idx="1">
                  <c:v>2.8846153846153739</c:v>
                </c:pt>
                <c:pt idx="2">
                  <c:v>3.6057692307692206</c:v>
                </c:pt>
                <c:pt idx="3">
                  <c:v>8.173076923076918</c:v>
                </c:pt>
                <c:pt idx="4">
                  <c:v>15.384615384615387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3274288"/>
        <c:axId val="1563272112"/>
      </c:scatterChart>
      <c:valAx>
        <c:axId val="15632742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3272112"/>
        <c:crosses val="autoZero"/>
        <c:crossBetween val="midCat"/>
      </c:valAx>
      <c:valAx>
        <c:axId val="1563272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32742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7651731033620796"/>
                  <c:y val="-3.170228721409823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ANTIOKSIDAN!$C$80:$C$84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</c:numCache>
            </c:numRef>
          </c:xVal>
          <c:yVal>
            <c:numRef>
              <c:f>ANTIOKSIDAN!$D$80:$D$84</c:f>
              <c:numCache>
                <c:formatCode>0.00</c:formatCode>
                <c:ptCount val="5"/>
                <c:pt idx="0">
                  <c:v>4.3269230769230678</c:v>
                </c:pt>
                <c:pt idx="1">
                  <c:v>5.5288461538461453</c:v>
                </c:pt>
                <c:pt idx="2">
                  <c:v>5.7692307692307621</c:v>
                </c:pt>
                <c:pt idx="3">
                  <c:v>8.6538461538461497</c:v>
                </c:pt>
                <c:pt idx="4">
                  <c:v>17.067307692307693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3273744"/>
        <c:axId val="1563270480"/>
      </c:scatterChart>
      <c:valAx>
        <c:axId val="15632737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3270480"/>
        <c:crosses val="autoZero"/>
        <c:crossBetween val="midCat"/>
      </c:valAx>
      <c:valAx>
        <c:axId val="1563270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32737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3087926509186352"/>
                  <c:y val="-6.2827225130890048E-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ANTIOKSIDAN!$C$95:$C$99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</c:numCache>
            </c:numRef>
          </c:xVal>
          <c:yVal>
            <c:numRef>
              <c:f>ANTIOKSIDAN!$D$95:$D$99</c:f>
              <c:numCache>
                <c:formatCode>0.00</c:formatCode>
                <c:ptCount val="5"/>
                <c:pt idx="0">
                  <c:v>6.0096153846153761</c:v>
                </c:pt>
                <c:pt idx="1">
                  <c:v>6.4903846153846079</c:v>
                </c:pt>
                <c:pt idx="2">
                  <c:v>9.8557692307692264</c:v>
                </c:pt>
                <c:pt idx="3">
                  <c:v>10.817307692307688</c:v>
                </c:pt>
                <c:pt idx="4">
                  <c:v>12.499999999999998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3269392"/>
        <c:axId val="1563269936"/>
      </c:scatterChart>
      <c:valAx>
        <c:axId val="15632693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3269936"/>
        <c:crosses val="autoZero"/>
        <c:crossBetween val="midCat"/>
      </c:valAx>
      <c:valAx>
        <c:axId val="1563269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32693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2.7758367800111934E-2"/>
                  <c:y val="0.3162376237623762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ANTIOKSIDAN!$C$110:$C$114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</c:numCache>
            </c:numRef>
          </c:xVal>
          <c:yVal>
            <c:numRef>
              <c:f>ANTIOKSIDAN!$D$110:$D$114</c:f>
              <c:numCache>
                <c:formatCode>0.00</c:formatCode>
                <c:ptCount val="5"/>
                <c:pt idx="0">
                  <c:v>4.3269230769230678</c:v>
                </c:pt>
                <c:pt idx="1">
                  <c:v>6.9711538461538387</c:v>
                </c:pt>
                <c:pt idx="2">
                  <c:v>6.4903846153846079</c:v>
                </c:pt>
                <c:pt idx="3">
                  <c:v>8.6538461538461497</c:v>
                </c:pt>
                <c:pt idx="4">
                  <c:v>10.576923076923075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3835040"/>
        <c:axId val="1563837760"/>
      </c:scatterChart>
      <c:valAx>
        <c:axId val="15638350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3837760"/>
        <c:crosses val="autoZero"/>
        <c:crossBetween val="midCat"/>
      </c:valAx>
      <c:valAx>
        <c:axId val="1563837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38350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6379687321693481"/>
                  <c:y val="3.53363228699551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ANTIOKSIDAN!$C$125:$C$129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</c:numCache>
            </c:numRef>
          </c:xVal>
          <c:yVal>
            <c:numRef>
              <c:f>ANTIOKSIDAN!$D$125:$D$129</c:f>
              <c:numCache>
                <c:formatCode>0.00</c:formatCode>
                <c:ptCount val="5"/>
                <c:pt idx="0">
                  <c:v>7.4519230769230704</c:v>
                </c:pt>
                <c:pt idx="1">
                  <c:v>7.6923076923076863</c:v>
                </c:pt>
                <c:pt idx="2">
                  <c:v>11.057692307692305</c:v>
                </c:pt>
                <c:pt idx="3">
                  <c:v>13.221153846153845</c:v>
                </c:pt>
                <c:pt idx="4">
                  <c:v>16.105769230769234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3838304"/>
        <c:axId val="1563838848"/>
      </c:scatterChart>
      <c:valAx>
        <c:axId val="1563838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3838848"/>
        <c:crosses val="autoZero"/>
        <c:crossBetween val="midCat"/>
      </c:valAx>
      <c:valAx>
        <c:axId val="1563838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38383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561975</xdr:colOff>
      <xdr:row>26</xdr:row>
      <xdr:rowOff>133350</xdr:rowOff>
    </xdr:from>
    <xdr:to>
      <xdr:col>7</xdr:col>
      <xdr:colOff>343938</xdr:colOff>
      <xdr:row>30</xdr:row>
      <xdr:rowOff>141245</xdr:rowOff>
    </xdr:to>
    <xdr:pic>
      <xdr:nvPicPr>
        <xdr:cNvPr id="2" name="Picture 1" descr=" ">
          <a:extLst>
            <a:ext uri="{FF2B5EF4-FFF2-40B4-BE49-F238E27FC236}">
              <a16:creationId xmlns:a16="http://schemas.microsoft.com/office/drawing/2014/main" xmlns="" id="{3FEE14B1-131E-4D29-9202-48733941055C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561975" y="5086350"/>
          <a:ext cx="4049163" cy="769895"/>
        </a:xfrm>
        <a:prstGeom prst="rect">
          <a:avLst/>
        </a:prstGeom>
        <a:solidFill>
          <a:srgbClr val="599BD5"/>
        </a:solidFill>
        <a:ln w="9525" cap="flat" cmpd="sng">
          <a:noFill/>
          <a:prstDash val="solid"/>
          <a:miter/>
        </a:ln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25</xdr:row>
      <xdr:rowOff>9525</xdr:rowOff>
    </xdr:from>
    <xdr:to>
      <xdr:col>7</xdr:col>
      <xdr:colOff>486813</xdr:colOff>
      <xdr:row>29</xdr:row>
      <xdr:rowOff>17420</xdr:rowOff>
    </xdr:to>
    <xdr:pic>
      <xdr:nvPicPr>
        <xdr:cNvPr id="2" name="Picture 1" descr=" ">
          <a:extLst>
            <a:ext uri="{FF2B5EF4-FFF2-40B4-BE49-F238E27FC236}">
              <a16:creationId xmlns:a16="http://schemas.microsoft.com/office/drawing/2014/main" xmlns="" id="{3FEE14B1-131E-4D29-9202-48733941055C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09600" y="4962525"/>
          <a:ext cx="4144413" cy="769895"/>
        </a:xfrm>
        <a:prstGeom prst="rect">
          <a:avLst/>
        </a:prstGeom>
        <a:solidFill>
          <a:srgbClr val="599BD5"/>
        </a:solidFill>
        <a:ln w="9525" cap="flat" cmpd="sng">
          <a:noFill/>
          <a:prstDash val="solid"/>
          <a:miter/>
        </a:ln>
        <a:effec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590550</xdr:colOff>
      <xdr:row>25</xdr:row>
      <xdr:rowOff>152400</xdr:rowOff>
    </xdr:from>
    <xdr:to>
      <xdr:col>7</xdr:col>
      <xdr:colOff>467763</xdr:colOff>
      <xdr:row>29</xdr:row>
      <xdr:rowOff>169820</xdr:rowOff>
    </xdr:to>
    <xdr:pic>
      <xdr:nvPicPr>
        <xdr:cNvPr id="2" name="Picture 1" descr=" ">
          <a:extLst>
            <a:ext uri="{FF2B5EF4-FFF2-40B4-BE49-F238E27FC236}">
              <a16:creationId xmlns:a16="http://schemas.microsoft.com/office/drawing/2014/main" xmlns="" id="{3FEE14B1-131E-4D29-9202-48733941055C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590550" y="4914900"/>
          <a:ext cx="4144413" cy="779420"/>
        </a:xfrm>
        <a:prstGeom prst="rect">
          <a:avLst/>
        </a:prstGeom>
        <a:solidFill>
          <a:srgbClr val="599BD5"/>
        </a:solidFill>
        <a:ln w="9525" cap="flat" cmpd="sng">
          <a:noFill/>
          <a:prstDash val="solid"/>
          <a:miter/>
        </a:ln>
        <a:effectLst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25</xdr:row>
      <xdr:rowOff>152400</xdr:rowOff>
    </xdr:from>
    <xdr:to>
      <xdr:col>7</xdr:col>
      <xdr:colOff>486813</xdr:colOff>
      <xdr:row>29</xdr:row>
      <xdr:rowOff>169820</xdr:rowOff>
    </xdr:to>
    <xdr:pic>
      <xdr:nvPicPr>
        <xdr:cNvPr id="2" name="Picture 1" descr=" ">
          <a:extLst>
            <a:ext uri="{FF2B5EF4-FFF2-40B4-BE49-F238E27FC236}">
              <a16:creationId xmlns:a16="http://schemas.microsoft.com/office/drawing/2014/main" xmlns="" id="{3FEE14B1-131E-4D29-9202-48733941055C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09600" y="4914900"/>
          <a:ext cx="4144413" cy="779420"/>
        </a:xfrm>
        <a:prstGeom prst="rect">
          <a:avLst/>
        </a:prstGeom>
        <a:solidFill>
          <a:srgbClr val="599BD5"/>
        </a:solidFill>
        <a:ln w="9525" cap="flat" cmpd="sng">
          <a:noFill/>
          <a:prstDash val="solid"/>
          <a:miter/>
        </a:ln>
        <a:effectLst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180976</xdr:colOff>
      <xdr:row>1</xdr:row>
      <xdr:rowOff>66674</xdr:rowOff>
    </xdr:from>
    <xdr:to>
      <xdr:col>11</xdr:col>
      <xdr:colOff>419100</xdr:colOff>
      <xdr:row>11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242886</xdr:colOff>
      <xdr:row>18</xdr:row>
      <xdr:rowOff>0</xdr:rowOff>
    </xdr:from>
    <xdr:to>
      <xdr:col>11</xdr:col>
      <xdr:colOff>361950</xdr:colOff>
      <xdr:row>27</xdr:row>
      <xdr:rowOff>28576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152400</xdr:colOff>
      <xdr:row>32</xdr:row>
      <xdr:rowOff>57151</xdr:rowOff>
    </xdr:from>
    <xdr:to>
      <xdr:col>11</xdr:col>
      <xdr:colOff>419100</xdr:colOff>
      <xdr:row>41</xdr:row>
      <xdr:rowOff>114301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57150</xdr:colOff>
      <xdr:row>47</xdr:row>
      <xdr:rowOff>190499</xdr:rowOff>
    </xdr:from>
    <xdr:to>
      <xdr:col>11</xdr:col>
      <xdr:colOff>304800</xdr:colOff>
      <xdr:row>56</xdr:row>
      <xdr:rowOff>109536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133350</xdr:colOff>
      <xdr:row>63</xdr:row>
      <xdr:rowOff>57150</xdr:rowOff>
    </xdr:from>
    <xdr:to>
      <xdr:col>11</xdr:col>
      <xdr:colOff>447675</xdr:colOff>
      <xdr:row>71</xdr:row>
      <xdr:rowOff>138112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95250</xdr:colOff>
      <xdr:row>78</xdr:row>
      <xdr:rowOff>9525</xdr:rowOff>
    </xdr:from>
    <xdr:to>
      <xdr:col>11</xdr:col>
      <xdr:colOff>247650</xdr:colOff>
      <xdr:row>87</xdr:row>
      <xdr:rowOff>161925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</xdr:col>
      <xdr:colOff>152400</xdr:colOff>
      <xdr:row>92</xdr:row>
      <xdr:rowOff>190499</xdr:rowOff>
    </xdr:from>
    <xdr:to>
      <xdr:col>11</xdr:col>
      <xdr:colOff>304800</xdr:colOff>
      <xdr:row>102</xdr:row>
      <xdr:rowOff>104774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142875</xdr:colOff>
      <xdr:row>107</xdr:row>
      <xdr:rowOff>142875</xdr:rowOff>
    </xdr:from>
    <xdr:to>
      <xdr:col>11</xdr:col>
      <xdr:colOff>381000</xdr:colOff>
      <xdr:row>117</xdr:row>
      <xdr:rowOff>161925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6</xdr:col>
      <xdr:colOff>133350</xdr:colOff>
      <xdr:row>123</xdr:row>
      <xdr:rowOff>9525</xdr:rowOff>
    </xdr:from>
    <xdr:to>
      <xdr:col>11</xdr:col>
      <xdr:colOff>371475</xdr:colOff>
      <xdr:row>133</xdr:row>
      <xdr:rowOff>161924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19</xdr:col>
      <xdr:colOff>133349</xdr:colOff>
      <xdr:row>1</xdr:row>
      <xdr:rowOff>104774</xdr:rowOff>
    </xdr:from>
    <xdr:to>
      <xdr:col>24</xdr:col>
      <xdr:colOff>485774</xdr:colOff>
      <xdr:row>11</xdr:row>
      <xdr:rowOff>119061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19</xdr:col>
      <xdr:colOff>228600</xdr:colOff>
      <xdr:row>17</xdr:row>
      <xdr:rowOff>133350</xdr:rowOff>
    </xdr:from>
    <xdr:to>
      <xdr:col>24</xdr:col>
      <xdr:colOff>333375</xdr:colOff>
      <xdr:row>27</xdr:row>
      <xdr:rowOff>176212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19</xdr:col>
      <xdr:colOff>152399</xdr:colOff>
      <xdr:row>32</xdr:row>
      <xdr:rowOff>180974</xdr:rowOff>
    </xdr:from>
    <xdr:to>
      <xdr:col>24</xdr:col>
      <xdr:colOff>466724</xdr:colOff>
      <xdr:row>43</xdr:row>
      <xdr:rowOff>42861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19</xdr:col>
      <xdr:colOff>171451</xdr:colOff>
      <xdr:row>47</xdr:row>
      <xdr:rowOff>171450</xdr:rowOff>
    </xdr:from>
    <xdr:to>
      <xdr:col>24</xdr:col>
      <xdr:colOff>390525</xdr:colOff>
      <xdr:row>57</xdr:row>
      <xdr:rowOff>33337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19</xdr:col>
      <xdr:colOff>152400</xdr:colOff>
      <xdr:row>62</xdr:row>
      <xdr:rowOff>180974</xdr:rowOff>
    </xdr:from>
    <xdr:to>
      <xdr:col>24</xdr:col>
      <xdr:colOff>514350</xdr:colOff>
      <xdr:row>73</xdr:row>
      <xdr:rowOff>80961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19</xdr:col>
      <xdr:colOff>133350</xdr:colOff>
      <xdr:row>77</xdr:row>
      <xdr:rowOff>171450</xdr:rowOff>
    </xdr:from>
    <xdr:to>
      <xdr:col>24</xdr:col>
      <xdr:colOff>514349</xdr:colOff>
      <xdr:row>88</xdr:row>
      <xdr:rowOff>138112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19</xdr:col>
      <xdr:colOff>95250</xdr:colOff>
      <xdr:row>92</xdr:row>
      <xdr:rowOff>161924</xdr:rowOff>
    </xdr:from>
    <xdr:to>
      <xdr:col>24</xdr:col>
      <xdr:colOff>476249</xdr:colOff>
      <xdr:row>103</xdr:row>
      <xdr:rowOff>138111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19</xdr:col>
      <xdr:colOff>314325</xdr:colOff>
      <xdr:row>107</xdr:row>
      <xdr:rowOff>171450</xdr:rowOff>
    </xdr:from>
    <xdr:to>
      <xdr:col>24</xdr:col>
      <xdr:colOff>409575</xdr:colOff>
      <xdr:row>118</xdr:row>
      <xdr:rowOff>19050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19</xdr:col>
      <xdr:colOff>228599</xdr:colOff>
      <xdr:row>122</xdr:row>
      <xdr:rowOff>161924</xdr:rowOff>
    </xdr:from>
    <xdr:to>
      <xdr:col>24</xdr:col>
      <xdr:colOff>342900</xdr:colOff>
      <xdr:row>134</xdr:row>
      <xdr:rowOff>38100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32</xdr:col>
      <xdr:colOff>95249</xdr:colOff>
      <xdr:row>1</xdr:row>
      <xdr:rowOff>0</xdr:rowOff>
    </xdr:from>
    <xdr:to>
      <xdr:col>37</xdr:col>
      <xdr:colOff>371474</xdr:colOff>
      <xdr:row>11</xdr:row>
      <xdr:rowOff>42862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32</xdr:col>
      <xdr:colOff>180974</xdr:colOff>
      <xdr:row>18</xdr:row>
      <xdr:rowOff>0</xdr:rowOff>
    </xdr:from>
    <xdr:to>
      <xdr:col>37</xdr:col>
      <xdr:colOff>438149</xdr:colOff>
      <xdr:row>28</xdr:row>
      <xdr:rowOff>42862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32</xdr:col>
      <xdr:colOff>152400</xdr:colOff>
      <xdr:row>32</xdr:row>
      <xdr:rowOff>171450</xdr:rowOff>
    </xdr:from>
    <xdr:to>
      <xdr:col>37</xdr:col>
      <xdr:colOff>552449</xdr:colOff>
      <xdr:row>43</xdr:row>
      <xdr:rowOff>61911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32</xdr:col>
      <xdr:colOff>152400</xdr:colOff>
      <xdr:row>47</xdr:row>
      <xdr:rowOff>171451</xdr:rowOff>
    </xdr:from>
    <xdr:to>
      <xdr:col>37</xdr:col>
      <xdr:colOff>514349</xdr:colOff>
      <xdr:row>57</xdr:row>
      <xdr:rowOff>90487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32</xdr:col>
      <xdr:colOff>171450</xdr:colOff>
      <xdr:row>63</xdr:row>
      <xdr:rowOff>0</xdr:rowOff>
    </xdr:from>
    <xdr:to>
      <xdr:col>38</xdr:col>
      <xdr:colOff>76200</xdr:colOff>
      <xdr:row>73</xdr:row>
      <xdr:rowOff>23812</xdr:rowOff>
    </xdr:to>
    <xdr:graphicFrame macro="">
      <xdr:nvGraphicFramePr>
        <xdr:cNvPr id="25" name="Chart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32</xdr:col>
      <xdr:colOff>171450</xdr:colOff>
      <xdr:row>78</xdr:row>
      <xdr:rowOff>0</xdr:rowOff>
    </xdr:from>
    <xdr:to>
      <xdr:col>37</xdr:col>
      <xdr:colOff>495300</xdr:colOff>
      <xdr:row>86</xdr:row>
      <xdr:rowOff>157161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32</xdr:col>
      <xdr:colOff>142875</xdr:colOff>
      <xdr:row>93</xdr:row>
      <xdr:rowOff>9525</xdr:rowOff>
    </xdr:from>
    <xdr:to>
      <xdr:col>37</xdr:col>
      <xdr:colOff>514350</xdr:colOff>
      <xdr:row>102</xdr:row>
      <xdr:rowOff>147636</xdr:rowOff>
    </xdr:to>
    <xdr:graphicFrame macro="">
      <xdr:nvGraphicFramePr>
        <xdr:cNvPr id="27" name="Chart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32</xdr:col>
      <xdr:colOff>104774</xdr:colOff>
      <xdr:row>107</xdr:row>
      <xdr:rowOff>161925</xdr:rowOff>
    </xdr:from>
    <xdr:to>
      <xdr:col>37</xdr:col>
      <xdr:colOff>485775</xdr:colOff>
      <xdr:row>117</xdr:row>
      <xdr:rowOff>138111</xdr:rowOff>
    </xdr:to>
    <xdr:graphicFrame macro="">
      <xdr:nvGraphicFramePr>
        <xdr:cNvPr id="28" name="Chart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32</xdr:col>
      <xdr:colOff>104775</xdr:colOff>
      <xdr:row>122</xdr:row>
      <xdr:rowOff>180974</xdr:rowOff>
    </xdr:from>
    <xdr:to>
      <xdr:col>37</xdr:col>
      <xdr:colOff>476250</xdr:colOff>
      <xdr:row>133</xdr:row>
      <xdr:rowOff>4761</xdr:rowOff>
    </xdr:to>
    <xdr:graphicFrame macro="">
      <xdr:nvGraphicFramePr>
        <xdr:cNvPr id="29" name="Chart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8"/>
  <sheetViews>
    <sheetView topLeftCell="G24" workbookViewId="0">
      <selection activeCell="S38" sqref="S38"/>
    </sheetView>
  </sheetViews>
  <sheetFormatPr defaultRowHeight="15" x14ac:dyDescent="0.25"/>
  <cols>
    <col min="3" max="3" width="9.5703125" bestFit="1" customWidth="1"/>
    <col min="6" max="6" width="9.5703125" customWidth="1"/>
    <col min="7" max="8" width="9.7109375" customWidth="1"/>
    <col min="12" max="12" width="11.85546875" customWidth="1"/>
    <col min="15" max="16" width="9.140625" customWidth="1"/>
  </cols>
  <sheetData>
    <row r="1" spans="1:27" x14ac:dyDescent="0.25">
      <c r="A1" s="11" t="s">
        <v>0</v>
      </c>
      <c r="B1" s="11"/>
      <c r="C1" s="11"/>
    </row>
    <row r="2" spans="1:27" x14ac:dyDescent="0.25">
      <c r="B2" s="188" t="s">
        <v>1</v>
      </c>
      <c r="C2" s="187" t="s">
        <v>2</v>
      </c>
      <c r="D2" s="187"/>
      <c r="E2" s="187"/>
      <c r="F2" s="187"/>
      <c r="G2" s="187"/>
      <c r="H2" s="187"/>
      <c r="I2" s="187"/>
      <c r="J2" s="187"/>
      <c r="K2" s="187"/>
      <c r="L2" s="188" t="s">
        <v>3</v>
      </c>
      <c r="N2" s="7" t="s">
        <v>13</v>
      </c>
      <c r="Z2" s="15" t="s">
        <v>16</v>
      </c>
      <c r="AA2" s="15"/>
    </row>
    <row r="3" spans="1:27" x14ac:dyDescent="0.25">
      <c r="B3" s="188"/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6" t="s">
        <v>11</v>
      </c>
      <c r="K3" s="6" t="s">
        <v>12</v>
      </c>
      <c r="L3" s="188"/>
      <c r="N3" s="182" t="s">
        <v>1</v>
      </c>
      <c r="O3" s="184" t="s">
        <v>2</v>
      </c>
      <c r="P3" s="185"/>
      <c r="Q3" s="185"/>
      <c r="R3" s="185"/>
      <c r="S3" s="185"/>
      <c r="T3" s="185"/>
      <c r="U3" s="185"/>
      <c r="V3" s="185"/>
      <c r="W3" s="186"/>
      <c r="X3" s="182" t="s">
        <v>3</v>
      </c>
      <c r="Z3" s="2" t="s">
        <v>4</v>
      </c>
      <c r="AA3" s="13">
        <f>STDEV(O5:O24)</f>
        <v>2.1841233337067081</v>
      </c>
    </row>
    <row r="4" spans="1:27" x14ac:dyDescent="0.25">
      <c r="B4" s="6">
        <v>1</v>
      </c>
      <c r="C4" s="27">
        <v>4</v>
      </c>
      <c r="D4" s="27">
        <v>4</v>
      </c>
      <c r="E4" s="27">
        <v>5</v>
      </c>
      <c r="F4" s="27">
        <v>4</v>
      </c>
      <c r="G4" s="27">
        <v>3</v>
      </c>
      <c r="H4" s="27">
        <v>4</v>
      </c>
      <c r="I4" s="27">
        <v>4</v>
      </c>
      <c r="J4" s="27">
        <v>5</v>
      </c>
      <c r="K4" s="27">
        <v>4</v>
      </c>
      <c r="L4" s="14">
        <f t="shared" ref="L4:L23" si="0">SUM(C4:K4)</f>
        <v>37</v>
      </c>
      <c r="N4" s="183"/>
      <c r="O4" s="2" t="s">
        <v>4</v>
      </c>
      <c r="P4" s="2" t="s">
        <v>5</v>
      </c>
      <c r="Q4" s="2" t="s">
        <v>6</v>
      </c>
      <c r="R4" s="2" t="s">
        <v>7</v>
      </c>
      <c r="S4" s="2" t="s">
        <v>8</v>
      </c>
      <c r="T4" s="2" t="s">
        <v>9</v>
      </c>
      <c r="U4" s="2" t="s">
        <v>10</v>
      </c>
      <c r="V4" s="2" t="s">
        <v>11</v>
      </c>
      <c r="W4" s="2" t="s">
        <v>12</v>
      </c>
      <c r="X4" s="183"/>
      <c r="Z4" s="12" t="s">
        <v>5</v>
      </c>
      <c r="AA4" s="13">
        <f>STDEV(P5:P24)</f>
        <v>1.290399774855594</v>
      </c>
    </row>
    <row r="5" spans="1:27" x14ac:dyDescent="0.25">
      <c r="B5" s="6">
        <v>2</v>
      </c>
      <c r="C5" s="27">
        <v>2</v>
      </c>
      <c r="D5" s="27">
        <v>2</v>
      </c>
      <c r="E5" s="27">
        <v>2</v>
      </c>
      <c r="F5" s="27">
        <v>2</v>
      </c>
      <c r="G5" s="27">
        <v>2</v>
      </c>
      <c r="H5" s="27">
        <v>2</v>
      </c>
      <c r="I5" s="27">
        <v>2</v>
      </c>
      <c r="J5" s="27">
        <v>2</v>
      </c>
      <c r="K5" s="27">
        <v>2</v>
      </c>
      <c r="L5" s="14">
        <f t="shared" si="0"/>
        <v>18</v>
      </c>
      <c r="N5" s="6">
        <v>1</v>
      </c>
      <c r="O5" s="16">
        <v>4.5</v>
      </c>
      <c r="P5" s="16">
        <v>4.5</v>
      </c>
      <c r="Q5" s="16">
        <v>8.5</v>
      </c>
      <c r="R5" s="16">
        <v>4.5</v>
      </c>
      <c r="S5" s="16">
        <v>1</v>
      </c>
      <c r="T5" s="16">
        <v>4.5</v>
      </c>
      <c r="U5" s="16">
        <v>4.5</v>
      </c>
      <c r="V5" s="16">
        <v>8.5</v>
      </c>
      <c r="W5" s="16">
        <v>4.5</v>
      </c>
      <c r="X5" s="14">
        <f t="shared" ref="X5:X24" si="1">SUM(O5:W5)</f>
        <v>45</v>
      </c>
      <c r="Z5" s="2" t="s">
        <v>6</v>
      </c>
      <c r="AA5" s="13">
        <f>STDEV(Q5:Q24)</f>
        <v>2.3196812394446735</v>
      </c>
    </row>
    <row r="6" spans="1:27" x14ac:dyDescent="0.25">
      <c r="B6" s="6">
        <v>3</v>
      </c>
      <c r="C6" s="27">
        <v>2</v>
      </c>
      <c r="D6" s="27">
        <v>2</v>
      </c>
      <c r="E6" s="27">
        <v>2</v>
      </c>
      <c r="F6" s="27">
        <v>2</v>
      </c>
      <c r="G6" s="27">
        <v>2</v>
      </c>
      <c r="H6" s="27">
        <v>2</v>
      </c>
      <c r="I6" s="27">
        <v>2</v>
      </c>
      <c r="J6" s="27">
        <v>2</v>
      </c>
      <c r="K6" s="27">
        <v>2</v>
      </c>
      <c r="L6" s="14">
        <f t="shared" si="0"/>
        <v>18</v>
      </c>
      <c r="N6" s="6">
        <v>2</v>
      </c>
      <c r="O6" s="16">
        <v>5</v>
      </c>
      <c r="P6" s="16">
        <v>5</v>
      </c>
      <c r="Q6" s="16">
        <v>5</v>
      </c>
      <c r="R6" s="16">
        <v>5</v>
      </c>
      <c r="S6" s="16">
        <v>5</v>
      </c>
      <c r="T6" s="16">
        <v>5</v>
      </c>
      <c r="U6" s="16">
        <v>5</v>
      </c>
      <c r="V6" s="16">
        <v>5</v>
      </c>
      <c r="W6" s="16">
        <v>5</v>
      </c>
      <c r="X6" s="14">
        <f t="shared" si="1"/>
        <v>45</v>
      </c>
      <c r="Z6" s="2" t="s">
        <v>7</v>
      </c>
      <c r="AA6" s="13">
        <f>STDEV(R5:R24)</f>
        <v>1.3945382182304158</v>
      </c>
    </row>
    <row r="7" spans="1:27" x14ac:dyDescent="0.25">
      <c r="B7" s="6">
        <v>4</v>
      </c>
      <c r="C7" s="27">
        <v>4</v>
      </c>
      <c r="D7" s="27">
        <v>2</v>
      </c>
      <c r="E7" s="27">
        <v>4</v>
      </c>
      <c r="F7" s="27">
        <v>4</v>
      </c>
      <c r="G7" s="27">
        <v>2</v>
      </c>
      <c r="H7" s="27">
        <v>4</v>
      </c>
      <c r="I7" s="27">
        <v>4</v>
      </c>
      <c r="J7" s="27">
        <v>4</v>
      </c>
      <c r="K7" s="27">
        <v>2</v>
      </c>
      <c r="L7" s="14">
        <f t="shared" si="0"/>
        <v>30</v>
      </c>
      <c r="N7" s="6">
        <v>3</v>
      </c>
      <c r="O7" s="16">
        <v>5</v>
      </c>
      <c r="P7" s="16">
        <v>5</v>
      </c>
      <c r="Q7" s="16">
        <v>5</v>
      </c>
      <c r="R7" s="16">
        <v>5</v>
      </c>
      <c r="S7" s="16">
        <v>5</v>
      </c>
      <c r="T7" s="16">
        <v>5</v>
      </c>
      <c r="U7" s="16">
        <v>5</v>
      </c>
      <c r="V7" s="16">
        <v>5</v>
      </c>
      <c r="W7" s="16">
        <v>5</v>
      </c>
      <c r="X7" s="14">
        <f t="shared" si="1"/>
        <v>45</v>
      </c>
      <c r="Z7" s="2" t="s">
        <v>8</v>
      </c>
      <c r="AA7" s="13">
        <f>STDEV(S5:S24)</f>
        <v>1.7879347097463569</v>
      </c>
    </row>
    <row r="8" spans="1:27" x14ac:dyDescent="0.25">
      <c r="B8" s="6">
        <v>5</v>
      </c>
      <c r="C8" s="27">
        <v>2</v>
      </c>
      <c r="D8" s="27">
        <v>2</v>
      </c>
      <c r="E8" s="27">
        <v>4</v>
      </c>
      <c r="F8" s="27">
        <v>2</v>
      </c>
      <c r="G8" s="27">
        <v>4</v>
      </c>
      <c r="H8" s="27">
        <v>5</v>
      </c>
      <c r="I8" s="27">
        <v>2</v>
      </c>
      <c r="J8" s="27">
        <v>4</v>
      </c>
      <c r="K8" s="27">
        <v>5</v>
      </c>
      <c r="L8" s="14">
        <f t="shared" si="0"/>
        <v>30</v>
      </c>
      <c r="N8" s="6">
        <v>4</v>
      </c>
      <c r="O8" s="16">
        <v>6.5</v>
      </c>
      <c r="P8" s="16">
        <v>2</v>
      </c>
      <c r="Q8" s="16">
        <v>6.5</v>
      </c>
      <c r="R8" s="16">
        <v>6.5</v>
      </c>
      <c r="S8" s="16">
        <v>2</v>
      </c>
      <c r="T8" s="16">
        <v>6.5</v>
      </c>
      <c r="U8" s="16">
        <v>6.5</v>
      </c>
      <c r="V8" s="16">
        <v>6.5</v>
      </c>
      <c r="W8" s="16">
        <v>2</v>
      </c>
      <c r="X8" s="14">
        <f t="shared" si="1"/>
        <v>45</v>
      </c>
      <c r="Z8" s="2" t="s">
        <v>9</v>
      </c>
      <c r="AA8" s="13">
        <f>STDEV(T5:T24)</f>
        <v>1.709108724329423</v>
      </c>
    </row>
    <row r="9" spans="1:27" x14ac:dyDescent="0.25">
      <c r="B9" s="6">
        <v>6</v>
      </c>
      <c r="C9" s="27">
        <v>4</v>
      </c>
      <c r="D9" s="27">
        <v>4</v>
      </c>
      <c r="E9" s="27">
        <v>5</v>
      </c>
      <c r="F9" s="27">
        <v>3</v>
      </c>
      <c r="G9" s="27">
        <v>2</v>
      </c>
      <c r="H9" s="27">
        <v>3</v>
      </c>
      <c r="I9" s="27">
        <v>3</v>
      </c>
      <c r="J9" s="27">
        <v>3</v>
      </c>
      <c r="K9" s="27">
        <v>3</v>
      </c>
      <c r="L9" s="14">
        <f t="shared" si="0"/>
        <v>30</v>
      </c>
      <c r="N9" s="6">
        <v>5</v>
      </c>
      <c r="O9" s="16">
        <v>2.5</v>
      </c>
      <c r="P9" s="16">
        <v>2.5</v>
      </c>
      <c r="Q9" s="16">
        <v>6</v>
      </c>
      <c r="R9" s="16">
        <v>2.5</v>
      </c>
      <c r="S9" s="16">
        <v>6</v>
      </c>
      <c r="T9" s="16">
        <v>8.5</v>
      </c>
      <c r="U9" s="16">
        <v>2.5</v>
      </c>
      <c r="V9" s="16">
        <v>6</v>
      </c>
      <c r="W9" s="16">
        <v>8.5</v>
      </c>
      <c r="X9" s="14">
        <f t="shared" si="1"/>
        <v>45</v>
      </c>
      <c r="Z9" s="2" t="s">
        <v>10</v>
      </c>
      <c r="AA9" s="13">
        <f>STDEV(U5:U24)</f>
        <v>1.4443629081800444</v>
      </c>
    </row>
    <row r="10" spans="1:27" x14ac:dyDescent="0.25">
      <c r="B10" s="6">
        <v>7</v>
      </c>
      <c r="C10" s="27">
        <v>2</v>
      </c>
      <c r="D10" s="27">
        <v>2</v>
      </c>
      <c r="E10" s="27">
        <v>4</v>
      </c>
      <c r="F10" s="27">
        <v>2</v>
      </c>
      <c r="G10" s="27">
        <v>2</v>
      </c>
      <c r="H10" s="27">
        <v>2</v>
      </c>
      <c r="I10" s="27">
        <v>4</v>
      </c>
      <c r="J10" s="27">
        <v>4</v>
      </c>
      <c r="K10" s="27">
        <v>2</v>
      </c>
      <c r="L10" s="14">
        <f t="shared" si="0"/>
        <v>24</v>
      </c>
      <c r="N10" s="6">
        <v>6</v>
      </c>
      <c r="O10" s="16">
        <v>7.5</v>
      </c>
      <c r="P10" s="16">
        <v>7.5</v>
      </c>
      <c r="Q10" s="16">
        <v>9</v>
      </c>
      <c r="R10" s="16">
        <v>4</v>
      </c>
      <c r="S10" s="16">
        <v>1</v>
      </c>
      <c r="T10" s="16">
        <v>4</v>
      </c>
      <c r="U10" s="16">
        <v>4</v>
      </c>
      <c r="V10" s="16">
        <v>4</v>
      </c>
      <c r="W10" s="16">
        <v>4</v>
      </c>
      <c r="X10" s="14">
        <f t="shared" si="1"/>
        <v>45</v>
      </c>
      <c r="Z10" s="2" t="s">
        <v>11</v>
      </c>
      <c r="AA10" s="13">
        <f>STDEV(V5:V24)</f>
        <v>2.1188378145130708</v>
      </c>
    </row>
    <row r="11" spans="1:27" x14ac:dyDescent="0.25">
      <c r="B11" s="6">
        <v>8</v>
      </c>
      <c r="C11" s="27">
        <v>2</v>
      </c>
      <c r="D11" s="27">
        <v>2</v>
      </c>
      <c r="E11" s="27">
        <v>2</v>
      </c>
      <c r="F11" s="27">
        <v>2</v>
      </c>
      <c r="G11" s="27">
        <v>2</v>
      </c>
      <c r="H11" s="27">
        <v>2</v>
      </c>
      <c r="I11" s="27">
        <v>2</v>
      </c>
      <c r="J11" s="27">
        <v>2</v>
      </c>
      <c r="K11" s="27">
        <v>2</v>
      </c>
      <c r="L11" s="14">
        <f t="shared" si="0"/>
        <v>18</v>
      </c>
      <c r="N11" s="6">
        <v>7</v>
      </c>
      <c r="O11" s="16">
        <v>3.5</v>
      </c>
      <c r="P11" s="16">
        <v>3.5</v>
      </c>
      <c r="Q11" s="16">
        <v>8</v>
      </c>
      <c r="R11" s="16">
        <v>3.5</v>
      </c>
      <c r="S11" s="16">
        <v>3.5</v>
      </c>
      <c r="T11" s="16">
        <v>3.5</v>
      </c>
      <c r="U11" s="16">
        <v>8</v>
      </c>
      <c r="V11" s="16">
        <v>8</v>
      </c>
      <c r="W11" s="16">
        <v>3.5</v>
      </c>
      <c r="X11" s="14">
        <f t="shared" si="1"/>
        <v>45</v>
      </c>
      <c r="Z11" s="2" t="s">
        <v>12</v>
      </c>
      <c r="AA11" s="13">
        <f>STDEV(W5:W24)</f>
        <v>1.7004256433084783</v>
      </c>
    </row>
    <row r="12" spans="1:27" x14ac:dyDescent="0.25">
      <c r="B12" s="6">
        <v>9</v>
      </c>
      <c r="C12" s="27">
        <v>3</v>
      </c>
      <c r="D12" s="27">
        <v>3</v>
      </c>
      <c r="E12" s="27">
        <v>3</v>
      </c>
      <c r="F12" s="27">
        <v>3</v>
      </c>
      <c r="G12" s="27">
        <v>3</v>
      </c>
      <c r="H12" s="27">
        <v>3</v>
      </c>
      <c r="I12" s="27">
        <v>3</v>
      </c>
      <c r="J12" s="27">
        <v>3</v>
      </c>
      <c r="K12" s="27">
        <v>3</v>
      </c>
      <c r="L12" s="14">
        <f t="shared" si="0"/>
        <v>27</v>
      </c>
      <c r="N12" s="6">
        <v>8</v>
      </c>
      <c r="O12" s="16">
        <v>5</v>
      </c>
      <c r="P12" s="16">
        <v>5</v>
      </c>
      <c r="Q12" s="16">
        <v>5</v>
      </c>
      <c r="R12" s="16">
        <v>5</v>
      </c>
      <c r="S12" s="16">
        <v>5</v>
      </c>
      <c r="T12" s="16">
        <v>5</v>
      </c>
      <c r="U12" s="16">
        <v>5</v>
      </c>
      <c r="V12" s="16">
        <v>5</v>
      </c>
      <c r="W12" s="16">
        <v>5</v>
      </c>
      <c r="X12" s="14">
        <f t="shared" si="1"/>
        <v>45</v>
      </c>
    </row>
    <row r="13" spans="1:27" x14ac:dyDescent="0.25">
      <c r="B13" s="6">
        <v>10</v>
      </c>
      <c r="C13" s="27">
        <v>2</v>
      </c>
      <c r="D13" s="27">
        <v>2</v>
      </c>
      <c r="E13" s="27">
        <v>5</v>
      </c>
      <c r="F13" s="27">
        <v>2</v>
      </c>
      <c r="G13" s="27">
        <v>3</v>
      </c>
      <c r="H13" s="27">
        <v>3</v>
      </c>
      <c r="I13" s="27">
        <v>2</v>
      </c>
      <c r="J13" s="27">
        <v>2</v>
      </c>
      <c r="K13" s="27">
        <v>3</v>
      </c>
      <c r="L13" s="14">
        <f t="shared" si="0"/>
        <v>24</v>
      </c>
      <c r="N13" s="6">
        <v>9</v>
      </c>
      <c r="O13" s="16">
        <v>5</v>
      </c>
      <c r="P13" s="16">
        <v>5</v>
      </c>
      <c r="Q13" s="16">
        <v>5</v>
      </c>
      <c r="R13" s="16">
        <v>5</v>
      </c>
      <c r="S13" s="16">
        <v>5</v>
      </c>
      <c r="T13" s="16">
        <v>5</v>
      </c>
      <c r="U13" s="16">
        <v>5</v>
      </c>
      <c r="V13" s="16">
        <v>5</v>
      </c>
      <c r="W13" s="16">
        <v>5</v>
      </c>
      <c r="X13" s="14">
        <f t="shared" si="1"/>
        <v>45</v>
      </c>
    </row>
    <row r="14" spans="1:27" x14ac:dyDescent="0.25">
      <c r="B14" s="6">
        <v>11</v>
      </c>
      <c r="C14" s="27">
        <v>5</v>
      </c>
      <c r="D14" s="27">
        <v>5</v>
      </c>
      <c r="E14" s="27">
        <v>3</v>
      </c>
      <c r="F14" s="27">
        <v>5</v>
      </c>
      <c r="G14" s="27">
        <v>5</v>
      </c>
      <c r="H14" s="27">
        <v>5</v>
      </c>
      <c r="I14" s="27">
        <v>5</v>
      </c>
      <c r="J14" s="27">
        <v>2</v>
      </c>
      <c r="K14" s="27">
        <v>5</v>
      </c>
      <c r="L14" s="14">
        <f t="shared" si="0"/>
        <v>40</v>
      </c>
      <c r="N14" s="6">
        <v>10</v>
      </c>
      <c r="O14" s="16">
        <v>3</v>
      </c>
      <c r="P14" s="16">
        <v>3</v>
      </c>
      <c r="Q14" s="16">
        <v>9</v>
      </c>
      <c r="R14" s="16">
        <v>3</v>
      </c>
      <c r="S14" s="16">
        <v>7</v>
      </c>
      <c r="T14" s="16">
        <v>7</v>
      </c>
      <c r="U14" s="16">
        <v>3</v>
      </c>
      <c r="V14" s="16">
        <v>3</v>
      </c>
      <c r="W14" s="16">
        <v>7</v>
      </c>
      <c r="X14" s="14">
        <f t="shared" si="1"/>
        <v>45</v>
      </c>
    </row>
    <row r="15" spans="1:27" x14ac:dyDescent="0.25">
      <c r="B15" s="6">
        <v>12</v>
      </c>
      <c r="C15" s="27">
        <v>5</v>
      </c>
      <c r="D15" s="27">
        <v>4</v>
      </c>
      <c r="E15" s="27">
        <v>2</v>
      </c>
      <c r="F15" s="27">
        <v>5</v>
      </c>
      <c r="G15" s="27">
        <v>4</v>
      </c>
      <c r="H15" s="27">
        <v>5</v>
      </c>
      <c r="I15" s="27">
        <v>4</v>
      </c>
      <c r="J15" s="27">
        <v>2</v>
      </c>
      <c r="K15" s="27">
        <v>4</v>
      </c>
      <c r="L15" s="14">
        <f t="shared" si="0"/>
        <v>35</v>
      </c>
      <c r="N15" s="6">
        <v>11</v>
      </c>
      <c r="O15" s="16">
        <v>6</v>
      </c>
      <c r="P15" s="16">
        <v>6</v>
      </c>
      <c r="Q15" s="16">
        <v>2</v>
      </c>
      <c r="R15" s="16">
        <v>6</v>
      </c>
      <c r="S15" s="16">
        <v>6</v>
      </c>
      <c r="T15" s="16">
        <v>6</v>
      </c>
      <c r="U15" s="16">
        <v>6</v>
      </c>
      <c r="V15" s="16">
        <v>1</v>
      </c>
      <c r="W15" s="16">
        <v>6</v>
      </c>
      <c r="X15" s="14">
        <f t="shared" si="1"/>
        <v>45</v>
      </c>
    </row>
    <row r="16" spans="1:27" x14ac:dyDescent="0.25">
      <c r="B16" s="6">
        <v>13</v>
      </c>
      <c r="C16" s="27">
        <v>4</v>
      </c>
      <c r="D16" s="27">
        <v>2</v>
      </c>
      <c r="E16" s="27">
        <v>2</v>
      </c>
      <c r="F16" s="27">
        <v>2</v>
      </c>
      <c r="G16" s="27">
        <v>2</v>
      </c>
      <c r="H16" s="27">
        <v>4</v>
      </c>
      <c r="I16" s="27">
        <v>2</v>
      </c>
      <c r="J16" s="27">
        <v>4</v>
      </c>
      <c r="K16" s="27">
        <v>2</v>
      </c>
      <c r="L16" s="14">
        <f t="shared" si="0"/>
        <v>24</v>
      </c>
      <c r="N16" s="6">
        <v>12</v>
      </c>
      <c r="O16" s="16">
        <v>8</v>
      </c>
      <c r="P16" s="16">
        <v>4.5</v>
      </c>
      <c r="Q16" s="16">
        <v>1.5</v>
      </c>
      <c r="R16" s="16">
        <v>8</v>
      </c>
      <c r="S16" s="16">
        <v>4.5</v>
      </c>
      <c r="T16" s="16">
        <v>8</v>
      </c>
      <c r="U16" s="16">
        <v>4.5</v>
      </c>
      <c r="V16" s="16">
        <v>1.5</v>
      </c>
      <c r="W16" s="16">
        <v>4.5</v>
      </c>
      <c r="X16" s="14">
        <f t="shared" si="1"/>
        <v>45</v>
      </c>
    </row>
    <row r="17" spans="1:24" x14ac:dyDescent="0.25">
      <c r="B17" s="6">
        <v>14</v>
      </c>
      <c r="C17" s="27">
        <v>5</v>
      </c>
      <c r="D17" s="27">
        <v>4</v>
      </c>
      <c r="E17" s="27">
        <v>2</v>
      </c>
      <c r="F17" s="27">
        <v>2</v>
      </c>
      <c r="G17" s="27">
        <v>4</v>
      </c>
      <c r="H17" s="27">
        <v>4</v>
      </c>
      <c r="I17" s="27">
        <v>4</v>
      </c>
      <c r="J17" s="27">
        <v>2</v>
      </c>
      <c r="K17" s="27">
        <v>4</v>
      </c>
      <c r="L17" s="14">
        <f t="shared" si="0"/>
        <v>31</v>
      </c>
      <c r="N17" s="6">
        <v>13</v>
      </c>
      <c r="O17" s="16">
        <v>8</v>
      </c>
      <c r="P17" s="16">
        <v>3.5</v>
      </c>
      <c r="Q17" s="16">
        <v>3.5</v>
      </c>
      <c r="R17" s="16">
        <v>3.5</v>
      </c>
      <c r="S17" s="16">
        <v>3.5</v>
      </c>
      <c r="T17" s="16">
        <v>8</v>
      </c>
      <c r="U17" s="16">
        <v>3.5</v>
      </c>
      <c r="V17" s="16">
        <v>8</v>
      </c>
      <c r="W17" s="16">
        <v>3.5</v>
      </c>
      <c r="X17" s="14">
        <f t="shared" si="1"/>
        <v>45</v>
      </c>
    </row>
    <row r="18" spans="1:24" x14ac:dyDescent="0.25">
      <c r="B18" s="6">
        <v>15</v>
      </c>
      <c r="C18" s="27">
        <v>2</v>
      </c>
      <c r="D18" s="27">
        <v>2</v>
      </c>
      <c r="E18" s="27">
        <v>2</v>
      </c>
      <c r="F18" s="27">
        <v>2</v>
      </c>
      <c r="G18" s="27">
        <v>4</v>
      </c>
      <c r="H18" s="27">
        <v>2</v>
      </c>
      <c r="I18" s="27">
        <v>4</v>
      </c>
      <c r="J18" s="27">
        <v>2</v>
      </c>
      <c r="K18" s="27">
        <v>4</v>
      </c>
      <c r="L18" s="14">
        <f t="shared" si="0"/>
        <v>24</v>
      </c>
      <c r="N18" s="6">
        <v>14</v>
      </c>
      <c r="O18" s="16">
        <v>9</v>
      </c>
      <c r="P18" s="16">
        <v>6</v>
      </c>
      <c r="Q18" s="16">
        <v>2</v>
      </c>
      <c r="R18" s="16">
        <v>2</v>
      </c>
      <c r="S18" s="16">
        <v>6</v>
      </c>
      <c r="T18" s="16">
        <v>6</v>
      </c>
      <c r="U18" s="16">
        <v>6</v>
      </c>
      <c r="V18" s="16">
        <v>2</v>
      </c>
      <c r="W18" s="16">
        <v>6</v>
      </c>
      <c r="X18" s="14">
        <f t="shared" si="1"/>
        <v>45</v>
      </c>
    </row>
    <row r="19" spans="1:24" x14ac:dyDescent="0.25">
      <c r="B19" s="6">
        <v>16</v>
      </c>
      <c r="C19" s="27">
        <v>3</v>
      </c>
      <c r="D19" s="27">
        <v>4</v>
      </c>
      <c r="E19" s="27">
        <v>5</v>
      </c>
      <c r="F19" s="27">
        <v>4</v>
      </c>
      <c r="G19" s="27">
        <v>4</v>
      </c>
      <c r="H19" s="27">
        <v>5</v>
      </c>
      <c r="I19" s="27">
        <v>4</v>
      </c>
      <c r="J19" s="27">
        <v>4</v>
      </c>
      <c r="K19" s="27">
        <v>5</v>
      </c>
      <c r="L19" s="14">
        <f t="shared" si="0"/>
        <v>38</v>
      </c>
      <c r="N19" s="6">
        <v>15</v>
      </c>
      <c r="O19" s="16">
        <v>3.5</v>
      </c>
      <c r="P19" s="16">
        <v>3.5</v>
      </c>
      <c r="Q19" s="16">
        <v>3.5</v>
      </c>
      <c r="R19" s="16">
        <v>3.5</v>
      </c>
      <c r="S19" s="16">
        <v>8</v>
      </c>
      <c r="T19" s="16">
        <v>3.5</v>
      </c>
      <c r="U19" s="16">
        <v>8</v>
      </c>
      <c r="V19" s="16">
        <v>3.5</v>
      </c>
      <c r="W19" s="16">
        <v>8</v>
      </c>
      <c r="X19" s="14">
        <f t="shared" si="1"/>
        <v>45</v>
      </c>
    </row>
    <row r="20" spans="1:24" x14ac:dyDescent="0.25">
      <c r="B20" s="6">
        <v>17</v>
      </c>
      <c r="C20" s="27">
        <v>4</v>
      </c>
      <c r="D20" s="27">
        <v>4</v>
      </c>
      <c r="E20" s="27">
        <v>4</v>
      </c>
      <c r="F20" s="27">
        <v>4</v>
      </c>
      <c r="G20" s="27">
        <v>4</v>
      </c>
      <c r="H20" s="27">
        <v>4</v>
      </c>
      <c r="I20" s="27">
        <v>4</v>
      </c>
      <c r="J20" s="27">
        <v>4</v>
      </c>
      <c r="K20" s="27">
        <v>4</v>
      </c>
      <c r="L20" s="14">
        <f t="shared" si="0"/>
        <v>36</v>
      </c>
      <c r="N20" s="6">
        <v>16</v>
      </c>
      <c r="O20" s="16">
        <v>1</v>
      </c>
      <c r="P20" s="16">
        <v>4</v>
      </c>
      <c r="Q20" s="16">
        <v>8</v>
      </c>
      <c r="R20" s="16">
        <v>4</v>
      </c>
      <c r="S20" s="16">
        <v>4</v>
      </c>
      <c r="T20" s="16">
        <v>8</v>
      </c>
      <c r="U20" s="16">
        <v>4</v>
      </c>
      <c r="V20" s="16">
        <v>4</v>
      </c>
      <c r="W20" s="16">
        <v>8</v>
      </c>
      <c r="X20" s="14">
        <f t="shared" si="1"/>
        <v>45</v>
      </c>
    </row>
    <row r="21" spans="1:24" x14ac:dyDescent="0.25">
      <c r="B21" s="6">
        <v>18</v>
      </c>
      <c r="C21" s="27">
        <v>4</v>
      </c>
      <c r="D21" s="27">
        <v>4</v>
      </c>
      <c r="E21" s="27">
        <v>4</v>
      </c>
      <c r="F21" s="27">
        <v>4</v>
      </c>
      <c r="G21" s="27">
        <v>4</v>
      </c>
      <c r="H21" s="27">
        <v>5</v>
      </c>
      <c r="I21" s="27">
        <v>4</v>
      </c>
      <c r="J21" s="27">
        <v>4</v>
      </c>
      <c r="K21" s="27">
        <v>4</v>
      </c>
      <c r="L21" s="14">
        <f t="shared" si="0"/>
        <v>37</v>
      </c>
      <c r="N21" s="6">
        <v>17</v>
      </c>
      <c r="O21" s="16">
        <v>5</v>
      </c>
      <c r="P21" s="16">
        <v>5</v>
      </c>
      <c r="Q21" s="16">
        <v>5</v>
      </c>
      <c r="R21" s="16">
        <v>5</v>
      </c>
      <c r="S21" s="16">
        <v>5</v>
      </c>
      <c r="T21" s="16">
        <v>5</v>
      </c>
      <c r="U21" s="16">
        <v>5</v>
      </c>
      <c r="V21" s="16">
        <v>5</v>
      </c>
      <c r="W21" s="16">
        <v>5</v>
      </c>
      <c r="X21" s="14">
        <f t="shared" si="1"/>
        <v>45</v>
      </c>
    </row>
    <row r="22" spans="1:24" x14ac:dyDescent="0.25">
      <c r="B22" s="6">
        <v>19</v>
      </c>
      <c r="C22" s="27">
        <v>4</v>
      </c>
      <c r="D22" s="27">
        <v>4</v>
      </c>
      <c r="E22" s="27">
        <v>4</v>
      </c>
      <c r="F22" s="27">
        <v>4</v>
      </c>
      <c r="G22" s="27">
        <v>4</v>
      </c>
      <c r="H22" s="27">
        <v>4</v>
      </c>
      <c r="I22" s="27">
        <v>4</v>
      </c>
      <c r="J22" s="27">
        <v>4</v>
      </c>
      <c r="K22" s="27">
        <v>4</v>
      </c>
      <c r="L22" s="14">
        <f t="shared" si="0"/>
        <v>36</v>
      </c>
      <c r="N22" s="6">
        <v>18</v>
      </c>
      <c r="O22" s="16">
        <v>4.5</v>
      </c>
      <c r="P22" s="16">
        <v>4.5</v>
      </c>
      <c r="Q22" s="16">
        <v>4.5</v>
      </c>
      <c r="R22" s="16">
        <v>4.5</v>
      </c>
      <c r="S22" s="16">
        <v>4.5</v>
      </c>
      <c r="T22" s="16">
        <v>9</v>
      </c>
      <c r="U22" s="16">
        <v>4.5</v>
      </c>
      <c r="V22" s="16">
        <v>4.5</v>
      </c>
      <c r="W22" s="16">
        <v>4.5</v>
      </c>
      <c r="X22" s="14">
        <f t="shared" si="1"/>
        <v>45</v>
      </c>
    </row>
    <row r="23" spans="1:24" x14ac:dyDescent="0.25">
      <c r="B23" s="6">
        <v>20</v>
      </c>
      <c r="C23" s="27">
        <v>2</v>
      </c>
      <c r="D23" s="27">
        <v>3</v>
      </c>
      <c r="E23" s="27">
        <v>4</v>
      </c>
      <c r="F23" s="27">
        <v>3</v>
      </c>
      <c r="G23" s="27">
        <v>3</v>
      </c>
      <c r="H23" s="27">
        <v>4</v>
      </c>
      <c r="I23" s="27">
        <v>3</v>
      </c>
      <c r="J23" s="27">
        <v>4</v>
      </c>
      <c r="K23" s="27">
        <v>4</v>
      </c>
      <c r="L23" s="14">
        <f t="shared" si="0"/>
        <v>30</v>
      </c>
      <c r="N23" s="6">
        <v>19</v>
      </c>
      <c r="O23" s="16">
        <v>5</v>
      </c>
      <c r="P23" s="16">
        <v>5</v>
      </c>
      <c r="Q23" s="16">
        <v>5</v>
      </c>
      <c r="R23" s="16">
        <v>5</v>
      </c>
      <c r="S23" s="16">
        <v>5</v>
      </c>
      <c r="T23" s="16">
        <v>5</v>
      </c>
      <c r="U23" s="16">
        <v>5</v>
      </c>
      <c r="V23" s="16">
        <v>5</v>
      </c>
      <c r="W23" s="16">
        <v>5</v>
      </c>
      <c r="X23" s="14">
        <f t="shared" si="1"/>
        <v>45</v>
      </c>
    </row>
    <row r="24" spans="1:24" x14ac:dyDescent="0.25">
      <c r="B24" s="1" t="s">
        <v>14</v>
      </c>
      <c r="C24" s="14">
        <f>SUM(C4:C23)</f>
        <v>65</v>
      </c>
      <c r="D24" s="14">
        <f t="shared" ref="D24:J24" si="2">SUM(D4:D23)</f>
        <v>61</v>
      </c>
      <c r="E24" s="14">
        <f t="shared" si="2"/>
        <v>68</v>
      </c>
      <c r="F24" s="14">
        <f t="shared" si="2"/>
        <v>61</v>
      </c>
      <c r="G24" s="14">
        <f t="shared" si="2"/>
        <v>63</v>
      </c>
      <c r="H24" s="14">
        <f t="shared" si="2"/>
        <v>72</v>
      </c>
      <c r="I24" s="14">
        <f t="shared" si="2"/>
        <v>66</v>
      </c>
      <c r="J24" s="14">
        <f t="shared" si="2"/>
        <v>63</v>
      </c>
      <c r="K24" s="14">
        <f>SUM(K4:K23)</f>
        <v>68</v>
      </c>
      <c r="L24" s="28">
        <f>SUM(L4:L23)</f>
        <v>587</v>
      </c>
      <c r="N24" s="6">
        <v>20</v>
      </c>
      <c r="O24" s="16">
        <v>1</v>
      </c>
      <c r="P24" s="16">
        <v>3.5</v>
      </c>
      <c r="Q24" s="16">
        <v>7.5</v>
      </c>
      <c r="R24" s="16">
        <v>3.5</v>
      </c>
      <c r="S24" s="16">
        <v>3.5</v>
      </c>
      <c r="T24" s="16">
        <v>7.5</v>
      </c>
      <c r="U24" s="16">
        <v>3.5</v>
      </c>
      <c r="V24" s="16">
        <v>7.5</v>
      </c>
      <c r="W24" s="16">
        <v>7.5</v>
      </c>
      <c r="X24" s="14">
        <f t="shared" si="1"/>
        <v>45</v>
      </c>
    </row>
    <row r="25" spans="1:24" x14ac:dyDescent="0.25">
      <c r="B25" s="1" t="s">
        <v>15</v>
      </c>
      <c r="C25" s="19">
        <f>AVERAGE(C4:C23)</f>
        <v>3.25</v>
      </c>
      <c r="D25" s="19">
        <f t="shared" ref="D25:K25" si="3">AVERAGE(D4:D23)</f>
        <v>3.05</v>
      </c>
      <c r="E25" s="19">
        <f t="shared" si="3"/>
        <v>3.4</v>
      </c>
      <c r="F25" s="19">
        <f t="shared" si="3"/>
        <v>3.05</v>
      </c>
      <c r="G25" s="19">
        <f t="shared" si="3"/>
        <v>3.15</v>
      </c>
      <c r="H25" s="19">
        <f t="shared" si="3"/>
        <v>3.6</v>
      </c>
      <c r="I25" s="19">
        <f t="shared" si="3"/>
        <v>3.3</v>
      </c>
      <c r="J25" s="19">
        <f t="shared" si="3"/>
        <v>3.15</v>
      </c>
      <c r="K25" s="19">
        <f t="shared" si="3"/>
        <v>3.4</v>
      </c>
      <c r="L25" s="25"/>
      <c r="N25" s="14" t="s">
        <v>14</v>
      </c>
      <c r="O25" s="14">
        <f>SUM(O5:O24)</f>
        <v>98.5</v>
      </c>
      <c r="P25" s="14">
        <f>SUM(P5:P24)</f>
        <v>88.5</v>
      </c>
      <c r="Q25" s="14">
        <f t="shared" ref="Q25:W25" si="4">SUM(Q5:Q24)</f>
        <v>109.5</v>
      </c>
      <c r="R25" s="14">
        <f t="shared" si="4"/>
        <v>89</v>
      </c>
      <c r="S25" s="14">
        <f t="shared" si="4"/>
        <v>90.5</v>
      </c>
      <c r="T25" s="14">
        <f t="shared" si="4"/>
        <v>120</v>
      </c>
      <c r="U25" s="14">
        <f t="shared" si="4"/>
        <v>98.5</v>
      </c>
      <c r="V25" s="14">
        <f t="shared" si="4"/>
        <v>98</v>
      </c>
      <c r="W25" s="14">
        <f t="shared" si="4"/>
        <v>107.5</v>
      </c>
      <c r="X25" s="25"/>
    </row>
    <row r="26" spans="1:24" x14ac:dyDescent="0.25">
      <c r="N26" s="26" t="s">
        <v>15</v>
      </c>
      <c r="O26" s="20">
        <f>AVERAGE(O5:O24)</f>
        <v>4.9249999999999998</v>
      </c>
      <c r="P26" s="20">
        <f t="shared" ref="P26:W26" si="5">AVERAGE(P5:P24)</f>
        <v>4.4249999999999998</v>
      </c>
      <c r="Q26" s="20">
        <f t="shared" si="5"/>
        <v>5.4749999999999996</v>
      </c>
      <c r="R26" s="20">
        <f t="shared" si="5"/>
        <v>4.45</v>
      </c>
      <c r="S26" s="20">
        <f t="shared" si="5"/>
        <v>4.5250000000000004</v>
      </c>
      <c r="T26" s="20">
        <f t="shared" si="5"/>
        <v>6</v>
      </c>
      <c r="U26" s="20">
        <f t="shared" si="5"/>
        <v>4.9249999999999998</v>
      </c>
      <c r="V26" s="20">
        <f t="shared" si="5"/>
        <v>4.9000000000000004</v>
      </c>
      <c r="W26" s="20">
        <f t="shared" si="5"/>
        <v>5.375</v>
      </c>
      <c r="X26" s="25"/>
    </row>
    <row r="30" spans="1:24" x14ac:dyDescent="0.25">
      <c r="R30" t="s">
        <v>189</v>
      </c>
      <c r="S30">
        <f>SUMSQ(4)</f>
        <v>16</v>
      </c>
    </row>
    <row r="31" spans="1:24" ht="15.75" thickBot="1" x14ac:dyDescent="0.3"/>
    <row r="32" spans="1:24" x14ac:dyDescent="0.25">
      <c r="A32" s="32"/>
      <c r="B32" s="33"/>
      <c r="C32" s="33"/>
      <c r="D32" s="34"/>
      <c r="G32" s="32"/>
      <c r="H32" s="43" t="s">
        <v>149</v>
      </c>
      <c r="I32" s="43"/>
      <c r="J32" s="43"/>
      <c r="K32" s="44"/>
      <c r="L32" s="44"/>
      <c r="M32" s="44"/>
      <c r="N32" s="44"/>
      <c r="O32" s="34"/>
    </row>
    <row r="33" spans="1:20" ht="18.75" customHeight="1" x14ac:dyDescent="0.25">
      <c r="A33" s="35"/>
      <c r="B33" s="42" t="s">
        <v>27</v>
      </c>
      <c r="C33" s="42" t="s">
        <v>28</v>
      </c>
      <c r="D33" s="49"/>
      <c r="G33" s="35"/>
      <c r="H33" s="185" t="s">
        <v>21</v>
      </c>
      <c r="I33" s="185"/>
      <c r="J33" s="185"/>
      <c r="K33" s="185"/>
      <c r="L33" s="45" t="s">
        <v>34</v>
      </c>
      <c r="M33" s="45" t="s">
        <v>33</v>
      </c>
      <c r="N33" s="46"/>
      <c r="O33" s="36"/>
      <c r="Q33">
        <f>O25^2</f>
        <v>9702.25</v>
      </c>
      <c r="S33" s="7">
        <f>SUMSQ(O25:W25)</f>
        <v>90898.5</v>
      </c>
    </row>
    <row r="34" spans="1:20" x14ac:dyDescent="0.25">
      <c r="A34" s="35"/>
      <c r="B34" s="4" t="s">
        <v>25</v>
      </c>
      <c r="C34" s="10">
        <f>(12/((20*9)*(9+1))*SUMSQ(O25:W25)-3*(20)*(9+1))</f>
        <v>5.9900000000000091</v>
      </c>
      <c r="D34" s="36"/>
      <c r="G34" s="35"/>
      <c r="H34" s="185" t="s">
        <v>32</v>
      </c>
      <c r="I34" s="185"/>
      <c r="J34" s="185"/>
      <c r="K34" s="185"/>
      <c r="L34" s="156">
        <f>C25</f>
        <v>3.25</v>
      </c>
      <c r="M34" s="156">
        <f>O25</f>
        <v>98.5</v>
      </c>
      <c r="N34" s="46"/>
      <c r="O34" s="36"/>
      <c r="Q34">
        <f>P25^2</f>
        <v>7832.25</v>
      </c>
      <c r="T34" s="176">
        <f>12/((20*9)*(9+1))</f>
        <v>6.6666666666666671E-3</v>
      </c>
    </row>
    <row r="35" spans="1:20" x14ac:dyDescent="0.25">
      <c r="A35" s="35"/>
      <c r="B35" s="4" t="s">
        <v>26</v>
      </c>
      <c r="C35" s="10">
        <f>_xlfn.CHISQ.INV.RT(0.05,8)</f>
        <v>15.507313055865453</v>
      </c>
      <c r="D35" s="36"/>
      <c r="G35" s="35"/>
      <c r="H35" s="185" t="s">
        <v>36</v>
      </c>
      <c r="I35" s="185"/>
      <c r="J35" s="185"/>
      <c r="K35" s="185"/>
      <c r="L35" s="156">
        <f>D25</f>
        <v>3.05</v>
      </c>
      <c r="M35" s="156">
        <f>P25</f>
        <v>88.5</v>
      </c>
      <c r="N35" s="46"/>
      <c r="O35" s="36"/>
      <c r="Q35">
        <f>Q25^2</f>
        <v>11990.25</v>
      </c>
      <c r="S35" s="174">
        <f>T34*S33</f>
        <v>605.99</v>
      </c>
    </row>
    <row r="36" spans="1:20" ht="15.75" thickBot="1" x14ac:dyDescent="0.3">
      <c r="A36" s="37"/>
      <c r="B36" s="38"/>
      <c r="C36" s="38"/>
      <c r="D36" s="39"/>
      <c r="G36" s="35"/>
      <c r="H36" s="185" t="s">
        <v>35</v>
      </c>
      <c r="I36" s="185"/>
      <c r="J36" s="185"/>
      <c r="K36" s="185"/>
      <c r="L36" s="156">
        <f>E25</f>
        <v>3.4</v>
      </c>
      <c r="M36" s="156">
        <f>Q25</f>
        <v>109.5</v>
      </c>
      <c r="N36" s="46"/>
      <c r="O36" s="36"/>
      <c r="Q36">
        <f>R25^2</f>
        <v>7921</v>
      </c>
      <c r="S36" s="175">
        <f>S35-S37</f>
        <v>5.9900000000000091</v>
      </c>
    </row>
    <row r="37" spans="1:20" x14ac:dyDescent="0.25">
      <c r="G37" s="35"/>
      <c r="H37" s="185" t="s">
        <v>37</v>
      </c>
      <c r="I37" s="185"/>
      <c r="J37" s="185"/>
      <c r="K37" s="185"/>
      <c r="L37" s="156">
        <f>F25</f>
        <v>3.05</v>
      </c>
      <c r="M37" s="156">
        <f>R25</f>
        <v>89</v>
      </c>
      <c r="N37" s="46"/>
      <c r="O37" s="36"/>
      <c r="Q37">
        <f>S25^2</f>
        <v>8190.25</v>
      </c>
      <c r="S37" s="174">
        <f>3*20*(10)</f>
        <v>600</v>
      </c>
    </row>
    <row r="38" spans="1:20" x14ac:dyDescent="0.25">
      <c r="G38" s="35"/>
      <c r="H38" s="185" t="s">
        <v>38</v>
      </c>
      <c r="I38" s="185"/>
      <c r="J38" s="185"/>
      <c r="K38" s="185"/>
      <c r="L38" s="156">
        <f>G25</f>
        <v>3.15</v>
      </c>
      <c r="M38" s="156">
        <f>S25</f>
        <v>90.5</v>
      </c>
      <c r="N38" s="46"/>
      <c r="O38" s="36"/>
      <c r="Q38">
        <f>T25^2</f>
        <v>14400</v>
      </c>
    </row>
    <row r="39" spans="1:20" x14ac:dyDescent="0.25">
      <c r="G39" s="35"/>
      <c r="H39" s="185" t="s">
        <v>39</v>
      </c>
      <c r="I39" s="185"/>
      <c r="J39" s="185"/>
      <c r="K39" s="185"/>
      <c r="L39" s="156">
        <f>H25</f>
        <v>3.6</v>
      </c>
      <c r="M39" s="156">
        <f>T25</f>
        <v>120</v>
      </c>
      <c r="N39" s="46"/>
      <c r="O39" s="36"/>
      <c r="Q39">
        <f>U25^2</f>
        <v>9702.25</v>
      </c>
    </row>
    <row r="40" spans="1:20" x14ac:dyDescent="0.25">
      <c r="G40" s="35"/>
      <c r="H40" s="190" t="s">
        <v>40</v>
      </c>
      <c r="I40" s="190"/>
      <c r="J40" s="190"/>
      <c r="K40" s="190"/>
      <c r="L40" s="156">
        <f>I25</f>
        <v>3.3</v>
      </c>
      <c r="M40" s="156">
        <f>U25</f>
        <v>98.5</v>
      </c>
      <c r="N40" s="46"/>
      <c r="O40" s="36"/>
      <c r="Q40">
        <f>V25^2</f>
        <v>9604</v>
      </c>
    </row>
    <row r="41" spans="1:20" x14ac:dyDescent="0.25">
      <c r="G41" s="35"/>
      <c r="H41" s="185" t="s">
        <v>41</v>
      </c>
      <c r="I41" s="185"/>
      <c r="J41" s="185"/>
      <c r="K41" s="185"/>
      <c r="L41" s="156">
        <f>J25</f>
        <v>3.15</v>
      </c>
      <c r="M41" s="156">
        <f>V25</f>
        <v>98</v>
      </c>
      <c r="N41" s="46"/>
      <c r="O41" s="36"/>
      <c r="Q41">
        <f>W25^2</f>
        <v>11556.25</v>
      </c>
    </row>
    <row r="42" spans="1:20" x14ac:dyDescent="0.25">
      <c r="G42" s="35"/>
      <c r="H42" s="191" t="s">
        <v>42</v>
      </c>
      <c r="I42" s="191"/>
      <c r="J42" s="191"/>
      <c r="K42" s="191"/>
      <c r="L42" s="156">
        <f>K25</f>
        <v>3.4</v>
      </c>
      <c r="M42" s="156">
        <f>W25</f>
        <v>107.5</v>
      </c>
      <c r="N42" s="46"/>
      <c r="O42" s="36"/>
      <c r="Q42" s="7">
        <f>SUM(Q33:Q41)</f>
        <v>90898.5</v>
      </c>
    </row>
    <row r="43" spans="1:20" x14ac:dyDescent="0.25">
      <c r="G43" s="35"/>
      <c r="H43" s="189" t="s">
        <v>43</v>
      </c>
      <c r="I43" s="189"/>
      <c r="J43" s="189"/>
      <c r="K43" s="189"/>
      <c r="L43" s="48"/>
      <c r="M43" s="48"/>
      <c r="N43" s="46"/>
      <c r="O43" s="36"/>
      <c r="P43" s="172"/>
    </row>
    <row r="44" spans="1:20" x14ac:dyDescent="0.25">
      <c r="G44" s="35"/>
      <c r="H44" s="40"/>
      <c r="I44" s="40"/>
      <c r="J44" s="40"/>
      <c r="K44" s="40"/>
      <c r="L44" s="40"/>
      <c r="M44" s="40"/>
      <c r="N44" s="40"/>
      <c r="O44" s="36"/>
    </row>
    <row r="45" spans="1:20" x14ac:dyDescent="0.25">
      <c r="G45" s="35"/>
      <c r="H45" s="40"/>
      <c r="I45" s="40"/>
      <c r="J45" s="40"/>
      <c r="K45" s="40"/>
      <c r="L45" s="40"/>
      <c r="M45" s="40"/>
      <c r="N45" s="40"/>
      <c r="O45" s="36"/>
      <c r="Q45">
        <f>S43*12/20*9*(9+1)</f>
        <v>0</v>
      </c>
    </row>
    <row r="46" spans="1:20" ht="15.75" thickBot="1" x14ac:dyDescent="0.3">
      <c r="G46" s="37"/>
      <c r="H46" s="38"/>
      <c r="I46" s="38"/>
      <c r="J46" s="38"/>
      <c r="K46" s="38"/>
      <c r="L46" s="38"/>
      <c r="M46" s="38"/>
      <c r="N46" s="38"/>
      <c r="O46" s="39"/>
      <c r="R46">
        <f>20*9*(9+1)</f>
        <v>1800</v>
      </c>
      <c r="T46" s="173"/>
    </row>
    <row r="47" spans="1:20" x14ac:dyDescent="0.25">
      <c r="R47">
        <f>12/R46</f>
        <v>6.6666666666666671E-3</v>
      </c>
    </row>
    <row r="48" spans="1:20" x14ac:dyDescent="0.25">
      <c r="R48">
        <f>R47*S43</f>
        <v>0</v>
      </c>
    </row>
  </sheetData>
  <mergeCells count="17">
    <mergeCell ref="H43:K43"/>
    <mergeCell ref="H38:K38"/>
    <mergeCell ref="H39:K39"/>
    <mergeCell ref="H40:K40"/>
    <mergeCell ref="H41:K41"/>
    <mergeCell ref="H42:K42"/>
    <mergeCell ref="H33:K33"/>
    <mergeCell ref="H34:K34"/>
    <mergeCell ref="H35:K35"/>
    <mergeCell ref="H36:K36"/>
    <mergeCell ref="H37:K37"/>
    <mergeCell ref="N3:N4"/>
    <mergeCell ref="O3:W3"/>
    <mergeCell ref="X3:X4"/>
    <mergeCell ref="C2:K2"/>
    <mergeCell ref="B2:B3"/>
    <mergeCell ref="L2:L3"/>
  </mergeCell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S31"/>
  <sheetViews>
    <sheetView topLeftCell="A9" workbookViewId="0">
      <selection activeCell="N28" sqref="N28"/>
    </sheetView>
  </sheetViews>
  <sheetFormatPr defaultRowHeight="15" x14ac:dyDescent="0.25"/>
  <cols>
    <col min="2" max="2" width="11.7109375" customWidth="1"/>
    <col min="9" max="10" width="12.42578125" customWidth="1"/>
    <col min="11" max="11" width="10.140625" customWidth="1"/>
    <col min="14" max="14" width="11.5703125" customWidth="1"/>
    <col min="16" max="16" width="10.42578125" customWidth="1"/>
  </cols>
  <sheetData>
    <row r="2" spans="2:14" x14ac:dyDescent="0.25">
      <c r="B2" s="199" t="s">
        <v>21</v>
      </c>
      <c r="C2" s="199" t="s">
        <v>22</v>
      </c>
      <c r="D2" s="199"/>
      <c r="E2" s="199"/>
      <c r="F2" s="199" t="s">
        <v>14</v>
      </c>
      <c r="G2" s="199" t="s">
        <v>23</v>
      </c>
      <c r="I2" s="199" t="s">
        <v>46</v>
      </c>
      <c r="J2" s="199"/>
      <c r="K2" s="199"/>
      <c r="L2" s="199"/>
      <c r="M2" s="199"/>
      <c r="N2" s="199"/>
    </row>
    <row r="3" spans="2:14" x14ac:dyDescent="0.25">
      <c r="B3" s="199"/>
      <c r="C3" s="87">
        <v>1</v>
      </c>
      <c r="D3" s="87">
        <v>2</v>
      </c>
      <c r="E3" s="87">
        <v>3</v>
      </c>
      <c r="F3" s="199"/>
      <c r="G3" s="199"/>
      <c r="I3" s="200" t="s">
        <v>48</v>
      </c>
      <c r="J3" s="187" t="s">
        <v>47</v>
      </c>
      <c r="K3" s="187"/>
      <c r="L3" s="187"/>
      <c r="M3" s="188" t="s">
        <v>14</v>
      </c>
      <c r="N3" s="188" t="s">
        <v>34</v>
      </c>
    </row>
    <row r="4" spans="2:14" x14ac:dyDescent="0.25">
      <c r="B4" s="86" t="s">
        <v>4</v>
      </c>
      <c r="C4" s="1">
        <v>2.58</v>
      </c>
      <c r="D4" s="1">
        <v>2.56</v>
      </c>
      <c r="E4" s="1">
        <v>2.29</v>
      </c>
      <c r="F4" s="30">
        <f>SUM(C4:E4)</f>
        <v>7.4300000000000006</v>
      </c>
      <c r="G4" s="10">
        <f>AVERAGE(C4:E4)</f>
        <v>2.476666666666667</v>
      </c>
      <c r="I4" s="200"/>
      <c r="J4" s="85" t="s">
        <v>49</v>
      </c>
      <c r="K4" s="85" t="s">
        <v>50</v>
      </c>
      <c r="L4" s="85" t="s">
        <v>51</v>
      </c>
      <c r="M4" s="188"/>
      <c r="N4" s="188"/>
    </row>
    <row r="5" spans="2:14" x14ac:dyDescent="0.25">
      <c r="B5" s="86" t="s">
        <v>5</v>
      </c>
      <c r="C5" s="1">
        <v>3.09</v>
      </c>
      <c r="D5" s="1">
        <v>2.58</v>
      </c>
      <c r="E5" s="1">
        <v>2.88</v>
      </c>
      <c r="F5" s="30">
        <f>SUM(C5:E5)</f>
        <v>8.5500000000000007</v>
      </c>
      <c r="G5" s="10">
        <f>AVERAGE(C5:E5)</f>
        <v>2.85</v>
      </c>
      <c r="I5" s="85" t="s">
        <v>52</v>
      </c>
      <c r="J5" s="53">
        <f>F4</f>
        <v>7.4300000000000006</v>
      </c>
      <c r="K5" s="53">
        <f>F5</f>
        <v>8.5500000000000007</v>
      </c>
      <c r="L5" s="53">
        <f>F6</f>
        <v>7.49</v>
      </c>
      <c r="M5" s="51">
        <f>SUM(J5:L5)</f>
        <v>23.47</v>
      </c>
      <c r="N5" s="13">
        <f>M5/9</f>
        <v>2.6077777777777778</v>
      </c>
    </row>
    <row r="6" spans="2:14" x14ac:dyDescent="0.25">
      <c r="B6" s="86" t="s">
        <v>6</v>
      </c>
      <c r="C6" s="1">
        <v>2.4900000000000002</v>
      </c>
      <c r="D6" s="1">
        <v>2.48</v>
      </c>
      <c r="E6" s="1">
        <v>2.52</v>
      </c>
      <c r="F6" s="30">
        <f t="shared" ref="F6:F12" si="0">SUM(C6:E6)</f>
        <v>7.49</v>
      </c>
      <c r="G6" s="10">
        <f t="shared" ref="G6:G12" si="1">AVERAGE(C6:E6)</f>
        <v>2.4966666666666666</v>
      </c>
      <c r="I6" s="85" t="s">
        <v>53</v>
      </c>
      <c r="J6" s="53">
        <f>F7</f>
        <v>7.66</v>
      </c>
      <c r="K6" s="53">
        <f>F8</f>
        <v>5.9</v>
      </c>
      <c r="L6" s="53">
        <f>F9</f>
        <v>5.89</v>
      </c>
      <c r="M6" s="51">
        <f>SUM(J6:L6)</f>
        <v>19.45</v>
      </c>
      <c r="N6" s="13">
        <f>M6/9</f>
        <v>2.161111111111111</v>
      </c>
    </row>
    <row r="7" spans="2:14" x14ac:dyDescent="0.25">
      <c r="B7" s="86" t="s">
        <v>7</v>
      </c>
      <c r="C7" s="1">
        <v>2.88</v>
      </c>
      <c r="D7" s="1">
        <v>2.4700000000000002</v>
      </c>
      <c r="E7" s="1">
        <v>2.31</v>
      </c>
      <c r="F7" s="30">
        <f t="shared" si="0"/>
        <v>7.66</v>
      </c>
      <c r="G7" s="10">
        <f t="shared" si="1"/>
        <v>2.5533333333333332</v>
      </c>
      <c r="I7" s="85" t="s">
        <v>54</v>
      </c>
      <c r="J7" s="53">
        <f>F10</f>
        <v>4.32</v>
      </c>
      <c r="K7" s="53">
        <f>F11</f>
        <v>4.67</v>
      </c>
      <c r="L7" s="53">
        <f>F12</f>
        <v>4.74</v>
      </c>
      <c r="M7" s="51">
        <f>SUM(J7:L7)</f>
        <v>13.73</v>
      </c>
      <c r="N7" s="13">
        <f>M7/9</f>
        <v>1.5255555555555556</v>
      </c>
    </row>
    <row r="8" spans="2:14" x14ac:dyDescent="0.25">
      <c r="B8" s="86" t="s">
        <v>8</v>
      </c>
      <c r="C8" s="1">
        <v>1.66</v>
      </c>
      <c r="D8" s="1">
        <v>2.38</v>
      </c>
      <c r="E8" s="1">
        <v>1.86</v>
      </c>
      <c r="F8" s="30">
        <f t="shared" si="0"/>
        <v>5.9</v>
      </c>
      <c r="G8" s="10">
        <f t="shared" si="1"/>
        <v>1.9666666666666668</v>
      </c>
      <c r="I8" s="85" t="s">
        <v>14</v>
      </c>
      <c r="J8" s="51">
        <f>SUM(J5:J7)</f>
        <v>19.41</v>
      </c>
      <c r="K8" s="51">
        <f>SUM(K5:K7)</f>
        <v>19.12</v>
      </c>
      <c r="L8" s="51">
        <f>SUM(L5:L7)</f>
        <v>18.119999999999997</v>
      </c>
      <c r="M8" s="52">
        <f>SUM(M5:M7)</f>
        <v>56.650000000000006</v>
      </c>
      <c r="N8" s="217"/>
    </row>
    <row r="9" spans="2:14" x14ac:dyDescent="0.25">
      <c r="B9" s="86" t="s">
        <v>9</v>
      </c>
      <c r="C9" s="1">
        <v>2.1800000000000002</v>
      </c>
      <c r="D9" s="1">
        <v>2.17</v>
      </c>
      <c r="E9" s="1">
        <v>1.54</v>
      </c>
      <c r="F9" s="30">
        <f t="shared" si="0"/>
        <v>5.89</v>
      </c>
      <c r="G9" s="10">
        <f t="shared" si="1"/>
        <v>1.9633333333333332</v>
      </c>
      <c r="I9" s="85" t="s">
        <v>15</v>
      </c>
      <c r="J9" s="51">
        <f>J8/9</f>
        <v>2.1566666666666667</v>
      </c>
      <c r="K9" s="51">
        <f>K8/9</f>
        <v>2.1244444444444444</v>
      </c>
      <c r="L9" s="51">
        <f>L8/9</f>
        <v>2.0133333333333332</v>
      </c>
      <c r="M9" s="68"/>
      <c r="N9" s="218"/>
    </row>
    <row r="10" spans="2:14" x14ac:dyDescent="0.25">
      <c r="B10" s="86" t="s">
        <v>10</v>
      </c>
      <c r="C10" s="1">
        <v>1.74</v>
      </c>
      <c r="D10" s="1">
        <v>1.38</v>
      </c>
      <c r="E10" s="1">
        <v>1.2</v>
      </c>
      <c r="F10" s="30">
        <f>SUM(C10:E10)</f>
        <v>4.32</v>
      </c>
      <c r="G10" s="10">
        <f t="shared" si="1"/>
        <v>1.4400000000000002</v>
      </c>
    </row>
    <row r="11" spans="2:14" x14ac:dyDescent="0.25">
      <c r="B11" s="86" t="s">
        <v>11</v>
      </c>
      <c r="C11" s="1">
        <v>1.42</v>
      </c>
      <c r="D11" s="1">
        <v>1.62</v>
      </c>
      <c r="E11" s="1">
        <v>1.63</v>
      </c>
      <c r="F11" s="30">
        <f t="shared" si="0"/>
        <v>4.67</v>
      </c>
      <c r="G11" s="10">
        <f t="shared" si="1"/>
        <v>1.5566666666666666</v>
      </c>
      <c r="I11" s="59" t="s">
        <v>55</v>
      </c>
      <c r="J11" s="69">
        <f>F13^2/(J14*J15*J13)</f>
        <v>118.86009259259262</v>
      </c>
    </row>
    <row r="12" spans="2:14" x14ac:dyDescent="0.25">
      <c r="B12" s="86" t="s">
        <v>12</v>
      </c>
      <c r="C12" s="1">
        <v>1.1599999999999999</v>
      </c>
      <c r="D12" s="1">
        <v>1.67</v>
      </c>
      <c r="E12" s="1">
        <v>1.91</v>
      </c>
      <c r="F12" s="30">
        <f t="shared" si="0"/>
        <v>4.74</v>
      </c>
      <c r="G12" s="10">
        <f t="shared" si="1"/>
        <v>1.58</v>
      </c>
      <c r="I12" s="61" t="s">
        <v>56</v>
      </c>
      <c r="J12" s="2">
        <v>9</v>
      </c>
    </row>
    <row r="13" spans="2:14" x14ac:dyDescent="0.25">
      <c r="B13" s="88" t="s">
        <v>14</v>
      </c>
      <c r="C13" s="1">
        <f>SUM(C4:C12)</f>
        <v>19.2</v>
      </c>
      <c r="D13" s="1">
        <f>SUM(D4:D12)</f>
        <v>19.310000000000002</v>
      </c>
      <c r="E13" s="1">
        <f>SUM(E4:E12)</f>
        <v>18.139999999999997</v>
      </c>
      <c r="F13" s="4">
        <f>SUM(F4:F12)</f>
        <v>56.650000000000006</v>
      </c>
      <c r="G13" s="122"/>
      <c r="I13" s="61" t="s">
        <v>57</v>
      </c>
      <c r="J13" s="2">
        <v>3</v>
      </c>
    </row>
    <row r="14" spans="2:14" x14ac:dyDescent="0.25">
      <c r="I14" s="61" t="s">
        <v>58</v>
      </c>
      <c r="J14" s="2">
        <v>3</v>
      </c>
    </row>
    <row r="15" spans="2:14" x14ac:dyDescent="0.25">
      <c r="I15" s="61" t="s">
        <v>59</v>
      </c>
      <c r="J15" s="2">
        <v>3</v>
      </c>
    </row>
    <row r="17" spans="2:19" x14ac:dyDescent="0.25">
      <c r="B17" s="234" t="s">
        <v>127</v>
      </c>
      <c r="C17" s="234"/>
      <c r="D17" s="234"/>
      <c r="E17" s="234"/>
      <c r="F17" s="234"/>
      <c r="G17" s="234"/>
      <c r="H17" s="234"/>
      <c r="I17" s="234"/>
      <c r="K17" s="62" t="s">
        <v>71</v>
      </c>
      <c r="L17" s="62" t="s">
        <v>72</v>
      </c>
      <c r="M17" s="62" t="s">
        <v>73</v>
      </c>
      <c r="P17" s="137" t="s">
        <v>90</v>
      </c>
      <c r="Q17" s="137" t="s">
        <v>72</v>
      </c>
      <c r="R17" s="137" t="s">
        <v>73</v>
      </c>
    </row>
    <row r="18" spans="2:19" x14ac:dyDescent="0.25">
      <c r="B18" s="182" t="s">
        <v>61</v>
      </c>
      <c r="C18" s="182" t="s">
        <v>62</v>
      </c>
      <c r="D18" s="182" t="s">
        <v>63</v>
      </c>
      <c r="E18" s="182" t="s">
        <v>64</v>
      </c>
      <c r="F18" s="182" t="s">
        <v>87</v>
      </c>
      <c r="G18" s="188" t="s">
        <v>88</v>
      </c>
      <c r="H18" s="188"/>
      <c r="I18" s="213" t="s">
        <v>89</v>
      </c>
      <c r="K18" s="90">
        <f>SQRT(E25/J12)</f>
        <v>9.4377972250365774E-2</v>
      </c>
      <c r="L18">
        <v>3.65</v>
      </c>
      <c r="M18" s="56">
        <f>K18*L18</f>
        <v>0.34447959871383504</v>
      </c>
      <c r="P18" s="129">
        <f>SQRT(E25/J13)</f>
        <v>0.16346744305295913</v>
      </c>
      <c r="Q18" s="133">
        <v>5.03</v>
      </c>
      <c r="R18" s="130">
        <f>P18*Q18</f>
        <v>0.82224123855638442</v>
      </c>
    </row>
    <row r="19" spans="2:19" x14ac:dyDescent="0.25">
      <c r="B19" s="183"/>
      <c r="C19" s="183"/>
      <c r="D19" s="183"/>
      <c r="E19" s="183"/>
      <c r="F19" s="183"/>
      <c r="G19" s="86">
        <v>0.05</v>
      </c>
      <c r="H19" s="85">
        <v>0.01</v>
      </c>
      <c r="I19" s="214"/>
      <c r="K19" s="58" t="s">
        <v>74</v>
      </c>
      <c r="L19" s="63">
        <f>M18</f>
        <v>0.34447959871383504</v>
      </c>
      <c r="P19" s="131" t="s">
        <v>74</v>
      </c>
      <c r="Q19" s="132">
        <f>R18</f>
        <v>0.82224123855638442</v>
      </c>
      <c r="R19" s="133"/>
    </row>
    <row r="20" spans="2:19" x14ac:dyDescent="0.25">
      <c r="B20" s="2" t="s">
        <v>68</v>
      </c>
      <c r="C20" s="1">
        <f>J13-1</f>
        <v>2</v>
      </c>
      <c r="D20" s="89">
        <f>(SUMSQ(C13:E13)/(J12))-J11</f>
        <v>9.2762962962922302E-2</v>
      </c>
      <c r="E20" s="89">
        <f t="shared" ref="E20:E26" si="2">D20/C20</f>
        <v>4.6381481481461151E-2</v>
      </c>
      <c r="F20" s="89">
        <f>E20/E25</f>
        <v>0.57857654369443157</v>
      </c>
      <c r="G20" s="89">
        <f>FINV(G19,C20,C25)</f>
        <v>3.6337234675916301</v>
      </c>
      <c r="H20" s="89">
        <f>FINV(H19,C20,C25)</f>
        <v>6.2262352803113821</v>
      </c>
      <c r="I20" s="1" t="str">
        <f>IF(F20&lt;G20,"tn",IF(F20&lt;H20,"*","**"))</f>
        <v>tn</v>
      </c>
    </row>
    <row r="21" spans="2:19" x14ac:dyDescent="0.25">
      <c r="B21" s="2" t="s">
        <v>2</v>
      </c>
      <c r="C21" s="1">
        <f>(J14*J15)-1</f>
        <v>8</v>
      </c>
      <c r="D21" s="89">
        <f>(SUMSQ(F4:F12)/(J13))-J11</f>
        <v>6.3146074074073653</v>
      </c>
      <c r="E21" s="89">
        <f t="shared" si="2"/>
        <v>0.78932592592592066</v>
      </c>
      <c r="F21" s="89">
        <f>E21/E25</f>
        <v>9.8462888955620116</v>
      </c>
      <c r="G21" s="89">
        <f>FINV(G19,C21,C25)</f>
        <v>2.5910961798744014</v>
      </c>
      <c r="H21" s="89">
        <f>FINV(H19,C21,C25)</f>
        <v>3.8895721399261927</v>
      </c>
      <c r="I21" s="1" t="str">
        <f>IF(F21&lt;G21,"tn",IF(F21&lt;H21,"*","**"))</f>
        <v>**</v>
      </c>
      <c r="J21" t="s">
        <v>81</v>
      </c>
      <c r="K21" s="134" t="s">
        <v>2</v>
      </c>
      <c r="L21" s="134" t="s">
        <v>75</v>
      </c>
      <c r="M21" s="134" t="s">
        <v>76</v>
      </c>
      <c r="P21" s="101" t="s">
        <v>2</v>
      </c>
      <c r="Q21" s="101" t="s">
        <v>75</v>
      </c>
      <c r="R21" s="101" t="s">
        <v>91</v>
      </c>
    </row>
    <row r="22" spans="2:19" x14ac:dyDescent="0.25">
      <c r="B22" s="2" t="s">
        <v>58</v>
      </c>
      <c r="C22" s="1">
        <f>J14-1</f>
        <v>2</v>
      </c>
      <c r="D22" s="89">
        <f>(SUMSQ(M5:M7)/(J12))-J11</f>
        <v>5.3239407407406958</v>
      </c>
      <c r="E22" s="89">
        <f t="shared" si="2"/>
        <v>2.6619703703703479</v>
      </c>
      <c r="F22" s="89">
        <f>E22/E25</f>
        <v>33.206218669868633</v>
      </c>
      <c r="G22" s="89">
        <f>FINV(G19,C22,C25)</f>
        <v>3.6337234675916301</v>
      </c>
      <c r="H22" s="89">
        <f>FINV(H19,C22,C25)</f>
        <v>6.2262352803113821</v>
      </c>
      <c r="I22" s="1" t="str">
        <f>IF(F22&lt;G22,"tn",IF(F22&lt;H22,"*","**"))</f>
        <v>**</v>
      </c>
      <c r="J22" t="s">
        <v>81</v>
      </c>
      <c r="K22" s="136" t="s">
        <v>52</v>
      </c>
      <c r="L22" s="135">
        <f>N5</f>
        <v>2.6077777777777778</v>
      </c>
      <c r="M22" s="134" t="s">
        <v>84</v>
      </c>
      <c r="N22" s="56">
        <f>L22+L$25</f>
        <v>2.9522573764916129</v>
      </c>
      <c r="P22" s="125" t="s">
        <v>4</v>
      </c>
      <c r="Q22" s="10">
        <f>G4</f>
        <v>2.476666666666667</v>
      </c>
      <c r="R22" s="125"/>
      <c r="S22" s="56">
        <f>Q22+Q$31</f>
        <v>3.2989079052230514</v>
      </c>
    </row>
    <row r="23" spans="2:19" x14ac:dyDescent="0.25">
      <c r="B23" s="2" t="s">
        <v>59</v>
      </c>
      <c r="C23" s="1">
        <f>J15-1</f>
        <v>2</v>
      </c>
      <c r="D23" s="89">
        <f>(SUMSQ(J8:L8)/(J12))-J11</f>
        <v>0.10178518518515034</v>
      </c>
      <c r="E23" s="89">
        <f t="shared" si="2"/>
        <v>5.089259259257517E-2</v>
      </c>
      <c r="F23" s="89">
        <f>E23/E25</f>
        <v>0.63484949987270989</v>
      </c>
      <c r="G23" s="89">
        <f>FINV(G19,C23,C25)</f>
        <v>3.6337234675916301</v>
      </c>
      <c r="H23" s="89">
        <f>FINV(H19,C23,C25)</f>
        <v>6.2262352803113821</v>
      </c>
      <c r="I23" s="1" t="str">
        <f>IF(F23&lt;G23,"tn",IF(F23&lt;H23,"*","**"))</f>
        <v>tn</v>
      </c>
      <c r="K23" s="136" t="s">
        <v>53</v>
      </c>
      <c r="L23" s="135">
        <f>N6</f>
        <v>2.161111111111111</v>
      </c>
      <c r="M23" s="134" t="s">
        <v>79</v>
      </c>
      <c r="N23" s="56">
        <f>L23+L$25</f>
        <v>2.5055907098249461</v>
      </c>
      <c r="P23" s="125" t="s">
        <v>5</v>
      </c>
      <c r="Q23" s="10">
        <f t="shared" ref="Q23:Q30" si="3">G5</f>
        <v>2.85</v>
      </c>
      <c r="R23" s="155"/>
      <c r="S23" s="56">
        <f t="shared" ref="S23:S30" si="4">Q23+Q$31</f>
        <v>3.6722412385563845</v>
      </c>
    </row>
    <row r="24" spans="2:19" x14ac:dyDescent="0.25">
      <c r="B24" s="140" t="s">
        <v>69</v>
      </c>
      <c r="C24" s="4">
        <f>C22*C23</f>
        <v>4</v>
      </c>
      <c r="D24" s="142">
        <f>D21-D22-D23</f>
        <v>0.88888148148151913</v>
      </c>
      <c r="E24" s="142">
        <f t="shared" si="2"/>
        <v>0.22222037037037978</v>
      </c>
      <c r="F24" s="142">
        <f>E24/E25</f>
        <v>2.7720437062533523</v>
      </c>
      <c r="G24" s="142">
        <f>FINV(G19,C24,C25)</f>
        <v>3.0069172799243447</v>
      </c>
      <c r="H24" s="142">
        <f>FINV(H19,C24,C25)</f>
        <v>4.772577999723211</v>
      </c>
      <c r="I24" s="4" t="str">
        <f>IF(F24&lt;G24,"tn",IF(F24&lt;H24,"*","**"))</f>
        <v>tn</v>
      </c>
      <c r="J24" t="s">
        <v>81</v>
      </c>
      <c r="K24" s="136" t="s">
        <v>54</v>
      </c>
      <c r="L24" s="135">
        <f>N7</f>
        <v>1.5255555555555556</v>
      </c>
      <c r="M24" s="134" t="s">
        <v>59</v>
      </c>
      <c r="N24" s="56">
        <f>L24+L$25</f>
        <v>1.8700351542693907</v>
      </c>
      <c r="P24" s="125" t="s">
        <v>6</v>
      </c>
      <c r="Q24" s="10">
        <f t="shared" si="3"/>
        <v>2.4966666666666666</v>
      </c>
      <c r="R24" s="155"/>
      <c r="S24" s="56">
        <f t="shared" si="4"/>
        <v>3.318907905223051</v>
      </c>
    </row>
    <row r="25" spans="2:19" x14ac:dyDescent="0.25">
      <c r="B25" s="2" t="s">
        <v>70</v>
      </c>
      <c r="C25" s="1">
        <f>C26-C20-C21</f>
        <v>16</v>
      </c>
      <c r="D25" s="89">
        <f>D26-D20-D21</f>
        <v>1.2826370370370768</v>
      </c>
      <c r="E25" s="89">
        <f t="shared" si="2"/>
        <v>8.0164814814817298E-2</v>
      </c>
      <c r="F25" s="228"/>
      <c r="G25" s="229"/>
      <c r="H25" s="229"/>
      <c r="I25" s="230"/>
      <c r="K25" s="67" t="s">
        <v>74</v>
      </c>
      <c r="L25" s="204">
        <f>L19</f>
        <v>0.34447959871383504</v>
      </c>
      <c r="M25" s="204"/>
      <c r="P25" s="125" t="s">
        <v>7</v>
      </c>
      <c r="Q25" s="10">
        <f t="shared" si="3"/>
        <v>2.5533333333333332</v>
      </c>
      <c r="R25" s="155"/>
      <c r="S25" s="56">
        <f t="shared" si="4"/>
        <v>3.3755745718897177</v>
      </c>
    </row>
    <row r="26" spans="2:19" x14ac:dyDescent="0.25">
      <c r="B26" s="12" t="s">
        <v>3</v>
      </c>
      <c r="C26" s="1">
        <f>(J14*J15*J13)-1</f>
        <v>26</v>
      </c>
      <c r="D26" s="89">
        <f>SUMSQ(C4:E12)-J11</f>
        <v>7.6900074074073643</v>
      </c>
      <c r="E26" s="89">
        <f t="shared" si="2"/>
        <v>0.29576951566951404</v>
      </c>
      <c r="F26" s="231"/>
      <c r="G26" s="232"/>
      <c r="H26" s="232"/>
      <c r="I26" s="233"/>
      <c r="K26" s="65" t="s">
        <v>77</v>
      </c>
      <c r="L26" s="135">
        <f>J9</f>
        <v>2.1566666666666667</v>
      </c>
      <c r="M26" s="134" t="s">
        <v>78</v>
      </c>
      <c r="N26" s="56"/>
      <c r="P26" s="125" t="s">
        <v>8</v>
      </c>
      <c r="Q26" s="10">
        <f t="shared" si="3"/>
        <v>1.9666666666666668</v>
      </c>
      <c r="R26" s="155"/>
      <c r="S26" s="56">
        <f t="shared" si="4"/>
        <v>2.7889079052230512</v>
      </c>
    </row>
    <row r="27" spans="2:19" x14ac:dyDescent="0.25">
      <c r="K27" s="65" t="s">
        <v>50</v>
      </c>
      <c r="L27" s="135">
        <f>K9</f>
        <v>2.1244444444444444</v>
      </c>
      <c r="M27" s="134" t="s">
        <v>78</v>
      </c>
      <c r="N27" s="56"/>
      <c r="P27" s="125" t="s">
        <v>9</v>
      </c>
      <c r="Q27" s="10">
        <f t="shared" si="3"/>
        <v>1.9633333333333332</v>
      </c>
      <c r="R27" s="155"/>
      <c r="S27" s="56">
        <f t="shared" si="4"/>
        <v>2.7855745718897174</v>
      </c>
    </row>
    <row r="28" spans="2:19" x14ac:dyDescent="0.25">
      <c r="K28" s="65" t="s">
        <v>51</v>
      </c>
      <c r="L28" s="135">
        <f>L9</f>
        <v>2.0133333333333332</v>
      </c>
      <c r="M28" s="134" t="s">
        <v>78</v>
      </c>
      <c r="N28" s="56"/>
      <c r="P28" s="125" t="s">
        <v>10</v>
      </c>
      <c r="Q28" s="10">
        <f t="shared" si="3"/>
        <v>1.4400000000000002</v>
      </c>
      <c r="R28" s="155"/>
      <c r="S28" s="56">
        <f t="shared" si="4"/>
        <v>2.2622412385563848</v>
      </c>
    </row>
    <row r="29" spans="2:19" ht="15.75" x14ac:dyDescent="0.25">
      <c r="K29" s="126" t="s">
        <v>74</v>
      </c>
      <c r="L29" s="205" t="s">
        <v>78</v>
      </c>
      <c r="M29" s="206"/>
      <c r="P29" s="125" t="s">
        <v>11</v>
      </c>
      <c r="Q29" s="10">
        <f t="shared" si="3"/>
        <v>1.5566666666666666</v>
      </c>
      <c r="R29" s="155"/>
      <c r="S29" s="56">
        <f t="shared" si="4"/>
        <v>2.3789079052230511</v>
      </c>
    </row>
    <row r="30" spans="2:19" x14ac:dyDescent="0.25">
      <c r="P30" s="125" t="s">
        <v>12</v>
      </c>
      <c r="Q30" s="10">
        <f t="shared" si="3"/>
        <v>1.58</v>
      </c>
      <c r="R30" s="155"/>
      <c r="S30" s="56">
        <f t="shared" si="4"/>
        <v>2.4022412385563845</v>
      </c>
    </row>
    <row r="31" spans="2:19" ht="15.75" x14ac:dyDescent="0.25">
      <c r="P31" s="95" t="s">
        <v>74</v>
      </c>
      <c r="Q31" s="96">
        <f>Q19</f>
        <v>0.82224123855638442</v>
      </c>
    </row>
  </sheetData>
  <mergeCells count="21">
    <mergeCell ref="B2:B3"/>
    <mergeCell ref="C2:E2"/>
    <mergeCell ref="F2:F3"/>
    <mergeCell ref="G2:G3"/>
    <mergeCell ref="I2:N2"/>
    <mergeCell ref="I3:I4"/>
    <mergeCell ref="J3:L3"/>
    <mergeCell ref="M3:M4"/>
    <mergeCell ref="N3:N4"/>
    <mergeCell ref="F25:I26"/>
    <mergeCell ref="L25:M25"/>
    <mergeCell ref="L29:M29"/>
    <mergeCell ref="N8:N9"/>
    <mergeCell ref="B17:I17"/>
    <mergeCell ref="B18:B19"/>
    <mergeCell ref="C18:C19"/>
    <mergeCell ref="D18:D19"/>
    <mergeCell ref="E18:E19"/>
    <mergeCell ref="F18:F19"/>
    <mergeCell ref="G18:H18"/>
    <mergeCell ref="I18:I19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S33"/>
  <sheetViews>
    <sheetView tabSelected="1" topLeftCell="B13" workbookViewId="0">
      <selection activeCell="N31" sqref="N31"/>
    </sheetView>
  </sheetViews>
  <sheetFormatPr defaultRowHeight="15" x14ac:dyDescent="0.25"/>
  <cols>
    <col min="2" max="2" width="11.5703125" customWidth="1"/>
    <col min="9" max="9" width="12.5703125" customWidth="1"/>
    <col min="10" max="10" width="13" customWidth="1"/>
    <col min="11" max="11" width="12.85546875" customWidth="1"/>
    <col min="14" max="14" width="11" customWidth="1"/>
    <col min="16" max="16" width="13.28515625" customWidth="1"/>
  </cols>
  <sheetData>
    <row r="2" spans="2:14" x14ac:dyDescent="0.25">
      <c r="B2" s="199" t="s">
        <v>21</v>
      </c>
      <c r="C2" s="199" t="s">
        <v>22</v>
      </c>
      <c r="D2" s="199"/>
      <c r="E2" s="199"/>
      <c r="F2" s="199" t="s">
        <v>14</v>
      </c>
      <c r="G2" s="199" t="s">
        <v>23</v>
      </c>
      <c r="I2" s="199" t="s">
        <v>46</v>
      </c>
      <c r="J2" s="199"/>
      <c r="K2" s="199"/>
      <c r="L2" s="199"/>
      <c r="M2" s="199"/>
      <c r="N2" s="199"/>
    </row>
    <row r="3" spans="2:14" x14ac:dyDescent="0.25">
      <c r="B3" s="199"/>
      <c r="C3" s="87">
        <v>1</v>
      </c>
      <c r="D3" s="87">
        <v>2</v>
      </c>
      <c r="E3" s="87">
        <v>3</v>
      </c>
      <c r="F3" s="199"/>
      <c r="G3" s="199"/>
      <c r="I3" s="200" t="s">
        <v>48</v>
      </c>
      <c r="J3" s="187" t="s">
        <v>47</v>
      </c>
      <c r="K3" s="187"/>
      <c r="L3" s="187"/>
      <c r="M3" s="188" t="s">
        <v>14</v>
      </c>
      <c r="N3" s="188" t="s">
        <v>34</v>
      </c>
    </row>
    <row r="4" spans="2:14" x14ac:dyDescent="0.25">
      <c r="B4" s="86" t="s">
        <v>4</v>
      </c>
      <c r="C4" s="1">
        <v>8.58</v>
      </c>
      <c r="D4" s="1">
        <v>9.0299999999999994</v>
      </c>
      <c r="E4" s="1">
        <v>9.01</v>
      </c>
      <c r="F4" s="30">
        <f>SUM(C4:E4)</f>
        <v>26.619999999999997</v>
      </c>
      <c r="G4" s="10">
        <f>AVERAGE(C4:E4)</f>
        <v>8.8733333333333331</v>
      </c>
      <c r="I4" s="200"/>
      <c r="J4" s="85" t="s">
        <v>49</v>
      </c>
      <c r="K4" s="85" t="s">
        <v>50</v>
      </c>
      <c r="L4" s="85" t="s">
        <v>51</v>
      </c>
      <c r="M4" s="188"/>
      <c r="N4" s="188"/>
    </row>
    <row r="5" spans="2:14" x14ac:dyDescent="0.25">
      <c r="B5" s="86" t="s">
        <v>5</v>
      </c>
      <c r="C5" s="1">
        <v>9.2100000000000009</v>
      </c>
      <c r="D5" s="1">
        <v>9.83</v>
      </c>
      <c r="E5" s="1">
        <v>9.2799999999999994</v>
      </c>
      <c r="F5" s="30">
        <f>SUM(C5:E5)</f>
        <v>28.32</v>
      </c>
      <c r="G5" s="10">
        <f>AVERAGE(C5:E5)</f>
        <v>9.44</v>
      </c>
      <c r="I5" s="85" t="s">
        <v>52</v>
      </c>
      <c r="J5" s="53">
        <f>F4</f>
        <v>26.619999999999997</v>
      </c>
      <c r="K5" s="53">
        <f>F5</f>
        <v>28.32</v>
      </c>
      <c r="L5" s="53">
        <f>F6</f>
        <v>31.119999999999997</v>
      </c>
      <c r="M5" s="51">
        <f>SUM(J5:L5)</f>
        <v>86.06</v>
      </c>
      <c r="N5" s="13">
        <f>M5/9</f>
        <v>9.5622222222222231</v>
      </c>
    </row>
    <row r="6" spans="2:14" x14ac:dyDescent="0.25">
      <c r="B6" s="86" t="s">
        <v>6</v>
      </c>
      <c r="C6" s="1">
        <v>10.37</v>
      </c>
      <c r="D6" s="1">
        <v>10.5</v>
      </c>
      <c r="E6" s="1">
        <v>10.25</v>
      </c>
      <c r="F6" s="30">
        <f t="shared" ref="F6:F12" si="0">SUM(C6:E6)</f>
        <v>31.119999999999997</v>
      </c>
      <c r="G6" s="10">
        <f t="shared" ref="G6:G12" si="1">AVERAGE(C6:E6)</f>
        <v>10.373333333333333</v>
      </c>
      <c r="I6" s="85" t="s">
        <v>53</v>
      </c>
      <c r="J6" s="53">
        <f>F7</f>
        <v>25.72</v>
      </c>
      <c r="K6" s="53">
        <f>F8</f>
        <v>25.79</v>
      </c>
      <c r="L6" s="53">
        <f>F9</f>
        <v>26.1</v>
      </c>
      <c r="M6" s="51">
        <f>SUM(J6:L6)</f>
        <v>77.61</v>
      </c>
      <c r="N6" s="13">
        <f>M6/9</f>
        <v>8.6233333333333331</v>
      </c>
    </row>
    <row r="7" spans="2:14" x14ac:dyDescent="0.25">
      <c r="B7" s="86" t="s">
        <v>7</v>
      </c>
      <c r="C7" s="1">
        <v>8.25</v>
      </c>
      <c r="D7" s="1">
        <v>9.0399999999999991</v>
      </c>
      <c r="E7" s="1">
        <v>8.43</v>
      </c>
      <c r="F7" s="30">
        <f t="shared" si="0"/>
        <v>25.72</v>
      </c>
      <c r="G7" s="10">
        <f t="shared" si="1"/>
        <v>8.5733333333333324</v>
      </c>
      <c r="I7" s="85" t="s">
        <v>54</v>
      </c>
      <c r="J7" s="53">
        <f>F10</f>
        <v>22.29</v>
      </c>
      <c r="K7" s="53">
        <f>F11</f>
        <v>22.94</v>
      </c>
      <c r="L7" s="53">
        <f>F12</f>
        <v>23.1</v>
      </c>
      <c r="M7" s="51">
        <f>SUM(J7:L7)</f>
        <v>68.330000000000013</v>
      </c>
      <c r="N7" s="13">
        <f>M7/9</f>
        <v>7.5922222222222233</v>
      </c>
    </row>
    <row r="8" spans="2:14" x14ac:dyDescent="0.25">
      <c r="B8" s="86" t="s">
        <v>8</v>
      </c>
      <c r="C8" s="1">
        <v>8.59</v>
      </c>
      <c r="D8" s="1">
        <v>8.7899999999999991</v>
      </c>
      <c r="E8" s="1">
        <v>8.41</v>
      </c>
      <c r="F8" s="30">
        <f t="shared" si="0"/>
        <v>25.79</v>
      </c>
      <c r="G8" s="10">
        <f t="shared" si="1"/>
        <v>8.5966666666666658</v>
      </c>
      <c r="I8" s="85" t="s">
        <v>14</v>
      </c>
      <c r="J8" s="51">
        <f>SUM(J5:J7)</f>
        <v>74.63</v>
      </c>
      <c r="K8" s="51">
        <f>SUM(K5:K7)</f>
        <v>77.05</v>
      </c>
      <c r="L8" s="51">
        <f>SUM(L5:L7)</f>
        <v>80.319999999999993</v>
      </c>
      <c r="M8" s="52">
        <f>SUM(M5:M7)</f>
        <v>232.00000000000003</v>
      </c>
      <c r="N8" s="217"/>
    </row>
    <row r="9" spans="2:14" x14ac:dyDescent="0.25">
      <c r="B9" s="86" t="s">
        <v>9</v>
      </c>
      <c r="C9" s="1">
        <v>8.51</v>
      </c>
      <c r="D9" s="1">
        <v>8.9600000000000009</v>
      </c>
      <c r="E9" s="1">
        <v>8.6300000000000008</v>
      </c>
      <c r="F9" s="30">
        <f t="shared" si="0"/>
        <v>26.1</v>
      </c>
      <c r="G9" s="10">
        <f t="shared" si="1"/>
        <v>8.7000000000000011</v>
      </c>
      <c r="I9" s="85" t="s">
        <v>15</v>
      </c>
      <c r="J9" s="51">
        <f>J8/9</f>
        <v>8.2922222222222217</v>
      </c>
      <c r="K9" s="51">
        <f>K8/9</f>
        <v>8.56111111111111</v>
      </c>
      <c r="L9" s="51">
        <f>L8/9</f>
        <v>8.9244444444444433</v>
      </c>
      <c r="M9" s="68"/>
      <c r="N9" s="218"/>
    </row>
    <row r="10" spans="2:14" x14ac:dyDescent="0.25">
      <c r="B10" s="86" t="s">
        <v>10</v>
      </c>
      <c r="C10" s="1">
        <v>7.98</v>
      </c>
      <c r="D10" s="1">
        <v>7.17</v>
      </c>
      <c r="E10" s="1">
        <v>7.14</v>
      </c>
      <c r="F10" s="30">
        <f>SUM(C10:E10)</f>
        <v>22.29</v>
      </c>
      <c r="G10" s="10">
        <f t="shared" si="1"/>
        <v>7.43</v>
      </c>
    </row>
    <row r="11" spans="2:14" x14ac:dyDescent="0.25">
      <c r="B11" s="86" t="s">
        <v>11</v>
      </c>
      <c r="C11" s="1">
        <v>7.64</v>
      </c>
      <c r="D11" s="1">
        <v>7.75</v>
      </c>
      <c r="E11" s="1">
        <v>7.55</v>
      </c>
      <c r="F11" s="30">
        <f t="shared" si="0"/>
        <v>22.94</v>
      </c>
      <c r="G11" s="10">
        <f t="shared" si="1"/>
        <v>7.6466666666666674</v>
      </c>
      <c r="I11" s="59" t="s">
        <v>55</v>
      </c>
      <c r="J11" s="69">
        <f>F13^2/(J14*J15*J13)</f>
        <v>1993.4814814814808</v>
      </c>
    </row>
    <row r="12" spans="2:14" x14ac:dyDescent="0.25">
      <c r="B12" s="86" t="s">
        <v>12</v>
      </c>
      <c r="C12" s="1">
        <v>7.64</v>
      </c>
      <c r="D12" s="1">
        <v>7.87</v>
      </c>
      <c r="E12" s="1">
        <v>7.59</v>
      </c>
      <c r="F12" s="30">
        <f t="shared" si="0"/>
        <v>23.1</v>
      </c>
      <c r="G12" s="10">
        <f t="shared" si="1"/>
        <v>7.7</v>
      </c>
      <c r="I12" s="61" t="s">
        <v>56</v>
      </c>
      <c r="J12" s="2">
        <v>9</v>
      </c>
    </row>
    <row r="13" spans="2:14" x14ac:dyDescent="0.25">
      <c r="B13" s="88" t="s">
        <v>14</v>
      </c>
      <c r="C13" s="1">
        <f>SUM(C4:C12)</f>
        <v>76.77</v>
      </c>
      <c r="D13" s="1">
        <f>SUM(D4:D12)</f>
        <v>78.94</v>
      </c>
      <c r="E13" s="1">
        <f>SUM(E4:E12)</f>
        <v>76.290000000000006</v>
      </c>
      <c r="F13" s="4">
        <f>SUM(F4:F12)</f>
        <v>231.99999999999997</v>
      </c>
      <c r="G13" s="1"/>
      <c r="I13" s="61" t="s">
        <v>57</v>
      </c>
      <c r="J13" s="2">
        <v>3</v>
      </c>
    </row>
    <row r="14" spans="2:14" x14ac:dyDescent="0.25">
      <c r="I14" s="61" t="s">
        <v>58</v>
      </c>
      <c r="J14" s="2">
        <v>3</v>
      </c>
    </row>
    <row r="15" spans="2:14" x14ac:dyDescent="0.25">
      <c r="I15" s="61" t="s">
        <v>59</v>
      </c>
      <c r="J15" s="2">
        <v>3</v>
      </c>
    </row>
    <row r="17" spans="2:19" ht="15.75" x14ac:dyDescent="0.25">
      <c r="B17" s="234" t="s">
        <v>86</v>
      </c>
      <c r="C17" s="234"/>
      <c r="D17" s="234"/>
      <c r="E17" s="234"/>
      <c r="F17" s="234"/>
      <c r="G17" s="234"/>
      <c r="H17" s="234"/>
      <c r="I17" s="234"/>
      <c r="K17" s="62" t="s">
        <v>71</v>
      </c>
      <c r="L17" s="62" t="s">
        <v>72</v>
      </c>
      <c r="M17" s="62" t="s">
        <v>73</v>
      </c>
      <c r="P17" s="92" t="s">
        <v>90</v>
      </c>
      <c r="Q17" s="92" t="s">
        <v>74</v>
      </c>
      <c r="R17" s="92" t="s">
        <v>73</v>
      </c>
    </row>
    <row r="18" spans="2:19" ht="15.75" x14ac:dyDescent="0.25">
      <c r="B18" s="182" t="s">
        <v>61</v>
      </c>
      <c r="C18" s="182" t="s">
        <v>62</v>
      </c>
      <c r="D18" s="182" t="s">
        <v>63</v>
      </c>
      <c r="E18" s="182" t="s">
        <v>64</v>
      </c>
      <c r="F18" s="182" t="s">
        <v>87</v>
      </c>
      <c r="G18" s="188" t="s">
        <v>88</v>
      </c>
      <c r="H18" s="188"/>
      <c r="I18" s="213" t="s">
        <v>89</v>
      </c>
      <c r="K18" s="90">
        <f>SQRT(E25/J12)</f>
        <v>8.2945083225415869E-2</v>
      </c>
      <c r="L18">
        <v>3.65</v>
      </c>
      <c r="M18" s="56">
        <f>K18*L18</f>
        <v>0.30274955377276791</v>
      </c>
      <c r="P18" s="93">
        <f>SQRT(E25/3)</f>
        <v>0.1436650983844493</v>
      </c>
      <c r="Q18" s="94">
        <f>5.031</f>
        <v>5.0309999999999997</v>
      </c>
      <c r="R18" s="93">
        <f>P18*Q18</f>
        <v>0.72277910997216432</v>
      </c>
    </row>
    <row r="19" spans="2:19" ht="15.75" x14ac:dyDescent="0.25">
      <c r="B19" s="183"/>
      <c r="C19" s="183"/>
      <c r="D19" s="183"/>
      <c r="E19" s="183"/>
      <c r="F19" s="183"/>
      <c r="G19" s="86">
        <v>0.05</v>
      </c>
      <c r="H19" s="85">
        <v>0.01</v>
      </c>
      <c r="I19" s="214"/>
      <c r="K19" s="58" t="s">
        <v>74</v>
      </c>
      <c r="L19" s="63">
        <f>M18</f>
        <v>0.30274955377276791</v>
      </c>
      <c r="P19" s="95" t="s">
        <v>74</v>
      </c>
      <c r="Q19" s="96">
        <f>R18</f>
        <v>0.72277910997216432</v>
      </c>
      <c r="R19" s="97"/>
    </row>
    <row r="20" spans="2:19" x14ac:dyDescent="0.25">
      <c r="B20" s="2" t="s">
        <v>68</v>
      </c>
      <c r="C20" s="1">
        <f>J13-1</f>
        <v>2</v>
      </c>
      <c r="D20" s="89">
        <f>(SUMSQ(C13:E13)/(J12))-J11</f>
        <v>0.44302962963024584</v>
      </c>
      <c r="E20" s="89">
        <f t="shared" ref="E20:E26" si="2">D20/C20</f>
        <v>0.22151481481512292</v>
      </c>
      <c r="F20" s="89">
        <f>E20/E25</f>
        <v>3.5774944857825139</v>
      </c>
      <c r="G20" s="89">
        <f>FINV(G19,C20,C25)</f>
        <v>3.6337234675916301</v>
      </c>
      <c r="H20" s="89">
        <f>FINV(H19,C20,C25)</f>
        <v>6.2262352803113821</v>
      </c>
      <c r="I20" s="1" t="str">
        <f>IF(F20&lt;G20,"tn",IF(F20&lt;H20,"*","**"))</f>
        <v>tn</v>
      </c>
    </row>
    <row r="21" spans="2:19" x14ac:dyDescent="0.25">
      <c r="B21" s="2" t="s">
        <v>2</v>
      </c>
      <c r="C21" s="1">
        <f>(J14*J15)-1</f>
        <v>8</v>
      </c>
      <c r="D21" s="89">
        <f>(SUMSQ(F4:F12)/(J13))-J11</f>
        <v>21.068985185185738</v>
      </c>
      <c r="E21" s="89">
        <f t="shared" si="2"/>
        <v>2.6336231481482173</v>
      </c>
      <c r="F21" s="89">
        <f>E21/E25</f>
        <v>42.533373210242743</v>
      </c>
      <c r="G21" s="89">
        <f>FINV(G19,C21,C25)</f>
        <v>2.5910961798744014</v>
      </c>
      <c r="H21" s="89">
        <f>FINV(H19,C21,C25)</f>
        <v>3.8895721399261927</v>
      </c>
      <c r="I21" s="1" t="str">
        <f>IF(F21&lt;G21,"tn",IF(F21&lt;H21,"*","**"))</f>
        <v>**</v>
      </c>
      <c r="J21" t="s">
        <v>81</v>
      </c>
      <c r="K21" s="65" t="s">
        <v>2</v>
      </c>
      <c r="L21" s="65" t="s">
        <v>75</v>
      </c>
      <c r="M21" s="65" t="s">
        <v>76</v>
      </c>
      <c r="P21" s="101" t="s">
        <v>2</v>
      </c>
      <c r="Q21" s="101" t="s">
        <v>75</v>
      </c>
      <c r="R21" s="101" t="s">
        <v>91</v>
      </c>
    </row>
    <row r="22" spans="2:19" x14ac:dyDescent="0.25">
      <c r="B22" s="2" t="s">
        <v>58</v>
      </c>
      <c r="C22" s="1">
        <f>J14-1</f>
        <v>2</v>
      </c>
      <c r="D22" s="89">
        <f>(SUMSQ(M5:M7)/(J12))-J11</f>
        <v>17.476807407408387</v>
      </c>
      <c r="E22" s="89">
        <f t="shared" si="2"/>
        <v>8.7384037037041935</v>
      </c>
      <c r="F22" s="89">
        <f>E22/E25</f>
        <v>141.12641220242668</v>
      </c>
      <c r="G22" s="89">
        <f>FINV(G19,C22,C25)</f>
        <v>3.6337234675916301</v>
      </c>
      <c r="H22" s="89">
        <f>FINV(H19,C22,C25)</f>
        <v>6.2262352803113821</v>
      </c>
      <c r="I22" s="1" t="str">
        <f>IF(F22&lt;G22,"tn",IF(F22&lt;H22,"*","**"))</f>
        <v>**</v>
      </c>
      <c r="J22" t="s">
        <v>81</v>
      </c>
      <c r="K22" s="65" t="s">
        <v>52</v>
      </c>
      <c r="L22" s="66">
        <f>N5</f>
        <v>9.5622222222222231</v>
      </c>
      <c r="M22" s="134" t="s">
        <v>103</v>
      </c>
      <c r="N22" s="56">
        <f>L22+L$25</f>
        <v>9.8649717759949915</v>
      </c>
      <c r="P22" s="91" t="s">
        <v>4</v>
      </c>
      <c r="Q22" s="10">
        <f>G4</f>
        <v>8.8733333333333331</v>
      </c>
      <c r="R22" s="157" t="s">
        <v>131</v>
      </c>
      <c r="S22" s="56">
        <f>Q22+Q$31</f>
        <v>9.596112443305497</v>
      </c>
    </row>
    <row r="23" spans="2:19" x14ac:dyDescent="0.25">
      <c r="B23" s="2" t="s">
        <v>59</v>
      </c>
      <c r="C23" s="1">
        <f>J15-1</f>
        <v>2</v>
      </c>
      <c r="D23" s="89">
        <f>(SUMSQ(J8:L8)/(J12))-J11</f>
        <v>1.8120518518521749</v>
      </c>
      <c r="E23" s="89">
        <f t="shared" si="2"/>
        <v>0.90602592592608744</v>
      </c>
      <c r="F23" s="89">
        <f>E23/E25</f>
        <v>14.632442334305168</v>
      </c>
      <c r="G23" s="89">
        <f>FINV(G19,C23,C25)</f>
        <v>3.6337234675916301</v>
      </c>
      <c r="H23" s="89">
        <f>FINV(H19,C23,C25)</f>
        <v>6.2262352803113821</v>
      </c>
      <c r="I23" s="1" t="str">
        <f>IF(F23&lt;G23,"tn",IF(F23&lt;H23,"*","**"))</f>
        <v>**</v>
      </c>
      <c r="K23" s="65" t="s">
        <v>53</v>
      </c>
      <c r="L23" s="66">
        <f>N6</f>
        <v>8.6233333333333331</v>
      </c>
      <c r="M23" s="134" t="s">
        <v>103</v>
      </c>
      <c r="N23" s="56">
        <f>L23+L$25</f>
        <v>8.9260828871061015</v>
      </c>
      <c r="P23" s="91" t="s">
        <v>5</v>
      </c>
      <c r="Q23" s="10">
        <f>G5</f>
        <v>9.44</v>
      </c>
      <c r="R23" s="157" t="s">
        <v>133</v>
      </c>
      <c r="S23" s="56">
        <f t="shared" ref="S23:S28" si="3">Q23+Q$31</f>
        <v>10.162779109972163</v>
      </c>
    </row>
    <row r="24" spans="2:19" x14ac:dyDescent="0.25">
      <c r="B24" s="140" t="s">
        <v>69</v>
      </c>
      <c r="C24" s="4">
        <f>C22*C23</f>
        <v>4</v>
      </c>
      <c r="D24" s="142">
        <f>D21-D22-D23</f>
        <v>1.7801259259251765</v>
      </c>
      <c r="E24" s="142">
        <f t="shared" si="2"/>
        <v>0.44503148148129412</v>
      </c>
      <c r="F24" s="142">
        <f>E24/E25</f>
        <v>7.187319152119569</v>
      </c>
      <c r="G24" s="142">
        <f>FINV(G19,C24,C25)</f>
        <v>3.0069172799243447</v>
      </c>
      <c r="H24" s="142">
        <f>FINV(H19,C24,C25)</f>
        <v>4.772577999723211</v>
      </c>
      <c r="I24" s="4" t="str">
        <f>IF(F24&lt;G24,"tn",IF(F24&lt;H24,"*","**"))</f>
        <v>**</v>
      </c>
      <c r="K24" s="65" t="s">
        <v>54</v>
      </c>
      <c r="L24" s="66">
        <f>N7</f>
        <v>7.5922222222222233</v>
      </c>
      <c r="M24" s="134" t="s">
        <v>102</v>
      </c>
      <c r="N24" s="56">
        <f>L24+L$25</f>
        <v>7.8949717759949909</v>
      </c>
      <c r="P24" s="91" t="s">
        <v>6</v>
      </c>
      <c r="Q24" s="10">
        <f t="shared" ref="Q24:Q30" si="4">G6</f>
        <v>10.373333333333333</v>
      </c>
      <c r="R24" s="157" t="s">
        <v>132</v>
      </c>
      <c r="S24" s="56">
        <f t="shared" si="3"/>
        <v>11.096112443305497</v>
      </c>
    </row>
    <row r="25" spans="2:19" x14ac:dyDescent="0.25">
      <c r="B25" s="2" t="s">
        <v>70</v>
      </c>
      <c r="C25" s="1">
        <f>C26-C20-C21</f>
        <v>16</v>
      </c>
      <c r="D25" s="89">
        <f>D26-D20-D21</f>
        <v>0.99070370370304772</v>
      </c>
      <c r="E25" s="89">
        <f t="shared" si="2"/>
        <v>6.1918981481440483E-2</v>
      </c>
      <c r="F25" s="228"/>
      <c r="G25" s="229"/>
      <c r="H25" s="229"/>
      <c r="I25" s="230"/>
      <c r="K25" s="67" t="s">
        <v>74</v>
      </c>
      <c r="L25" s="204">
        <f>L19</f>
        <v>0.30274955377276791</v>
      </c>
      <c r="M25" s="204"/>
      <c r="P25" s="91" t="s">
        <v>7</v>
      </c>
      <c r="Q25" s="10">
        <f t="shared" si="4"/>
        <v>8.5733333333333324</v>
      </c>
      <c r="R25" s="157" t="s">
        <v>103</v>
      </c>
      <c r="S25" s="56">
        <f t="shared" si="3"/>
        <v>9.2961124433054962</v>
      </c>
    </row>
    <row r="26" spans="2:19" x14ac:dyDescent="0.25">
      <c r="B26" s="12" t="s">
        <v>3</v>
      </c>
      <c r="C26" s="1">
        <f>(J14*J15*J13)-1</f>
        <v>26</v>
      </c>
      <c r="D26" s="89">
        <f>SUMSQ(C4:E12)-J11</f>
        <v>22.502718518519032</v>
      </c>
      <c r="E26" s="89">
        <f t="shared" si="2"/>
        <v>0.86548917378919354</v>
      </c>
      <c r="F26" s="231"/>
      <c r="G26" s="232"/>
      <c r="H26" s="232"/>
      <c r="I26" s="233"/>
      <c r="K26" s="65" t="s">
        <v>77</v>
      </c>
      <c r="L26" s="66">
        <f>J9</f>
        <v>8.2922222222222217</v>
      </c>
      <c r="M26" s="134" t="s">
        <v>102</v>
      </c>
      <c r="N26" s="56">
        <f>L26+L$29</f>
        <v>8.5949717759949902</v>
      </c>
      <c r="P26" s="91" t="s">
        <v>8</v>
      </c>
      <c r="Q26" s="10">
        <f t="shared" si="4"/>
        <v>8.5966666666666658</v>
      </c>
      <c r="R26" s="157" t="s">
        <v>103</v>
      </c>
      <c r="S26" s="56">
        <f t="shared" si="3"/>
        <v>9.3194457766388297</v>
      </c>
    </row>
    <row r="27" spans="2:19" x14ac:dyDescent="0.25">
      <c r="K27" s="65" t="s">
        <v>50</v>
      </c>
      <c r="L27" s="66">
        <f>K9</f>
        <v>8.56111111111111</v>
      </c>
      <c r="M27" s="134" t="s">
        <v>102</v>
      </c>
      <c r="N27" s="56">
        <f>L27+L$29</f>
        <v>8.8638606648838785</v>
      </c>
      <c r="P27" s="91" t="s">
        <v>9</v>
      </c>
      <c r="Q27" s="10">
        <f t="shared" si="4"/>
        <v>8.7000000000000011</v>
      </c>
      <c r="R27" s="157" t="s">
        <v>103</v>
      </c>
      <c r="S27" s="56">
        <f t="shared" si="3"/>
        <v>9.4227791099721649</v>
      </c>
    </row>
    <row r="28" spans="2:19" x14ac:dyDescent="0.25">
      <c r="K28" s="65" t="s">
        <v>51</v>
      </c>
      <c r="L28" s="66">
        <f>L9</f>
        <v>8.9244444444444433</v>
      </c>
      <c r="M28" s="134" t="s">
        <v>103</v>
      </c>
      <c r="N28" s="56">
        <f>L28+L$29</f>
        <v>9.2271939982172118</v>
      </c>
      <c r="P28" s="91" t="s">
        <v>10</v>
      </c>
      <c r="Q28" s="10">
        <f t="shared" si="4"/>
        <v>7.43</v>
      </c>
      <c r="R28" s="157" t="s">
        <v>102</v>
      </c>
      <c r="S28" s="56">
        <f t="shared" si="3"/>
        <v>8.1527791099721636</v>
      </c>
    </row>
    <row r="29" spans="2:19" x14ac:dyDescent="0.25">
      <c r="K29" s="67" t="s">
        <v>74</v>
      </c>
      <c r="L29" s="204">
        <f>L19</f>
        <v>0.30274955377276791</v>
      </c>
      <c r="M29" s="204"/>
      <c r="P29" s="91" t="s">
        <v>11</v>
      </c>
      <c r="Q29" s="10">
        <f t="shared" si="4"/>
        <v>7.6466666666666674</v>
      </c>
      <c r="R29" s="157" t="s">
        <v>102</v>
      </c>
      <c r="S29" s="56">
        <f>Q29+Q$31</f>
        <v>8.3694457766388322</v>
      </c>
    </row>
    <row r="30" spans="2:19" x14ac:dyDescent="0.25">
      <c r="P30" s="91" t="s">
        <v>12</v>
      </c>
      <c r="Q30" s="10">
        <f t="shared" si="4"/>
        <v>7.7</v>
      </c>
      <c r="R30" s="157" t="s">
        <v>102</v>
      </c>
      <c r="S30" s="56">
        <f>Q30+Q$31</f>
        <v>8.4227791099721649</v>
      </c>
    </row>
    <row r="31" spans="2:19" ht="15.75" x14ac:dyDescent="0.25">
      <c r="K31" s="98"/>
      <c r="L31" s="98"/>
      <c r="M31" s="98"/>
      <c r="P31" s="95" t="s">
        <v>74</v>
      </c>
      <c r="Q31" s="96">
        <f>Q19</f>
        <v>0.72277910997216432</v>
      </c>
    </row>
    <row r="32" spans="2:19" ht="15.75" x14ac:dyDescent="0.25">
      <c r="K32" s="93"/>
      <c r="L32" s="94"/>
      <c r="M32" s="93"/>
    </row>
    <row r="33" spans="11:13" ht="15.75" x14ac:dyDescent="0.25">
      <c r="K33" s="99"/>
      <c r="L33" s="100"/>
      <c r="M33" s="97"/>
    </row>
  </sheetData>
  <mergeCells count="21">
    <mergeCell ref="B2:B3"/>
    <mergeCell ref="C2:E2"/>
    <mergeCell ref="F2:F3"/>
    <mergeCell ref="G2:G3"/>
    <mergeCell ref="I2:N2"/>
    <mergeCell ref="I3:I4"/>
    <mergeCell ref="J3:L3"/>
    <mergeCell ref="M3:M4"/>
    <mergeCell ref="N3:N4"/>
    <mergeCell ref="F25:I26"/>
    <mergeCell ref="L25:M25"/>
    <mergeCell ref="L29:M29"/>
    <mergeCell ref="N8:N9"/>
    <mergeCell ref="B17:I17"/>
    <mergeCell ref="B18:B19"/>
    <mergeCell ref="C18:C19"/>
    <mergeCell ref="D18:D19"/>
    <mergeCell ref="E18:E19"/>
    <mergeCell ref="F18:F19"/>
    <mergeCell ref="G18:H18"/>
    <mergeCell ref="I18:I19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F135"/>
  <sheetViews>
    <sheetView topLeftCell="U73" zoomScale="90" zoomScaleNormal="90" workbookViewId="0">
      <selection activeCell="AE84" sqref="AE84"/>
    </sheetView>
  </sheetViews>
  <sheetFormatPr defaultRowHeight="15" x14ac:dyDescent="0.25"/>
  <cols>
    <col min="3" max="3" width="15" customWidth="1"/>
    <col min="4" max="4" width="9.5703125" customWidth="1"/>
    <col min="5" max="5" width="10.5703125" customWidth="1"/>
    <col min="6" max="6" width="21.42578125" customWidth="1"/>
    <col min="13" max="13" width="0.85546875" style="116" customWidth="1"/>
    <col min="14" max="14" width="9.140625" customWidth="1"/>
    <col min="16" max="16" width="11.28515625" customWidth="1"/>
    <col min="17" max="17" width="9.5703125" customWidth="1"/>
    <col min="18" max="18" width="10.5703125" customWidth="1"/>
    <col min="19" max="19" width="21.7109375" customWidth="1"/>
    <col min="26" max="26" width="0.5703125" style="116" customWidth="1"/>
    <col min="29" max="29" width="10.5703125" customWidth="1"/>
    <col min="30" max="30" width="10.140625" customWidth="1"/>
    <col min="31" max="31" width="10.5703125" customWidth="1"/>
    <col min="32" max="32" width="22" customWidth="1"/>
  </cols>
  <sheetData>
    <row r="2" spans="2:32" x14ac:dyDescent="0.25">
      <c r="B2" s="110" t="s">
        <v>92</v>
      </c>
      <c r="C2" s="110">
        <v>0.41599999999999998</v>
      </c>
      <c r="D2" s="102"/>
      <c r="E2" s="102"/>
      <c r="F2" s="102"/>
      <c r="O2" s="110" t="s">
        <v>92</v>
      </c>
      <c r="P2" s="110">
        <v>0.41599999999999998</v>
      </c>
      <c r="Q2" s="102"/>
      <c r="R2" s="102"/>
      <c r="S2" s="102"/>
      <c r="AB2" s="110" t="s">
        <v>92</v>
      </c>
      <c r="AC2" s="110">
        <v>0.41599999999999998</v>
      </c>
      <c r="AD2" s="102"/>
      <c r="AE2" s="102"/>
      <c r="AF2" s="102"/>
    </row>
    <row r="3" spans="2:32" x14ac:dyDescent="0.25">
      <c r="B3" s="114" t="s">
        <v>156</v>
      </c>
      <c r="C3" s="115" t="s">
        <v>93</v>
      </c>
      <c r="D3" s="115" t="s">
        <v>94</v>
      </c>
      <c r="E3" s="115" t="s">
        <v>95</v>
      </c>
      <c r="F3" s="115" t="s">
        <v>96</v>
      </c>
      <c r="O3" s="114" t="s">
        <v>110</v>
      </c>
      <c r="P3" s="115" t="s">
        <v>93</v>
      </c>
      <c r="Q3" s="115" t="s">
        <v>94</v>
      </c>
      <c r="R3" s="115" t="s">
        <v>95</v>
      </c>
      <c r="S3" s="115" t="s">
        <v>96</v>
      </c>
      <c r="AB3" s="114" t="s">
        <v>118</v>
      </c>
      <c r="AC3" s="115" t="s">
        <v>93</v>
      </c>
      <c r="AD3" s="115" t="s">
        <v>94</v>
      </c>
      <c r="AE3" s="115" t="s">
        <v>95</v>
      </c>
      <c r="AF3" s="115" t="s">
        <v>96</v>
      </c>
    </row>
    <row r="4" spans="2:32" x14ac:dyDescent="0.25">
      <c r="B4" s="102"/>
      <c r="C4" s="103">
        <v>5</v>
      </c>
      <c r="D4" s="10">
        <f>((C$2-E4)*100/C$2)</f>
        <v>17.30769230769231</v>
      </c>
      <c r="E4" s="103">
        <v>0.34399999999999997</v>
      </c>
      <c r="F4" s="10">
        <f>(C$2-E4)</f>
        <v>7.2000000000000008E-2</v>
      </c>
      <c r="O4" s="102"/>
      <c r="P4" s="103">
        <v>5</v>
      </c>
      <c r="Q4" s="10">
        <f>((P$2-R4)*100/P$2)</f>
        <v>10.336538461538458</v>
      </c>
      <c r="R4" s="103">
        <v>0.373</v>
      </c>
      <c r="S4" s="10">
        <f>(P$2-R4)</f>
        <v>4.2999999999999983E-2</v>
      </c>
      <c r="AB4" s="102"/>
      <c r="AC4" s="103">
        <v>5</v>
      </c>
      <c r="AD4" s="10">
        <f>((AC$2-AE4)*100/AC$2)</f>
        <v>6.2499999999999929</v>
      </c>
      <c r="AE4" s="103">
        <v>0.39</v>
      </c>
      <c r="AF4" s="10">
        <f>(AC$2-AE4)</f>
        <v>2.5999999999999968E-2</v>
      </c>
    </row>
    <row r="5" spans="2:32" x14ac:dyDescent="0.25">
      <c r="B5" s="102"/>
      <c r="C5" s="103">
        <v>10</v>
      </c>
      <c r="D5" s="10">
        <f>((F5*100)/C$2)</f>
        <v>16.586538461538463</v>
      </c>
      <c r="E5" s="103">
        <v>0.34699999999999998</v>
      </c>
      <c r="F5" s="10">
        <f>(C$2-E5)</f>
        <v>6.9000000000000006E-2</v>
      </c>
      <c r="O5" s="102"/>
      <c r="P5" s="103">
        <v>10</v>
      </c>
      <c r="Q5" s="10">
        <f>((S5*100)/P$2)</f>
        <v>11.057692307692305</v>
      </c>
      <c r="R5" s="103">
        <v>0.37</v>
      </c>
      <c r="S5" s="10">
        <f>(P$2-R5)</f>
        <v>4.5999999999999985E-2</v>
      </c>
      <c r="AB5" s="102"/>
      <c r="AC5" s="103">
        <v>10</v>
      </c>
      <c r="AD5" s="10">
        <f>((AF5*100)/AC$2)</f>
        <v>7.4519230769230704</v>
      </c>
      <c r="AE5" s="103">
        <v>0.38500000000000001</v>
      </c>
      <c r="AF5" s="10">
        <f>(AC$2-AE5)</f>
        <v>3.0999999999999972E-2</v>
      </c>
    </row>
    <row r="6" spans="2:32" x14ac:dyDescent="0.25">
      <c r="B6" s="102"/>
      <c r="C6" s="103">
        <v>15</v>
      </c>
      <c r="D6" s="10">
        <f>((F6*100)/C$2)</f>
        <v>23.557692307692303</v>
      </c>
      <c r="E6" s="103">
        <v>0.318</v>
      </c>
      <c r="F6" s="10">
        <f>(C$2-E6)</f>
        <v>9.7999999999999976E-2</v>
      </c>
      <c r="O6" s="102"/>
      <c r="P6" s="103">
        <v>15</v>
      </c>
      <c r="Q6" s="10">
        <f>((S6*100)/P$2)</f>
        <v>9.8557692307692264</v>
      </c>
      <c r="R6" s="103">
        <v>0.375</v>
      </c>
      <c r="S6" s="10">
        <f>(P$2-R6)</f>
        <v>4.0999999999999981E-2</v>
      </c>
      <c r="AB6" s="102"/>
      <c r="AC6" s="103">
        <v>15</v>
      </c>
      <c r="AD6" s="10">
        <f>((AF6*100)/AC$2)</f>
        <v>9.6153846153846114</v>
      </c>
      <c r="AE6" s="103">
        <v>0.376</v>
      </c>
      <c r="AF6" s="10">
        <f>(AC$2-AE6)</f>
        <v>3.999999999999998E-2</v>
      </c>
    </row>
    <row r="7" spans="2:32" x14ac:dyDescent="0.25">
      <c r="B7" s="102"/>
      <c r="C7" s="103">
        <v>20</v>
      </c>
      <c r="D7" s="10">
        <f>((F7*100)/C$2)</f>
        <v>27.163461538461537</v>
      </c>
      <c r="E7" s="103">
        <v>0.30299999999999999</v>
      </c>
      <c r="F7" s="10">
        <f>(C$2-E7)</f>
        <v>0.11299999999999999</v>
      </c>
      <c r="O7" s="102"/>
      <c r="P7" s="103">
        <v>20</v>
      </c>
      <c r="Q7" s="10">
        <f>((S7*100)/P$2)</f>
        <v>14.182692307692307</v>
      </c>
      <c r="R7" s="103">
        <v>0.35699999999999998</v>
      </c>
      <c r="S7" s="10">
        <f>(P$2-R7)</f>
        <v>5.8999999999999997E-2</v>
      </c>
      <c r="AB7" s="102"/>
      <c r="AC7" s="103">
        <v>20</v>
      </c>
      <c r="AD7" s="10">
        <f>((AF7*100)/AC$2)</f>
        <v>10.576923076923075</v>
      </c>
      <c r="AE7" s="103">
        <v>0.372</v>
      </c>
      <c r="AF7" s="10">
        <f>(AC$2-AE7)</f>
        <v>4.3999999999999984E-2</v>
      </c>
    </row>
    <row r="8" spans="2:32" x14ac:dyDescent="0.25">
      <c r="B8" s="102"/>
      <c r="C8" s="103">
        <v>25</v>
      </c>
      <c r="D8" s="10">
        <f>((F8*100)/C$2)</f>
        <v>37.980769230769226</v>
      </c>
      <c r="E8" s="103">
        <v>0.25800000000000001</v>
      </c>
      <c r="F8" s="10">
        <f>(C$2-E8)</f>
        <v>0.15799999999999997</v>
      </c>
      <c r="O8" s="102"/>
      <c r="P8" s="103">
        <v>25</v>
      </c>
      <c r="Q8" s="10">
        <f>((S8*100)/P$2)</f>
        <v>21.15384615384615</v>
      </c>
      <c r="R8" s="103">
        <v>0.32800000000000001</v>
      </c>
      <c r="S8" s="10">
        <f>(P$2-R8)</f>
        <v>8.7999999999999967E-2</v>
      </c>
      <c r="AB8" s="102"/>
      <c r="AC8" s="103">
        <v>25</v>
      </c>
      <c r="AD8" s="10">
        <f>((AF8*100)/AC$2)</f>
        <v>12.499999999999998</v>
      </c>
      <c r="AE8" s="103">
        <v>0.36399999999999999</v>
      </c>
      <c r="AF8" s="10">
        <f>(AC$2-AE8)</f>
        <v>5.1999999999999991E-2</v>
      </c>
    </row>
    <row r="10" spans="2:32" x14ac:dyDescent="0.25">
      <c r="B10" s="236" t="s">
        <v>97</v>
      </c>
      <c r="C10" s="236"/>
      <c r="D10" s="236"/>
      <c r="O10" s="236" t="s">
        <v>97</v>
      </c>
      <c r="P10" s="236"/>
      <c r="Q10" s="236"/>
      <c r="AB10" s="236" t="s">
        <v>97</v>
      </c>
      <c r="AC10" s="236"/>
      <c r="AD10" s="236"/>
    </row>
    <row r="11" spans="2:32" x14ac:dyDescent="0.25">
      <c r="B11" s="235" t="s">
        <v>100</v>
      </c>
      <c r="C11" s="235"/>
      <c r="D11" s="235"/>
      <c r="O11" s="235" t="s">
        <v>100</v>
      </c>
      <c r="P11" s="235"/>
      <c r="Q11" s="235"/>
      <c r="AB11" s="235" t="s">
        <v>100</v>
      </c>
      <c r="AC11" s="235"/>
      <c r="AD11" s="235"/>
    </row>
    <row r="12" spans="2:32" x14ac:dyDescent="0.25">
      <c r="B12" s="108" t="s">
        <v>101</v>
      </c>
      <c r="C12" s="108" t="s">
        <v>102</v>
      </c>
      <c r="D12" s="108" t="s">
        <v>103</v>
      </c>
      <c r="O12" s="108" t="s">
        <v>101</v>
      </c>
      <c r="P12" s="108" t="s">
        <v>102</v>
      </c>
      <c r="Q12" s="108" t="s">
        <v>103</v>
      </c>
      <c r="AB12" s="108" t="s">
        <v>101</v>
      </c>
      <c r="AC12" s="108" t="s">
        <v>102</v>
      </c>
      <c r="AD12" s="108" t="s">
        <v>103</v>
      </c>
    </row>
    <row r="13" spans="2:32" x14ac:dyDescent="0.25">
      <c r="B13" s="18">
        <v>50</v>
      </c>
      <c r="C13" s="1">
        <v>1.0385</v>
      </c>
      <c r="D13" s="1">
        <v>8.9422999999999995</v>
      </c>
      <c r="O13" s="18">
        <v>50</v>
      </c>
      <c r="P13">
        <v>0.49519999999999997</v>
      </c>
      <c r="Q13">
        <v>5.8894000000000002</v>
      </c>
      <c r="AB13" s="18">
        <v>50</v>
      </c>
      <c r="AC13">
        <v>0.3125</v>
      </c>
      <c r="AD13">
        <v>4.5913000000000004</v>
      </c>
    </row>
    <row r="14" spans="2:32" x14ac:dyDescent="0.25">
      <c r="B14" s="29" t="s">
        <v>98</v>
      </c>
      <c r="C14" s="237">
        <f>(B13-D13)/C13</f>
        <v>39.535580163697638</v>
      </c>
      <c r="D14" s="238"/>
      <c r="O14" s="29" t="s">
        <v>98</v>
      </c>
      <c r="P14" s="237">
        <f>(O13-Q13)/P13</f>
        <v>89.076332794830378</v>
      </c>
      <c r="Q14" s="238"/>
      <c r="AB14" s="29" t="s">
        <v>98</v>
      </c>
      <c r="AC14" s="237">
        <f>(AB13-AD13)/AC13</f>
        <v>145.30784</v>
      </c>
      <c r="AD14" s="238"/>
    </row>
    <row r="17" spans="2:32" s="116" customFormat="1" ht="8.25" customHeight="1" x14ac:dyDescent="0.25"/>
    <row r="18" spans="2:32" x14ac:dyDescent="0.25">
      <c r="B18" s="110" t="s">
        <v>92</v>
      </c>
      <c r="C18" s="110">
        <v>0.41599999999999998</v>
      </c>
      <c r="D18" s="102"/>
      <c r="E18" s="102"/>
      <c r="F18" s="102"/>
      <c r="O18" s="110" t="s">
        <v>92</v>
      </c>
      <c r="P18" s="110">
        <v>0.41599999999999998</v>
      </c>
      <c r="Q18" s="102"/>
      <c r="R18" s="102"/>
      <c r="S18" s="102"/>
      <c r="AB18" s="110" t="s">
        <v>92</v>
      </c>
      <c r="AC18" s="110">
        <v>0.41599999999999998</v>
      </c>
      <c r="AD18" s="102"/>
      <c r="AE18" s="102"/>
      <c r="AF18" s="102"/>
    </row>
    <row r="19" spans="2:32" x14ac:dyDescent="0.25">
      <c r="B19" s="114" t="s">
        <v>99</v>
      </c>
      <c r="C19" s="115" t="s">
        <v>93</v>
      </c>
      <c r="D19" s="115" t="s">
        <v>94</v>
      </c>
      <c r="E19" s="115" t="s">
        <v>95</v>
      </c>
      <c r="F19" s="115" t="s">
        <v>96</v>
      </c>
      <c r="O19" s="114" t="s">
        <v>111</v>
      </c>
      <c r="P19" s="115" t="s">
        <v>93</v>
      </c>
      <c r="Q19" s="115" t="s">
        <v>94</v>
      </c>
      <c r="R19" s="115" t="s">
        <v>95</v>
      </c>
      <c r="S19" s="115" t="s">
        <v>96</v>
      </c>
      <c r="AB19" s="114" t="s">
        <v>119</v>
      </c>
      <c r="AC19" s="115" t="s">
        <v>93</v>
      </c>
      <c r="AD19" s="115" t="s">
        <v>94</v>
      </c>
      <c r="AE19" s="115" t="s">
        <v>95</v>
      </c>
      <c r="AF19" s="115" t="s">
        <v>96</v>
      </c>
    </row>
    <row r="20" spans="2:32" x14ac:dyDescent="0.25">
      <c r="B20" s="102"/>
      <c r="C20" s="103">
        <v>5</v>
      </c>
      <c r="D20" s="10">
        <f>((F20*100)/C$18)</f>
        <v>16.586538461538463</v>
      </c>
      <c r="E20" s="103">
        <v>0.34699999999999998</v>
      </c>
      <c r="F20" s="89">
        <f>(C$18-E20)</f>
        <v>6.9000000000000006E-2</v>
      </c>
      <c r="O20" s="102"/>
      <c r="P20" s="103">
        <v>5</v>
      </c>
      <c r="Q20" s="10">
        <f>((S20*100)/P$18)</f>
        <v>6.7307692307692246</v>
      </c>
      <c r="R20" s="103">
        <v>0.38800000000000001</v>
      </c>
      <c r="S20" s="89">
        <f>(P$18-R20)</f>
        <v>2.7999999999999969E-2</v>
      </c>
      <c r="AB20" s="102"/>
      <c r="AC20" s="103">
        <v>5</v>
      </c>
      <c r="AD20" s="10">
        <f>((AF20*100)/AC$18)</f>
        <v>6.2499999999999929</v>
      </c>
      <c r="AE20" s="103">
        <v>0.39</v>
      </c>
      <c r="AF20" s="89">
        <f>(AC$18-AE20)</f>
        <v>2.5999999999999968E-2</v>
      </c>
    </row>
    <row r="21" spans="2:32" x14ac:dyDescent="0.25">
      <c r="B21" s="102"/>
      <c r="C21" s="103">
        <v>10</v>
      </c>
      <c r="D21" s="10">
        <f>((F21*100)/C$2)</f>
        <v>19.471153846153836</v>
      </c>
      <c r="E21" s="103">
        <v>0.33500000000000002</v>
      </c>
      <c r="F21" s="89">
        <f>(C$18-E21)</f>
        <v>8.0999999999999961E-2</v>
      </c>
      <c r="O21" s="102"/>
      <c r="P21" s="103">
        <v>10</v>
      </c>
      <c r="Q21" s="10">
        <f>((S21*100)/P$2)</f>
        <v>8.6538461538461497</v>
      </c>
      <c r="R21" s="103">
        <v>0.38</v>
      </c>
      <c r="S21" s="89">
        <f>(P$18-R21)</f>
        <v>3.5999999999999976E-2</v>
      </c>
      <c r="AB21" s="102"/>
      <c r="AC21" s="103">
        <v>10</v>
      </c>
      <c r="AD21" s="10">
        <f>((AF21*100)/AC$2)</f>
        <v>7.4519230769230704</v>
      </c>
      <c r="AE21" s="103">
        <v>0.38500000000000001</v>
      </c>
      <c r="AF21" s="89">
        <f>(AC$18-AE21)</f>
        <v>3.0999999999999972E-2</v>
      </c>
    </row>
    <row r="22" spans="2:32" x14ac:dyDescent="0.25">
      <c r="B22" s="102"/>
      <c r="C22" s="103">
        <v>15</v>
      </c>
      <c r="D22" s="10">
        <f>((F22*100)/C$2)</f>
        <v>24.27884615384615</v>
      </c>
      <c r="E22" s="103">
        <v>0.315</v>
      </c>
      <c r="F22" s="89">
        <f>(C$18-E22)</f>
        <v>0.10099999999999998</v>
      </c>
      <c r="O22" s="102"/>
      <c r="P22" s="103">
        <v>15</v>
      </c>
      <c r="Q22" s="10">
        <f>((S22*100)/P$2)</f>
        <v>9.1346153846153797</v>
      </c>
      <c r="R22" s="103">
        <v>0.378</v>
      </c>
      <c r="S22" s="89">
        <f>(P$18-R22)</f>
        <v>3.7999999999999978E-2</v>
      </c>
      <c r="AB22" s="102"/>
      <c r="AC22" s="103">
        <v>15</v>
      </c>
      <c r="AD22" s="10">
        <f>((AF22*100)/AC$2)</f>
        <v>9.6153846153846114</v>
      </c>
      <c r="AE22" s="103">
        <v>0.376</v>
      </c>
      <c r="AF22" s="89">
        <f>(AC$18-AE22)</f>
        <v>3.999999999999998E-2</v>
      </c>
    </row>
    <row r="23" spans="2:32" x14ac:dyDescent="0.25">
      <c r="B23" s="102"/>
      <c r="C23" s="103">
        <v>20</v>
      </c>
      <c r="D23" s="10">
        <f>((F23*100)/C$2)</f>
        <v>24.999999999999996</v>
      </c>
      <c r="E23" s="103">
        <v>0.312</v>
      </c>
      <c r="F23" s="89">
        <f>(C$18-E23)</f>
        <v>0.10399999999999998</v>
      </c>
      <c r="O23" s="102"/>
      <c r="P23" s="103">
        <v>20</v>
      </c>
      <c r="Q23" s="10">
        <f>((S23*100)/P$2)</f>
        <v>11.538461538461537</v>
      </c>
      <c r="R23" s="103">
        <v>0.36799999999999999</v>
      </c>
      <c r="S23" s="89">
        <f>(P$18-R23)</f>
        <v>4.7999999999999987E-2</v>
      </c>
      <c r="AB23" s="102"/>
      <c r="AC23" s="103">
        <v>20</v>
      </c>
      <c r="AD23" s="10">
        <f>((AF23*100)/AC$2)</f>
        <v>11.057692307692305</v>
      </c>
      <c r="AE23" s="103">
        <v>0.37</v>
      </c>
      <c r="AF23" s="89">
        <f>(AC$18-AE23)</f>
        <v>4.5999999999999985E-2</v>
      </c>
    </row>
    <row r="24" spans="2:32" x14ac:dyDescent="0.25">
      <c r="B24" s="102"/>
      <c r="C24" s="103">
        <v>25</v>
      </c>
      <c r="D24" s="10">
        <f>((F24*100)/C$2)</f>
        <v>27.64423076923077</v>
      </c>
      <c r="E24" s="103">
        <v>0.30099999999999999</v>
      </c>
      <c r="F24" s="89">
        <f>(C$18-E24)</f>
        <v>0.11499999999999999</v>
      </c>
      <c r="O24" s="102"/>
      <c r="P24" s="103">
        <v>25</v>
      </c>
      <c r="Q24" s="10">
        <f>((S24*100)/P$2)</f>
        <v>13.461538461538462</v>
      </c>
      <c r="R24" s="103">
        <v>0.36</v>
      </c>
      <c r="S24" s="89">
        <f>(P$18-R24)</f>
        <v>5.5999999999999994E-2</v>
      </c>
      <c r="AB24" s="102"/>
      <c r="AC24" s="103">
        <v>25</v>
      </c>
      <c r="AD24" s="10">
        <f>((AF24*100)/AC$2)</f>
        <v>13.221153846153845</v>
      </c>
      <c r="AE24" s="103">
        <v>0.36099999999999999</v>
      </c>
      <c r="AF24" s="89">
        <f>(AC$18-AE24)</f>
        <v>5.4999999999999993E-2</v>
      </c>
    </row>
    <row r="26" spans="2:32" x14ac:dyDescent="0.25">
      <c r="B26" s="236" t="s">
        <v>97</v>
      </c>
      <c r="C26" s="236"/>
      <c r="D26" s="236"/>
      <c r="O26" s="236" t="s">
        <v>97</v>
      </c>
      <c r="P26" s="236"/>
      <c r="Q26" s="236"/>
      <c r="AB26" s="236" t="s">
        <v>97</v>
      </c>
      <c r="AC26" s="236"/>
      <c r="AD26" s="236"/>
    </row>
    <row r="27" spans="2:32" x14ac:dyDescent="0.25">
      <c r="B27" s="235" t="s">
        <v>100</v>
      </c>
      <c r="C27" s="235"/>
      <c r="D27" s="235"/>
      <c r="O27" s="235" t="s">
        <v>100</v>
      </c>
      <c r="P27" s="235"/>
      <c r="Q27" s="235"/>
      <c r="AB27" s="235" t="s">
        <v>100</v>
      </c>
      <c r="AC27" s="235"/>
      <c r="AD27" s="235"/>
    </row>
    <row r="28" spans="2:32" x14ac:dyDescent="0.25">
      <c r="B28" s="108" t="s">
        <v>101</v>
      </c>
      <c r="C28" s="108" t="s">
        <v>102</v>
      </c>
      <c r="D28" s="108" t="s">
        <v>103</v>
      </c>
      <c r="O28" s="108" t="s">
        <v>101</v>
      </c>
      <c r="P28" s="108" t="s">
        <v>102</v>
      </c>
      <c r="Q28" s="108" t="s">
        <v>103</v>
      </c>
      <c r="AB28" s="108" t="s">
        <v>101</v>
      </c>
      <c r="AC28" s="108" t="s">
        <v>102</v>
      </c>
      <c r="AD28" s="108" t="s">
        <v>103</v>
      </c>
    </row>
    <row r="29" spans="2:32" x14ac:dyDescent="0.25">
      <c r="B29" s="18">
        <v>50</v>
      </c>
      <c r="C29" s="18">
        <v>0.55289999999999995</v>
      </c>
      <c r="D29" s="18">
        <v>14.303000000000001</v>
      </c>
      <c r="O29" s="18">
        <v>50</v>
      </c>
      <c r="P29">
        <v>0.32690000000000002</v>
      </c>
      <c r="Q29">
        <v>5</v>
      </c>
      <c r="AB29" s="18">
        <v>50</v>
      </c>
      <c r="AC29">
        <v>0.35099999999999998</v>
      </c>
      <c r="AD29">
        <v>4.2548000000000004</v>
      </c>
    </row>
    <row r="30" spans="2:32" x14ac:dyDescent="0.25">
      <c r="B30" s="29" t="s">
        <v>98</v>
      </c>
      <c r="C30" s="237">
        <f>(B29-D29)/C29</f>
        <v>64.56321215409659</v>
      </c>
      <c r="D30" s="238"/>
      <c r="O30" s="29" t="s">
        <v>98</v>
      </c>
      <c r="P30" s="237">
        <f>(O29-Q29)/P29</f>
        <v>137.65677577240746</v>
      </c>
      <c r="Q30" s="238"/>
      <c r="AB30" s="29" t="s">
        <v>98</v>
      </c>
      <c r="AC30" s="237">
        <f>(AB29-AD29)/AC29</f>
        <v>130.32820512820513</v>
      </c>
      <c r="AD30" s="238"/>
    </row>
    <row r="31" spans="2:32" x14ac:dyDescent="0.25">
      <c r="B31" s="117"/>
      <c r="C31" s="118"/>
      <c r="D31" s="118"/>
    </row>
    <row r="32" spans="2:32" s="116" customFormat="1" ht="5.25" customHeight="1" x14ac:dyDescent="0.25"/>
    <row r="33" spans="2:32" x14ac:dyDescent="0.25">
      <c r="B33" s="110" t="s">
        <v>92</v>
      </c>
      <c r="C33" s="110">
        <v>0.41599999999999998</v>
      </c>
      <c r="D33" s="102"/>
      <c r="E33" s="102"/>
      <c r="F33" s="102"/>
      <c r="O33" s="110" t="s">
        <v>92</v>
      </c>
      <c r="P33" s="110">
        <v>0.41599999999999998</v>
      </c>
      <c r="Q33" s="102"/>
      <c r="R33" s="102"/>
      <c r="S33" s="102"/>
      <c r="AB33" s="110" t="s">
        <v>92</v>
      </c>
      <c r="AC33" s="110">
        <v>0.41599999999999998</v>
      </c>
      <c r="AD33" s="102"/>
      <c r="AE33" s="102"/>
      <c r="AF33" s="102"/>
    </row>
    <row r="34" spans="2:32" x14ac:dyDescent="0.25">
      <c r="B34" s="114" t="s">
        <v>104</v>
      </c>
      <c r="C34" s="115" t="s">
        <v>93</v>
      </c>
      <c r="D34" s="115" t="s">
        <v>94</v>
      </c>
      <c r="E34" s="115" t="s">
        <v>95</v>
      </c>
      <c r="F34" s="115" t="s">
        <v>96</v>
      </c>
      <c r="O34" s="114" t="s">
        <v>165</v>
      </c>
      <c r="P34" s="115" t="s">
        <v>93</v>
      </c>
      <c r="Q34" s="115" t="s">
        <v>94</v>
      </c>
      <c r="R34" s="115" t="s">
        <v>95</v>
      </c>
      <c r="S34" s="115" t="s">
        <v>96</v>
      </c>
      <c r="AB34" s="114" t="s">
        <v>120</v>
      </c>
      <c r="AC34" s="115" t="s">
        <v>93</v>
      </c>
      <c r="AD34" s="115" t="s">
        <v>94</v>
      </c>
      <c r="AE34" s="115" t="s">
        <v>95</v>
      </c>
      <c r="AF34" s="115" t="s">
        <v>96</v>
      </c>
    </row>
    <row r="35" spans="2:32" x14ac:dyDescent="0.25">
      <c r="B35" s="102"/>
      <c r="C35" s="103">
        <v>5</v>
      </c>
      <c r="D35" s="10">
        <f>((F35*100)/C$33)</f>
        <v>18.509615384615376</v>
      </c>
      <c r="E35" s="103">
        <v>0.33900000000000002</v>
      </c>
      <c r="F35" s="89">
        <f>(C$33-E35)</f>
        <v>7.6999999999999957E-2</v>
      </c>
      <c r="O35" s="102"/>
      <c r="P35" s="103">
        <v>5</v>
      </c>
      <c r="Q35" s="10">
        <f>((S35*100)/P$33)</f>
        <v>7.6923076923076863</v>
      </c>
      <c r="R35" s="103">
        <v>0.38400000000000001</v>
      </c>
      <c r="S35" s="89">
        <f>(P$33-R35)</f>
        <v>3.1999999999999973E-2</v>
      </c>
      <c r="AB35" s="102"/>
      <c r="AC35" s="103">
        <v>5</v>
      </c>
      <c r="AD35" s="10">
        <f>((AF35*100)/AC$33)</f>
        <v>6.0096153846153761</v>
      </c>
      <c r="AE35" s="103">
        <v>0.39100000000000001</v>
      </c>
      <c r="AF35" s="89">
        <f>(AC$33-AE35)</f>
        <v>2.4999999999999967E-2</v>
      </c>
    </row>
    <row r="36" spans="2:32" x14ac:dyDescent="0.25">
      <c r="B36" s="102"/>
      <c r="C36" s="103">
        <v>10</v>
      </c>
      <c r="D36" s="10">
        <f>((F36*100)/C$33)</f>
        <v>12.499999999999998</v>
      </c>
      <c r="E36" s="103">
        <v>0.36399999999999999</v>
      </c>
      <c r="F36" s="89">
        <f>(C$33-E36)</f>
        <v>5.1999999999999991E-2</v>
      </c>
      <c r="O36" s="102"/>
      <c r="P36" s="103">
        <v>10</v>
      </c>
      <c r="Q36" s="10">
        <f>((S36*100)/P$33)</f>
        <v>6.9711538461538387</v>
      </c>
      <c r="R36" s="103">
        <v>0.38700000000000001</v>
      </c>
      <c r="S36" s="89">
        <f>(P$33-R36)</f>
        <v>2.899999999999997E-2</v>
      </c>
      <c r="AB36" s="102"/>
      <c r="AC36" s="103">
        <v>10</v>
      </c>
      <c r="AD36" s="10">
        <f>((AF36*100)/AC$33)</f>
        <v>6.7307692307692246</v>
      </c>
      <c r="AE36" s="103">
        <v>0.38800000000000001</v>
      </c>
      <c r="AF36" s="89">
        <f>(AC$33-AE36)</f>
        <v>2.7999999999999969E-2</v>
      </c>
    </row>
    <row r="37" spans="2:32" x14ac:dyDescent="0.25">
      <c r="B37" s="102"/>
      <c r="C37" s="103">
        <v>15</v>
      </c>
      <c r="D37" s="10">
        <f>((F37*100)/C$33)</f>
        <v>21.15384615384615</v>
      </c>
      <c r="E37" s="103">
        <v>0.32800000000000001</v>
      </c>
      <c r="F37" s="89">
        <f>(C$33-E37)</f>
        <v>8.7999999999999967E-2</v>
      </c>
      <c r="O37" s="102"/>
      <c r="P37" s="103">
        <v>15</v>
      </c>
      <c r="Q37" s="10">
        <f>((S37*100)/P$33)</f>
        <v>10.576923076923075</v>
      </c>
      <c r="R37" s="103">
        <v>0.372</v>
      </c>
      <c r="S37" s="89">
        <f>(P$33-R37)</f>
        <v>4.3999999999999984E-2</v>
      </c>
      <c r="AB37" s="102"/>
      <c r="AC37" s="103">
        <v>15</v>
      </c>
      <c r="AD37" s="10">
        <f>((AF37*100)/AC$33)</f>
        <v>9.8557692307692264</v>
      </c>
      <c r="AE37" s="103">
        <v>0.375</v>
      </c>
      <c r="AF37" s="89">
        <f>(AC$33-AE37)</f>
        <v>4.0999999999999981E-2</v>
      </c>
    </row>
    <row r="38" spans="2:32" x14ac:dyDescent="0.25">
      <c r="B38" s="102"/>
      <c r="C38" s="103">
        <v>20</v>
      </c>
      <c r="D38" s="10">
        <f>((F38*100)/C$33)</f>
        <v>25.480769230769226</v>
      </c>
      <c r="E38" s="103">
        <v>0.31</v>
      </c>
      <c r="F38" s="89">
        <f>(C$33-E38)</f>
        <v>0.10599999999999998</v>
      </c>
      <c r="O38" s="102"/>
      <c r="P38" s="103">
        <v>20</v>
      </c>
      <c r="Q38" s="10">
        <f>((S38*100)/P$33)</f>
        <v>11.778846153846152</v>
      </c>
      <c r="R38" s="103">
        <v>0.36699999999999999</v>
      </c>
      <c r="S38" s="89">
        <f>(P$33-R38)</f>
        <v>4.8999999999999988E-2</v>
      </c>
      <c r="AB38" s="102"/>
      <c r="AC38" s="103">
        <v>20</v>
      </c>
      <c r="AD38" s="10">
        <f>((AF38*100)/AC$33)</f>
        <v>11.057692307692305</v>
      </c>
      <c r="AE38" s="103">
        <v>0.37</v>
      </c>
      <c r="AF38" s="89">
        <f>(AC$33-AE38)</f>
        <v>4.5999999999999985E-2</v>
      </c>
    </row>
    <row r="39" spans="2:32" x14ac:dyDescent="0.25">
      <c r="B39" s="102"/>
      <c r="C39" s="103">
        <v>25</v>
      </c>
      <c r="D39" s="10">
        <f>((F39*100)/C$33)</f>
        <v>27.403846153846153</v>
      </c>
      <c r="E39" s="103">
        <v>0.30199999999999999</v>
      </c>
      <c r="F39" s="89">
        <f>(C$33-E39)</f>
        <v>0.11399999999999999</v>
      </c>
      <c r="O39" s="102"/>
      <c r="P39" s="103">
        <v>25</v>
      </c>
      <c r="Q39" s="10">
        <f>((S39*100)/P$33)</f>
        <v>13.221153846153845</v>
      </c>
      <c r="R39" s="103">
        <v>0.36099999999999999</v>
      </c>
      <c r="S39" s="89">
        <f>(P$33-R39)</f>
        <v>5.4999999999999993E-2</v>
      </c>
      <c r="AB39" s="102"/>
      <c r="AC39" s="103">
        <v>25</v>
      </c>
      <c r="AD39" s="10">
        <f>((AF39*100)/AC$33)</f>
        <v>12.259615384615381</v>
      </c>
      <c r="AE39" s="103">
        <v>0.36499999999999999</v>
      </c>
      <c r="AF39" s="89">
        <f>(AC$33-AE39)</f>
        <v>5.099999999999999E-2</v>
      </c>
    </row>
    <row r="41" spans="2:32" x14ac:dyDescent="0.25">
      <c r="B41" s="236" t="s">
        <v>97</v>
      </c>
      <c r="C41" s="236"/>
      <c r="D41" s="236"/>
      <c r="O41" s="236" t="s">
        <v>97</v>
      </c>
      <c r="P41" s="236"/>
      <c r="Q41" s="236"/>
      <c r="AB41" s="236" t="s">
        <v>97</v>
      </c>
      <c r="AC41" s="236"/>
      <c r="AD41" s="236"/>
    </row>
    <row r="42" spans="2:32" x14ac:dyDescent="0.25">
      <c r="B42" s="235" t="s">
        <v>100</v>
      </c>
      <c r="C42" s="235"/>
      <c r="D42" s="235"/>
      <c r="O42" s="235" t="s">
        <v>100</v>
      </c>
      <c r="P42" s="235"/>
      <c r="Q42" s="235"/>
      <c r="AB42" s="235" t="s">
        <v>100</v>
      </c>
      <c r="AC42" s="235"/>
      <c r="AD42" s="235"/>
    </row>
    <row r="43" spans="2:32" x14ac:dyDescent="0.25">
      <c r="B43" s="108" t="s">
        <v>101</v>
      </c>
      <c r="C43" s="108" t="s">
        <v>102</v>
      </c>
      <c r="D43" s="108" t="s">
        <v>103</v>
      </c>
      <c r="O43" s="108" t="s">
        <v>101</v>
      </c>
      <c r="P43" s="108" t="s">
        <v>102</v>
      </c>
      <c r="Q43" s="108" t="s">
        <v>103</v>
      </c>
      <c r="AB43" s="108" t="s">
        <v>101</v>
      </c>
      <c r="AC43" s="108" t="s">
        <v>102</v>
      </c>
      <c r="AD43" s="108" t="s">
        <v>103</v>
      </c>
    </row>
    <row r="44" spans="2:32" x14ac:dyDescent="0.25">
      <c r="B44" s="18">
        <v>50</v>
      </c>
      <c r="C44">
        <v>0.61539999999999995</v>
      </c>
      <c r="D44">
        <v>11.779</v>
      </c>
      <c r="O44" s="18">
        <v>50</v>
      </c>
      <c r="P44">
        <v>0.31730000000000003</v>
      </c>
      <c r="Q44">
        <v>5.2885</v>
      </c>
      <c r="AB44" s="18">
        <v>50</v>
      </c>
      <c r="AC44">
        <v>0.33650000000000002</v>
      </c>
      <c r="AD44">
        <v>4.1345999999999998</v>
      </c>
    </row>
    <row r="45" spans="2:32" x14ac:dyDescent="0.25">
      <c r="B45" s="29" t="s">
        <v>98</v>
      </c>
      <c r="C45" s="237">
        <f>(B44-D44)/C44</f>
        <v>62.107572310692241</v>
      </c>
      <c r="D45" s="238"/>
      <c r="O45" s="29" t="s">
        <v>98</v>
      </c>
      <c r="P45" s="237">
        <f>(O44-Q44)/P44</f>
        <v>140.91238575480617</v>
      </c>
      <c r="Q45" s="238"/>
      <c r="AB45" s="29" t="s">
        <v>98</v>
      </c>
      <c r="AC45" s="237">
        <f>(AB44-AD44)/AC44</f>
        <v>136.30133729569093</v>
      </c>
      <c r="AD45" s="238"/>
    </row>
    <row r="47" spans="2:32" s="116" customFormat="1" ht="3.75" customHeight="1" x14ac:dyDescent="0.25"/>
    <row r="48" spans="2:32" x14ac:dyDescent="0.25">
      <c r="B48" s="110" t="s">
        <v>92</v>
      </c>
      <c r="C48" s="110">
        <v>0.41599999999999998</v>
      </c>
      <c r="D48" s="102"/>
      <c r="E48" s="102"/>
      <c r="F48" s="102"/>
      <c r="O48" s="110" t="s">
        <v>92</v>
      </c>
      <c r="P48" s="110">
        <v>0.41599999999999998</v>
      </c>
      <c r="Q48" s="102"/>
      <c r="R48" s="102"/>
      <c r="S48" s="102"/>
      <c r="AB48" s="110" t="s">
        <v>92</v>
      </c>
      <c r="AC48" s="110">
        <v>0.41599999999999998</v>
      </c>
      <c r="AD48" s="102"/>
      <c r="AE48" s="102"/>
      <c r="AF48" s="102"/>
    </row>
    <row r="49" spans="2:32" x14ac:dyDescent="0.25">
      <c r="B49" s="112" t="s">
        <v>105</v>
      </c>
      <c r="C49" s="113" t="s">
        <v>93</v>
      </c>
      <c r="D49" s="113" t="s">
        <v>94</v>
      </c>
      <c r="E49" s="113" t="s">
        <v>95</v>
      </c>
      <c r="F49" s="113" t="s">
        <v>96</v>
      </c>
      <c r="O49" s="112" t="s">
        <v>112</v>
      </c>
      <c r="P49" s="113" t="s">
        <v>93</v>
      </c>
      <c r="Q49" s="113" t="s">
        <v>94</v>
      </c>
      <c r="R49" s="113" t="s">
        <v>95</v>
      </c>
      <c r="S49" s="113" t="s">
        <v>96</v>
      </c>
      <c r="AB49" s="112" t="s">
        <v>121</v>
      </c>
      <c r="AC49" s="113" t="s">
        <v>93</v>
      </c>
      <c r="AD49" s="113" t="s">
        <v>94</v>
      </c>
      <c r="AE49" s="113" t="s">
        <v>95</v>
      </c>
      <c r="AF49" s="113" t="s">
        <v>96</v>
      </c>
    </row>
    <row r="50" spans="2:32" x14ac:dyDescent="0.25">
      <c r="B50" s="102"/>
      <c r="C50" s="103">
        <v>5</v>
      </c>
      <c r="D50" s="10">
        <f>((F50*100)/C$48)</f>
        <v>2.4038461538461426</v>
      </c>
      <c r="E50" s="103">
        <v>0.40600000000000003</v>
      </c>
      <c r="F50" s="89">
        <f>(C$48-E50)</f>
        <v>9.9999999999999534E-3</v>
      </c>
      <c r="O50" s="102"/>
      <c r="P50" s="103">
        <v>5</v>
      </c>
      <c r="Q50" s="10">
        <f>((S50*100)/P$48)</f>
        <v>6.7307692307692246</v>
      </c>
      <c r="R50" s="103">
        <v>0.38800000000000001</v>
      </c>
      <c r="S50" s="89">
        <f>(P$48-R50)</f>
        <v>2.7999999999999969E-2</v>
      </c>
      <c r="AB50" s="102"/>
      <c r="AC50" s="103">
        <v>5</v>
      </c>
      <c r="AD50" s="10">
        <f>((AF50*100)/AC$48)</f>
        <v>5.0480769230769136</v>
      </c>
      <c r="AE50" s="103">
        <v>0.39500000000000002</v>
      </c>
      <c r="AF50" s="89">
        <f>(AC$48-AE50)</f>
        <v>2.0999999999999963E-2</v>
      </c>
    </row>
    <row r="51" spans="2:32" x14ac:dyDescent="0.25">
      <c r="B51" s="102"/>
      <c r="C51" s="103">
        <v>10</v>
      </c>
      <c r="D51" s="10">
        <f>((F51*100)/C$48)</f>
        <v>8.8942307692307629</v>
      </c>
      <c r="E51" s="103">
        <v>0.379</v>
      </c>
      <c r="F51" s="89">
        <f>(C$48-E51)</f>
        <v>3.6999999999999977E-2</v>
      </c>
      <c r="O51" s="102"/>
      <c r="P51" s="103">
        <v>10</v>
      </c>
      <c r="Q51" s="10">
        <f>((S51*100)/P$48)</f>
        <v>6.9711538461538387</v>
      </c>
      <c r="R51" s="103">
        <v>0.38700000000000001</v>
      </c>
      <c r="S51" s="89">
        <f>(P$48-R51)</f>
        <v>2.899999999999997E-2</v>
      </c>
      <c r="AB51" s="102"/>
      <c r="AC51" s="103">
        <v>10</v>
      </c>
      <c r="AD51" s="10">
        <f>((AF51*100)/AC$48)</f>
        <v>7.4519230769230704</v>
      </c>
      <c r="AE51" s="103">
        <v>0.38500000000000001</v>
      </c>
      <c r="AF51" s="89">
        <f>(AC$48-AE51)</f>
        <v>3.0999999999999972E-2</v>
      </c>
    </row>
    <row r="52" spans="2:32" x14ac:dyDescent="0.25">
      <c r="B52" s="102"/>
      <c r="C52" s="103">
        <v>15</v>
      </c>
      <c r="D52" s="10">
        <f>((F52*100)/C$48)</f>
        <v>10.336538461538458</v>
      </c>
      <c r="E52" s="103">
        <v>0.373</v>
      </c>
      <c r="F52" s="89">
        <f>(C$48-E52)</f>
        <v>4.2999999999999983E-2</v>
      </c>
      <c r="O52" s="102"/>
      <c r="P52" s="103">
        <v>15</v>
      </c>
      <c r="Q52" s="10">
        <f>((S52*100)/P$48)</f>
        <v>8.6538461538461497</v>
      </c>
      <c r="R52" s="103">
        <v>0.38</v>
      </c>
      <c r="S52" s="89">
        <f>(P$48-R52)</f>
        <v>3.5999999999999976E-2</v>
      </c>
      <c r="AB52" s="102"/>
      <c r="AC52" s="103">
        <v>15</v>
      </c>
      <c r="AD52" s="10">
        <f>((AF52*100)/AC$48)</f>
        <v>7.6923076923076863</v>
      </c>
      <c r="AE52" s="103">
        <v>0.38400000000000001</v>
      </c>
      <c r="AF52" s="89">
        <f>(AC$48-AE52)</f>
        <v>3.1999999999999973E-2</v>
      </c>
    </row>
    <row r="53" spans="2:32" x14ac:dyDescent="0.25">
      <c r="B53" s="102"/>
      <c r="C53" s="103">
        <v>20</v>
      </c>
      <c r="D53" s="10">
        <f>((F53*100)/C$48)</f>
        <v>13.701923076923077</v>
      </c>
      <c r="E53" s="103">
        <v>0.35899999999999999</v>
      </c>
      <c r="F53" s="89">
        <f>(C$48-E53)</f>
        <v>5.6999999999999995E-2</v>
      </c>
      <c r="O53" s="102"/>
      <c r="P53" s="103">
        <v>20</v>
      </c>
      <c r="Q53" s="10">
        <f>((S53*100)/P$48)</f>
        <v>10.817307692307688</v>
      </c>
      <c r="R53" s="103">
        <v>0.371</v>
      </c>
      <c r="S53" s="89">
        <f>(P$48-R53)</f>
        <v>4.4999999999999984E-2</v>
      </c>
      <c r="AB53" s="102"/>
      <c r="AC53" s="103">
        <v>20</v>
      </c>
      <c r="AD53" s="10">
        <f>((AF53*100)/AC$48)</f>
        <v>10.096153846153843</v>
      </c>
      <c r="AE53" s="103">
        <v>0.374</v>
      </c>
      <c r="AF53" s="89">
        <f>(AC$48-AE53)</f>
        <v>4.1999999999999982E-2</v>
      </c>
    </row>
    <row r="54" spans="2:32" x14ac:dyDescent="0.25">
      <c r="B54" s="102"/>
      <c r="C54" s="103">
        <v>25</v>
      </c>
      <c r="D54" s="10">
        <f>((F54*100)/C$48)</f>
        <v>17.788461538461526</v>
      </c>
      <c r="E54" s="103">
        <v>0.34200000000000003</v>
      </c>
      <c r="F54" s="89">
        <f>(C$48-E54)</f>
        <v>7.3999999999999955E-2</v>
      </c>
      <c r="O54" s="102"/>
      <c r="P54" s="103">
        <v>25</v>
      </c>
      <c r="Q54" s="10">
        <f>((S54*100)/P$48)</f>
        <v>13.221153846153845</v>
      </c>
      <c r="R54" s="103">
        <v>0.36099999999999999</v>
      </c>
      <c r="S54" s="89">
        <f>(P$48-R54)</f>
        <v>5.4999999999999993E-2</v>
      </c>
      <c r="AB54" s="102"/>
      <c r="AC54" s="103">
        <v>25</v>
      </c>
      <c r="AD54" s="10">
        <f>((AF54*100)/AC$48)</f>
        <v>12.259615384615381</v>
      </c>
      <c r="AE54" s="103">
        <v>0.36499999999999999</v>
      </c>
      <c r="AF54" s="89">
        <f>(AC$48-AE54)</f>
        <v>5.099999999999999E-2</v>
      </c>
    </row>
    <row r="56" spans="2:32" x14ac:dyDescent="0.25">
      <c r="B56" s="236" t="s">
        <v>97</v>
      </c>
      <c r="C56" s="236"/>
      <c r="D56" s="236"/>
      <c r="O56" s="236" t="s">
        <v>97</v>
      </c>
      <c r="P56" s="236"/>
      <c r="Q56" s="236"/>
      <c r="AB56" s="236" t="s">
        <v>97</v>
      </c>
      <c r="AC56" s="236"/>
      <c r="AD56" s="236"/>
    </row>
    <row r="57" spans="2:32" x14ac:dyDescent="0.25">
      <c r="B57" s="235" t="s">
        <v>100</v>
      </c>
      <c r="C57" s="235"/>
      <c r="D57" s="235"/>
      <c r="O57" s="235" t="s">
        <v>100</v>
      </c>
      <c r="P57" s="235"/>
      <c r="Q57" s="235"/>
      <c r="AB57" s="235" t="s">
        <v>100</v>
      </c>
      <c r="AC57" s="235"/>
      <c r="AD57" s="235"/>
    </row>
    <row r="58" spans="2:32" x14ac:dyDescent="0.25">
      <c r="B58" s="108" t="s">
        <v>101</v>
      </c>
      <c r="C58" s="108" t="s">
        <v>102</v>
      </c>
      <c r="D58" s="108" t="s">
        <v>103</v>
      </c>
      <c r="O58" s="108" t="s">
        <v>101</v>
      </c>
      <c r="P58" s="108" t="s">
        <v>102</v>
      </c>
      <c r="Q58" s="108" t="s">
        <v>103</v>
      </c>
      <c r="AB58" s="108" t="s">
        <v>101</v>
      </c>
      <c r="AC58" s="108" t="s">
        <v>102</v>
      </c>
      <c r="AD58" s="108" t="s">
        <v>103</v>
      </c>
    </row>
    <row r="59" spans="2:32" x14ac:dyDescent="0.25">
      <c r="B59" s="18">
        <v>50</v>
      </c>
      <c r="C59" s="1">
        <v>0.71150000000000002</v>
      </c>
      <c r="D59" s="1">
        <v>-4.8099999999999997E-2</v>
      </c>
      <c r="O59" s="18">
        <v>50</v>
      </c>
      <c r="P59">
        <v>0.33650000000000002</v>
      </c>
      <c r="Q59">
        <v>4.2308000000000003</v>
      </c>
      <c r="AB59" s="18">
        <v>50</v>
      </c>
      <c r="AC59">
        <v>0.34129999999999999</v>
      </c>
      <c r="AD59">
        <v>3.3894000000000002</v>
      </c>
    </row>
    <row r="60" spans="2:32" x14ac:dyDescent="0.25">
      <c r="B60" s="29" t="s">
        <v>98</v>
      </c>
      <c r="C60" s="237">
        <f>(B59-D59)/C59</f>
        <v>70.341672522839062</v>
      </c>
      <c r="D60" s="238"/>
      <c r="O60" s="29" t="s">
        <v>98</v>
      </c>
      <c r="P60" s="237">
        <f>(O59-Q59)/P59</f>
        <v>136.0154531946508</v>
      </c>
      <c r="Q60" s="238"/>
      <c r="AB60" s="29" t="s">
        <v>98</v>
      </c>
      <c r="AC60" s="237">
        <f>(AB59-AD59)/AC59</f>
        <v>136.56782888953998</v>
      </c>
      <c r="AD60" s="238"/>
    </row>
    <row r="62" spans="2:32" s="116" customFormat="1" ht="3.75" customHeight="1" x14ac:dyDescent="0.25"/>
    <row r="63" spans="2:32" x14ac:dyDescent="0.25">
      <c r="B63" s="110" t="s">
        <v>92</v>
      </c>
      <c r="C63" s="110">
        <v>0.41599999999999998</v>
      </c>
      <c r="D63" s="102"/>
      <c r="E63" s="102"/>
      <c r="F63" s="102"/>
      <c r="O63" s="110" t="s">
        <v>92</v>
      </c>
      <c r="P63" s="110">
        <v>0.41599999999999998</v>
      </c>
      <c r="Q63" s="102"/>
      <c r="R63" s="102"/>
      <c r="S63" s="102"/>
      <c r="AB63" s="110" t="s">
        <v>92</v>
      </c>
      <c r="AC63" s="110">
        <v>0.41599999999999998</v>
      </c>
      <c r="AD63" s="102"/>
      <c r="AE63" s="102"/>
      <c r="AF63" s="102"/>
    </row>
    <row r="64" spans="2:32" x14ac:dyDescent="0.25">
      <c r="B64" s="112" t="s">
        <v>106</v>
      </c>
      <c r="C64" s="113" t="s">
        <v>93</v>
      </c>
      <c r="D64" s="113" t="s">
        <v>94</v>
      </c>
      <c r="E64" s="113" t="s">
        <v>95</v>
      </c>
      <c r="F64" s="113" t="s">
        <v>96</v>
      </c>
      <c r="O64" s="112" t="s">
        <v>113</v>
      </c>
      <c r="P64" s="113" t="s">
        <v>93</v>
      </c>
      <c r="Q64" s="113" t="s">
        <v>94</v>
      </c>
      <c r="R64" s="113" t="s">
        <v>95</v>
      </c>
      <c r="S64" s="113" t="s">
        <v>96</v>
      </c>
      <c r="AB64" s="112" t="s">
        <v>122</v>
      </c>
      <c r="AC64" s="113" t="s">
        <v>93</v>
      </c>
      <c r="AD64" s="113" t="s">
        <v>94</v>
      </c>
      <c r="AE64" s="113" t="s">
        <v>95</v>
      </c>
      <c r="AF64" s="113" t="s">
        <v>96</v>
      </c>
    </row>
    <row r="65" spans="2:32" x14ac:dyDescent="0.25">
      <c r="B65" s="102"/>
      <c r="C65" s="103">
        <v>5</v>
      </c>
      <c r="D65" s="10">
        <f>((F65*100)/C$63)</f>
        <v>0.24038461538461561</v>
      </c>
      <c r="E65" s="103">
        <v>0.41499999999999998</v>
      </c>
      <c r="F65" s="89">
        <f>(C$63-E65)</f>
        <v>1.0000000000000009E-3</v>
      </c>
      <c r="O65" s="102"/>
      <c r="P65" s="103">
        <v>5</v>
      </c>
      <c r="Q65" s="10">
        <f>((S65*100)/P$63)</f>
        <v>6.0096153846153761</v>
      </c>
      <c r="R65" s="103">
        <v>0.39100000000000001</v>
      </c>
      <c r="S65" s="89">
        <f>(P$63-R65)</f>
        <v>2.4999999999999967E-2</v>
      </c>
      <c r="AB65" s="102"/>
      <c r="AC65" s="103">
        <v>5</v>
      </c>
      <c r="AD65" s="10">
        <f>((AF65*100)/AC$63)</f>
        <v>5.7692307692307621</v>
      </c>
      <c r="AE65" s="103">
        <v>0.39200000000000002</v>
      </c>
      <c r="AF65" s="89">
        <f>(AC$63-AE65)</f>
        <v>2.3999999999999966E-2</v>
      </c>
    </row>
    <row r="66" spans="2:32" x14ac:dyDescent="0.25">
      <c r="B66" s="102"/>
      <c r="C66" s="103">
        <v>10</v>
      </c>
      <c r="D66" s="10">
        <f>((F66*100)/C$63)</f>
        <v>2.8846153846153739</v>
      </c>
      <c r="E66" s="103">
        <v>0.40400000000000003</v>
      </c>
      <c r="F66" s="89">
        <f>(C$63-E66)</f>
        <v>1.1999999999999955E-2</v>
      </c>
      <c r="O66" s="102"/>
      <c r="P66" s="103">
        <v>10</v>
      </c>
      <c r="Q66" s="10">
        <f>((S66*100)/P$63)</f>
        <v>7.2115384615384555</v>
      </c>
      <c r="R66" s="103">
        <v>0.38600000000000001</v>
      </c>
      <c r="S66" s="89">
        <f>(P$63-R66)</f>
        <v>2.9999999999999971E-2</v>
      </c>
      <c r="AB66" s="102"/>
      <c r="AC66" s="103">
        <v>10</v>
      </c>
      <c r="AD66" s="10">
        <f>((AF66*100)/AC$63)</f>
        <v>8.173076923076918</v>
      </c>
      <c r="AE66" s="103">
        <v>0.38200000000000001</v>
      </c>
      <c r="AF66" s="89">
        <f>(AC$63-AE66)</f>
        <v>3.3999999999999975E-2</v>
      </c>
    </row>
    <row r="67" spans="2:32" x14ac:dyDescent="0.25">
      <c r="B67" s="102"/>
      <c r="C67" s="103">
        <v>15</v>
      </c>
      <c r="D67" s="10">
        <f>((F67*100)/C$63)</f>
        <v>3.6057692307692206</v>
      </c>
      <c r="E67" s="103">
        <v>0.40100000000000002</v>
      </c>
      <c r="F67" s="89">
        <f>(C$63-E67)</f>
        <v>1.4999999999999958E-2</v>
      </c>
      <c r="O67" s="102"/>
      <c r="P67" s="103">
        <v>15</v>
      </c>
      <c r="Q67" s="10">
        <f>((S67*100)/P$63)</f>
        <v>9.1346153846153797</v>
      </c>
      <c r="R67" s="103">
        <v>0.378</v>
      </c>
      <c r="S67" s="89">
        <f>(P$63-R67)</f>
        <v>3.7999999999999978E-2</v>
      </c>
      <c r="AB67" s="102"/>
      <c r="AC67" s="103">
        <v>15</v>
      </c>
      <c r="AD67" s="10">
        <f>((AF67*100)/AC$63)</f>
        <v>7.4519230769230704</v>
      </c>
      <c r="AE67" s="103">
        <v>0.38500000000000001</v>
      </c>
      <c r="AF67" s="89">
        <f>(AC$63-AE67)</f>
        <v>3.0999999999999972E-2</v>
      </c>
    </row>
    <row r="68" spans="2:32" x14ac:dyDescent="0.25">
      <c r="B68" s="102"/>
      <c r="C68" s="103">
        <v>20</v>
      </c>
      <c r="D68" s="10">
        <f>((F68*100)/C$63)</f>
        <v>8.173076923076918</v>
      </c>
      <c r="E68" s="103">
        <v>0.38200000000000001</v>
      </c>
      <c r="F68" s="89">
        <f>(C$63-E68)</f>
        <v>3.3999999999999975E-2</v>
      </c>
      <c r="O68" s="102"/>
      <c r="P68" s="103">
        <v>20</v>
      </c>
      <c r="Q68" s="10">
        <f>((S68*100)/P$63)</f>
        <v>11.057692307692305</v>
      </c>
      <c r="R68" s="103">
        <v>0.37</v>
      </c>
      <c r="S68" s="89">
        <f>(P$63-R68)</f>
        <v>4.5999999999999985E-2</v>
      </c>
      <c r="AB68" s="102"/>
      <c r="AC68" s="103">
        <v>20</v>
      </c>
      <c r="AD68" s="10">
        <f>((AF68*100)/AC$63)</f>
        <v>9.1346153846153797</v>
      </c>
      <c r="AE68" s="103">
        <v>0.378</v>
      </c>
      <c r="AF68" s="89">
        <f>(AC$63-AE68)</f>
        <v>3.7999999999999978E-2</v>
      </c>
    </row>
    <row r="69" spans="2:32" x14ac:dyDescent="0.25">
      <c r="B69" s="102"/>
      <c r="C69" s="103">
        <v>25</v>
      </c>
      <c r="D69" s="10">
        <f>((F69*100)/C$63)</f>
        <v>15.384615384615387</v>
      </c>
      <c r="E69" s="103">
        <v>0.35199999999999998</v>
      </c>
      <c r="F69" s="89">
        <f>(C$63-E69)</f>
        <v>6.4000000000000001E-2</v>
      </c>
      <c r="O69" s="102"/>
      <c r="P69" s="103">
        <v>25</v>
      </c>
      <c r="Q69" s="10">
        <f>((S69*100)/P$63)</f>
        <v>12.019230769230768</v>
      </c>
      <c r="R69" s="103">
        <v>0.36599999999999999</v>
      </c>
      <c r="S69" s="89">
        <f>(P$63-R69)</f>
        <v>4.9999999999999989E-2</v>
      </c>
      <c r="AB69" s="102"/>
      <c r="AC69" s="103">
        <v>25</v>
      </c>
      <c r="AD69" s="10">
        <f>((AF69*100)/AC$63)</f>
        <v>13.221153846153845</v>
      </c>
      <c r="AE69" s="103">
        <v>0.36099999999999999</v>
      </c>
      <c r="AF69" s="89">
        <f>(AC$63-AE69)</f>
        <v>5.4999999999999993E-2</v>
      </c>
    </row>
    <row r="71" spans="2:32" x14ac:dyDescent="0.25">
      <c r="B71" s="236" t="s">
        <v>97</v>
      </c>
      <c r="C71" s="236"/>
      <c r="D71" s="236"/>
      <c r="O71" s="236" t="s">
        <v>97</v>
      </c>
      <c r="P71" s="236"/>
      <c r="Q71" s="236"/>
      <c r="AB71" s="236" t="s">
        <v>97</v>
      </c>
      <c r="AC71" s="236"/>
      <c r="AD71" s="236"/>
    </row>
    <row r="72" spans="2:32" x14ac:dyDescent="0.25">
      <c r="B72" s="235" t="s">
        <v>100</v>
      </c>
      <c r="C72" s="235"/>
      <c r="D72" s="235"/>
      <c r="O72" s="235" t="s">
        <v>100</v>
      </c>
      <c r="P72" s="235"/>
      <c r="Q72" s="235"/>
      <c r="AB72" s="235" t="s">
        <v>100</v>
      </c>
      <c r="AC72" s="235"/>
      <c r="AD72" s="235"/>
    </row>
    <row r="73" spans="2:32" x14ac:dyDescent="0.25">
      <c r="B73" s="108" t="s">
        <v>101</v>
      </c>
      <c r="C73" s="108" t="s">
        <v>102</v>
      </c>
      <c r="D73" s="108" t="s">
        <v>103</v>
      </c>
      <c r="O73" s="108" t="s">
        <v>101</v>
      </c>
      <c r="P73" s="108" t="s">
        <v>102</v>
      </c>
      <c r="Q73" s="108" t="s">
        <v>103</v>
      </c>
      <c r="AB73" s="108" t="s">
        <v>101</v>
      </c>
      <c r="AC73" s="108" t="s">
        <v>102</v>
      </c>
      <c r="AD73" s="108" t="s">
        <v>103</v>
      </c>
    </row>
    <row r="74" spans="2:32" x14ac:dyDescent="0.25">
      <c r="B74" s="18">
        <v>50</v>
      </c>
      <c r="C74" s="1">
        <v>0.71150000000000002</v>
      </c>
      <c r="D74" s="1">
        <v>-4.6154000000000002</v>
      </c>
      <c r="O74" s="18">
        <v>50</v>
      </c>
      <c r="P74">
        <v>0.31730000000000003</v>
      </c>
      <c r="Q74">
        <v>4.3269000000000002</v>
      </c>
      <c r="AB74" s="18">
        <v>50</v>
      </c>
      <c r="AC74">
        <v>0.31730000000000003</v>
      </c>
      <c r="AD74">
        <v>3.9904000000000002</v>
      </c>
    </row>
    <row r="75" spans="2:32" x14ac:dyDescent="0.25">
      <c r="B75" s="29" t="s">
        <v>98</v>
      </c>
      <c r="C75" s="237">
        <f>(B74-D74)/C74</f>
        <v>76.760927617709058</v>
      </c>
      <c r="D75" s="238"/>
      <c r="O75" s="29" t="s">
        <v>98</v>
      </c>
      <c r="P75" s="237">
        <f>(O74-Q74)/P74</f>
        <v>143.94295619287738</v>
      </c>
      <c r="Q75" s="238"/>
      <c r="AB75" s="29" t="s">
        <v>98</v>
      </c>
      <c r="AC75" s="237">
        <f>(AB74-AD74)/AC74</f>
        <v>145.00346675070909</v>
      </c>
      <c r="AD75" s="238"/>
    </row>
    <row r="77" spans="2:32" s="116" customFormat="1" ht="4.5" customHeight="1" x14ac:dyDescent="0.25"/>
    <row r="78" spans="2:32" x14ac:dyDescent="0.25">
      <c r="B78" s="110" t="s">
        <v>92</v>
      </c>
      <c r="C78" s="110">
        <v>0.41599999999999998</v>
      </c>
      <c r="D78" s="102"/>
      <c r="E78" s="102"/>
      <c r="F78" s="102"/>
      <c r="O78" s="110" t="s">
        <v>92</v>
      </c>
      <c r="P78" s="110">
        <v>0.41599999999999998</v>
      </c>
      <c r="Q78" s="102"/>
      <c r="R78" s="102"/>
      <c r="S78" s="102"/>
      <c r="AB78" s="110" t="s">
        <v>92</v>
      </c>
      <c r="AC78" s="110">
        <v>0.41599999999999998</v>
      </c>
      <c r="AD78" s="102"/>
      <c r="AE78" s="102"/>
      <c r="AF78" s="102"/>
    </row>
    <row r="79" spans="2:32" x14ac:dyDescent="0.25">
      <c r="B79" s="112" t="s">
        <v>107</v>
      </c>
      <c r="C79" s="113" t="s">
        <v>93</v>
      </c>
      <c r="D79" s="113" t="s">
        <v>94</v>
      </c>
      <c r="E79" s="113" t="s">
        <v>95</v>
      </c>
      <c r="F79" s="113" t="s">
        <v>96</v>
      </c>
      <c r="O79" s="112" t="s">
        <v>114</v>
      </c>
      <c r="P79" s="113" t="s">
        <v>93</v>
      </c>
      <c r="Q79" s="113" t="s">
        <v>94</v>
      </c>
      <c r="R79" s="113" t="s">
        <v>95</v>
      </c>
      <c r="S79" s="113" t="s">
        <v>96</v>
      </c>
      <c r="AB79" s="112" t="s">
        <v>123</v>
      </c>
      <c r="AC79" s="113" t="s">
        <v>93</v>
      </c>
      <c r="AD79" s="113" t="s">
        <v>94</v>
      </c>
      <c r="AE79" s="113" t="s">
        <v>95</v>
      </c>
      <c r="AF79" s="113" t="s">
        <v>96</v>
      </c>
    </row>
    <row r="80" spans="2:32" x14ac:dyDescent="0.25">
      <c r="B80" s="102"/>
      <c r="C80" s="103">
        <v>5</v>
      </c>
      <c r="D80" s="10">
        <f>((F80*100)/C$78)</f>
        <v>4.3269230769230678</v>
      </c>
      <c r="E80" s="103">
        <v>0.39800000000000002</v>
      </c>
      <c r="F80" s="89">
        <f>(C$78-E80)</f>
        <v>1.799999999999996E-2</v>
      </c>
      <c r="O80" s="102"/>
      <c r="P80" s="103">
        <v>5</v>
      </c>
      <c r="Q80" s="10">
        <f>((S80*100)/P$78)</f>
        <v>6.4903846153846079</v>
      </c>
      <c r="R80" s="103">
        <v>0.38900000000000001</v>
      </c>
      <c r="S80" s="89">
        <f>(P$78-R80)</f>
        <v>2.6999999999999968E-2</v>
      </c>
      <c r="AB80" s="102"/>
      <c r="AC80" s="103">
        <v>5</v>
      </c>
      <c r="AD80" s="10">
        <f>((AF80*100)/AC$78)</f>
        <v>5.5288461538461453</v>
      </c>
      <c r="AE80" s="103">
        <v>0.39300000000000002</v>
      </c>
      <c r="AF80" s="89">
        <f>(AC$78-AE80)</f>
        <v>2.2999999999999965E-2</v>
      </c>
    </row>
    <row r="81" spans="2:32" x14ac:dyDescent="0.25">
      <c r="B81" s="102"/>
      <c r="C81" s="103">
        <v>10</v>
      </c>
      <c r="D81" s="10">
        <f>((F81*100)/C$78)</f>
        <v>5.5288461538461453</v>
      </c>
      <c r="E81" s="103">
        <v>0.39300000000000002</v>
      </c>
      <c r="F81" s="89">
        <f>(C$78-E81)</f>
        <v>2.2999999999999965E-2</v>
      </c>
      <c r="O81" s="102"/>
      <c r="P81" s="103">
        <v>10</v>
      </c>
      <c r="Q81" s="10">
        <f>((S81*100)/P$78)</f>
        <v>7.2115384615384555</v>
      </c>
      <c r="R81" s="103">
        <v>0.38600000000000001</v>
      </c>
      <c r="S81" s="89">
        <f>(P$78-R81)</f>
        <v>2.9999999999999971E-2</v>
      </c>
      <c r="AB81" s="102"/>
      <c r="AC81" s="103">
        <v>10</v>
      </c>
      <c r="AD81" s="10">
        <f>((AF81*100)/AC$78)</f>
        <v>7.9326923076923013</v>
      </c>
      <c r="AE81" s="103">
        <v>0.38300000000000001</v>
      </c>
      <c r="AF81" s="89">
        <f>(AC$78-AE81)</f>
        <v>3.2999999999999974E-2</v>
      </c>
    </row>
    <row r="82" spans="2:32" x14ac:dyDescent="0.25">
      <c r="B82" s="102"/>
      <c r="C82" s="103">
        <v>15</v>
      </c>
      <c r="D82" s="10">
        <f>((F82*100)/C$78)</f>
        <v>5.7692307692307621</v>
      </c>
      <c r="E82" s="103">
        <v>0.39200000000000002</v>
      </c>
      <c r="F82" s="89">
        <f>(C$78-E82)</f>
        <v>2.3999999999999966E-2</v>
      </c>
      <c r="O82" s="102"/>
      <c r="P82" s="103">
        <v>15</v>
      </c>
      <c r="Q82" s="10">
        <f>((S82*100)/P$78)</f>
        <v>10.096153846153843</v>
      </c>
      <c r="R82" s="103">
        <v>0.374</v>
      </c>
      <c r="S82" s="89">
        <f>(P$78-R82)</f>
        <v>4.1999999999999982E-2</v>
      </c>
      <c r="AB82" s="102"/>
      <c r="AC82" s="103">
        <v>15</v>
      </c>
      <c r="AD82" s="10">
        <f>((AF82*100)/AC$78)</f>
        <v>8.173076923076918</v>
      </c>
      <c r="AE82" s="103">
        <v>0.38200000000000001</v>
      </c>
      <c r="AF82" s="89">
        <f>(AC$78-AE82)</f>
        <v>3.3999999999999975E-2</v>
      </c>
    </row>
    <row r="83" spans="2:32" x14ac:dyDescent="0.25">
      <c r="B83" s="102"/>
      <c r="C83" s="103">
        <v>20</v>
      </c>
      <c r="D83" s="10">
        <f>((F83*100)/C$78)</f>
        <v>8.6538461538461497</v>
      </c>
      <c r="E83" s="103">
        <v>0.38</v>
      </c>
      <c r="F83" s="89">
        <f>(C$78-E83)</f>
        <v>3.5999999999999976E-2</v>
      </c>
      <c r="O83" s="102"/>
      <c r="P83" s="103">
        <v>20</v>
      </c>
      <c r="Q83" s="10">
        <f>((S83*100)/P$78)</f>
        <v>11.057692307692305</v>
      </c>
      <c r="R83" s="103">
        <v>0.37</v>
      </c>
      <c r="S83" s="89">
        <f>(P$78-R83)</f>
        <v>4.5999999999999985E-2</v>
      </c>
      <c r="AB83" s="102"/>
      <c r="AC83" s="103">
        <v>20</v>
      </c>
      <c r="AD83" s="10">
        <f>((AF83*100)/AC$78)</f>
        <v>10.817307692307688</v>
      </c>
      <c r="AE83" s="103">
        <v>0.371</v>
      </c>
      <c r="AF83" s="89">
        <f>(AC$78-AE83)</f>
        <v>4.4999999999999984E-2</v>
      </c>
    </row>
    <row r="84" spans="2:32" x14ac:dyDescent="0.25">
      <c r="B84" s="102"/>
      <c r="C84" s="103">
        <v>25</v>
      </c>
      <c r="D84" s="10">
        <f>((F84*100)/C$78)</f>
        <v>17.067307692307693</v>
      </c>
      <c r="E84" s="103">
        <v>0.34499999999999997</v>
      </c>
      <c r="F84" s="89">
        <f>(C$78-E84)</f>
        <v>7.1000000000000008E-2</v>
      </c>
      <c r="O84" s="102"/>
      <c r="P84" s="103">
        <v>25</v>
      </c>
      <c r="Q84" s="10">
        <f>((S84*100)/P$78)</f>
        <v>12.740384615384613</v>
      </c>
      <c r="R84" s="103">
        <v>0.36299999999999999</v>
      </c>
      <c r="S84" s="89">
        <f>(P$78-R84)</f>
        <v>5.2999999999999992E-2</v>
      </c>
      <c r="AB84" s="102"/>
      <c r="AC84" s="103">
        <v>25</v>
      </c>
      <c r="AD84" s="10">
        <f>((AF84*100)/AC$78)</f>
        <v>12.740384615384613</v>
      </c>
      <c r="AE84" s="103">
        <v>0.36299999999999999</v>
      </c>
      <c r="AF84" s="89">
        <f>(AC$78-AE84)</f>
        <v>5.2999999999999992E-2</v>
      </c>
    </row>
    <row r="86" spans="2:32" x14ac:dyDescent="0.25">
      <c r="B86" s="236" t="s">
        <v>97</v>
      </c>
      <c r="C86" s="236"/>
      <c r="D86" s="236"/>
      <c r="O86" s="236" t="s">
        <v>97</v>
      </c>
      <c r="P86" s="236"/>
      <c r="Q86" s="236"/>
      <c r="AB86" s="236" t="s">
        <v>97</v>
      </c>
      <c r="AC86" s="236"/>
      <c r="AD86" s="236"/>
    </row>
    <row r="87" spans="2:32" x14ac:dyDescent="0.25">
      <c r="B87" s="235" t="s">
        <v>100</v>
      </c>
      <c r="C87" s="235"/>
      <c r="D87" s="235"/>
      <c r="O87" s="235" t="s">
        <v>100</v>
      </c>
      <c r="P87" s="235"/>
      <c r="Q87" s="235"/>
      <c r="AB87" s="235" t="s">
        <v>100</v>
      </c>
      <c r="AC87" s="235"/>
      <c r="AD87" s="235"/>
    </row>
    <row r="88" spans="2:32" x14ac:dyDescent="0.25">
      <c r="B88" s="108" t="s">
        <v>101</v>
      </c>
      <c r="C88" s="108" t="s">
        <v>102</v>
      </c>
      <c r="D88" s="108" t="s">
        <v>103</v>
      </c>
      <c r="O88" s="108" t="s">
        <v>101</v>
      </c>
      <c r="P88" s="108" t="s">
        <v>102</v>
      </c>
      <c r="Q88" s="108" t="s">
        <v>103</v>
      </c>
      <c r="AB88" s="108" t="s">
        <v>101</v>
      </c>
      <c r="AC88" s="108" t="s">
        <v>102</v>
      </c>
      <c r="AD88" s="108" t="s">
        <v>103</v>
      </c>
    </row>
    <row r="89" spans="2:32" x14ac:dyDescent="0.25">
      <c r="B89" s="18">
        <v>50</v>
      </c>
      <c r="C89" s="1">
        <v>0.57210000000000005</v>
      </c>
      <c r="D89" s="1">
        <v>-0.3125</v>
      </c>
      <c r="O89" s="18">
        <v>50</v>
      </c>
      <c r="P89">
        <v>0.32690000000000002</v>
      </c>
      <c r="Q89">
        <v>4.6154000000000002</v>
      </c>
      <c r="AB89" s="18">
        <v>50</v>
      </c>
      <c r="AC89">
        <v>0.34620000000000001</v>
      </c>
      <c r="AD89">
        <v>3.8462000000000001</v>
      </c>
    </row>
    <row r="90" spans="2:32" x14ac:dyDescent="0.25">
      <c r="B90" s="29" t="s">
        <v>98</v>
      </c>
      <c r="C90" s="237">
        <f>(B89-D89)/C89</f>
        <v>87.94354133892675</v>
      </c>
      <c r="D90" s="238"/>
      <c r="O90" s="29" t="s">
        <v>98</v>
      </c>
      <c r="P90" s="237">
        <f>(O89-Q89)/P89</f>
        <v>138.83328234934228</v>
      </c>
      <c r="Q90" s="238"/>
      <c r="AB90" s="29" t="s">
        <v>98</v>
      </c>
      <c r="AC90" s="237">
        <f>(AB89-AD89)/AC89</f>
        <v>133.31542461005199</v>
      </c>
      <c r="AD90" s="238"/>
    </row>
    <row r="92" spans="2:32" s="116" customFormat="1" ht="3.75" customHeight="1" x14ac:dyDescent="0.25"/>
    <row r="93" spans="2:32" x14ac:dyDescent="0.25">
      <c r="B93" s="110" t="s">
        <v>92</v>
      </c>
      <c r="C93" s="110">
        <v>0.41599999999999998</v>
      </c>
      <c r="D93" s="102"/>
      <c r="E93" s="102"/>
      <c r="F93" s="102"/>
      <c r="O93" s="110" t="s">
        <v>92</v>
      </c>
      <c r="P93" s="110">
        <v>0.41599999999999998</v>
      </c>
      <c r="Q93" s="102"/>
      <c r="R93" s="102"/>
      <c r="S93" s="102"/>
      <c r="AB93" s="110" t="s">
        <v>92</v>
      </c>
      <c r="AC93" s="110">
        <v>0.41599999999999998</v>
      </c>
      <c r="AD93" s="102"/>
      <c r="AE93" s="102"/>
      <c r="AF93" s="102"/>
    </row>
    <row r="94" spans="2:32" x14ac:dyDescent="0.25">
      <c r="B94" s="109" t="s">
        <v>155</v>
      </c>
      <c r="C94" s="111" t="s">
        <v>93</v>
      </c>
      <c r="D94" s="111" t="s">
        <v>94</v>
      </c>
      <c r="E94" s="111" t="s">
        <v>95</v>
      </c>
      <c r="F94" s="111" t="s">
        <v>96</v>
      </c>
      <c r="O94" s="109" t="s">
        <v>115</v>
      </c>
      <c r="P94" s="111" t="s">
        <v>93</v>
      </c>
      <c r="Q94" s="111" t="s">
        <v>94</v>
      </c>
      <c r="R94" s="111" t="s">
        <v>95</v>
      </c>
      <c r="S94" s="111" t="s">
        <v>96</v>
      </c>
      <c r="AB94" s="109" t="s">
        <v>124</v>
      </c>
      <c r="AC94" s="111" t="s">
        <v>93</v>
      </c>
      <c r="AD94" s="111" t="s">
        <v>94</v>
      </c>
      <c r="AE94" s="111" t="s">
        <v>95</v>
      </c>
      <c r="AF94" s="111" t="s">
        <v>96</v>
      </c>
    </row>
    <row r="95" spans="2:32" x14ac:dyDescent="0.25">
      <c r="B95" s="102"/>
      <c r="C95" s="103">
        <v>5</v>
      </c>
      <c r="D95" s="10">
        <f>((F95*100)/C$93)</f>
        <v>6.0096153846153761</v>
      </c>
      <c r="E95" s="103">
        <v>0.39100000000000001</v>
      </c>
      <c r="F95" s="89">
        <f>(C$93-E95)</f>
        <v>2.4999999999999967E-2</v>
      </c>
      <c r="O95" s="102"/>
      <c r="P95" s="103">
        <v>5</v>
      </c>
      <c r="Q95" s="10">
        <f>((S95*100)/P$93)</f>
        <v>4.8076923076922986</v>
      </c>
      <c r="R95" s="103">
        <v>0.39600000000000002</v>
      </c>
      <c r="S95" s="89">
        <f>(P$93-R95)</f>
        <v>1.9999999999999962E-2</v>
      </c>
      <c r="AB95" s="102"/>
      <c r="AC95" s="103">
        <v>5</v>
      </c>
      <c r="AD95" s="10">
        <f>((AF95*100)/AC$93)</f>
        <v>8.6538461538461497</v>
      </c>
      <c r="AE95" s="103">
        <v>0.38</v>
      </c>
      <c r="AF95" s="89">
        <f>(AC$93-AE95)</f>
        <v>3.5999999999999976E-2</v>
      </c>
    </row>
    <row r="96" spans="2:32" x14ac:dyDescent="0.25">
      <c r="B96" s="102"/>
      <c r="C96" s="103">
        <v>10</v>
      </c>
      <c r="D96" s="10">
        <f>((F96*100)/C$93)</f>
        <v>6.4903846153846079</v>
      </c>
      <c r="E96" s="103">
        <v>0.38900000000000001</v>
      </c>
      <c r="F96" s="89">
        <f>(C$93-E96)</f>
        <v>2.6999999999999968E-2</v>
      </c>
      <c r="O96" s="102"/>
      <c r="P96" s="103">
        <v>10</v>
      </c>
      <c r="Q96" s="10">
        <f>((S96*100)/P$93)</f>
        <v>8.6538461538461497</v>
      </c>
      <c r="R96" s="103">
        <v>0.38</v>
      </c>
      <c r="S96" s="89">
        <f>(P$93-R96)</f>
        <v>3.5999999999999976E-2</v>
      </c>
      <c r="AB96" s="102"/>
      <c r="AC96" s="103">
        <v>10</v>
      </c>
      <c r="AD96" s="10">
        <f>((AF96*100)/AC$93)</f>
        <v>13.701923076923077</v>
      </c>
      <c r="AE96" s="103">
        <v>0.35899999999999999</v>
      </c>
      <c r="AF96" s="89">
        <f>(AC$93-AE96)</f>
        <v>5.6999999999999995E-2</v>
      </c>
    </row>
    <row r="97" spans="2:32" x14ac:dyDescent="0.25">
      <c r="B97" s="102"/>
      <c r="C97" s="103">
        <v>15</v>
      </c>
      <c r="D97" s="10">
        <f>((F97*100)/C$93)</f>
        <v>9.8557692307692264</v>
      </c>
      <c r="E97" s="103">
        <v>0.375</v>
      </c>
      <c r="F97" s="89">
        <f>(C$93-E97)</f>
        <v>4.0999999999999981E-2</v>
      </c>
      <c r="O97" s="102"/>
      <c r="P97" s="103">
        <v>15</v>
      </c>
      <c r="Q97" s="10">
        <f>((S97*100)/P$93)</f>
        <v>9.1346153846153797</v>
      </c>
      <c r="R97" s="103">
        <v>0.378</v>
      </c>
      <c r="S97" s="89">
        <f>(P$93-R97)</f>
        <v>3.7999999999999978E-2</v>
      </c>
      <c r="AB97" s="102"/>
      <c r="AC97" s="103">
        <v>15</v>
      </c>
      <c r="AD97" s="10">
        <f>((AF97*100)/AC$93)</f>
        <v>16.105769230769234</v>
      </c>
      <c r="AE97" s="103">
        <v>0.34899999999999998</v>
      </c>
      <c r="AF97" s="89">
        <f>(AC$93-AE97)</f>
        <v>6.7000000000000004E-2</v>
      </c>
    </row>
    <row r="98" spans="2:32" x14ac:dyDescent="0.25">
      <c r="B98" s="102"/>
      <c r="C98" s="103">
        <v>20</v>
      </c>
      <c r="D98" s="10">
        <f>((F98*100)/C$93)</f>
        <v>10.817307692307688</v>
      </c>
      <c r="E98" s="103">
        <v>0.371</v>
      </c>
      <c r="F98" s="89">
        <f>(C$93-E98)</f>
        <v>4.4999999999999984E-2</v>
      </c>
      <c r="O98" s="102"/>
      <c r="P98" s="103">
        <v>20</v>
      </c>
      <c r="Q98" s="10">
        <f>((S98*100)/P$93)</f>
        <v>10.096153846153843</v>
      </c>
      <c r="R98" s="103">
        <v>0.374</v>
      </c>
      <c r="S98" s="89">
        <f>(P$93-R98)</f>
        <v>4.1999999999999982E-2</v>
      </c>
      <c r="AB98" s="102"/>
      <c r="AC98" s="103">
        <v>20</v>
      </c>
      <c r="AD98" s="10">
        <f>((AF98*100)/AC$93)</f>
        <v>13.461538461538462</v>
      </c>
      <c r="AE98" s="103">
        <v>0.36</v>
      </c>
      <c r="AF98" s="89">
        <f>(AC$93-AE98)</f>
        <v>5.5999999999999994E-2</v>
      </c>
    </row>
    <row r="99" spans="2:32" x14ac:dyDescent="0.25">
      <c r="B99" s="102"/>
      <c r="C99" s="103">
        <v>25</v>
      </c>
      <c r="D99" s="10">
        <f>((F99*100)/C$93)</f>
        <v>12.499999999999998</v>
      </c>
      <c r="E99" s="103">
        <v>0.36399999999999999</v>
      </c>
      <c r="F99" s="89">
        <f>(C$93-E99)</f>
        <v>5.1999999999999991E-2</v>
      </c>
      <c r="O99" s="102"/>
      <c r="P99" s="103">
        <v>25</v>
      </c>
      <c r="Q99" s="10">
        <f>((S99*100)/P$93)</f>
        <v>13.221153846153845</v>
      </c>
      <c r="R99" s="103">
        <v>0.36099999999999999</v>
      </c>
      <c r="S99" s="89">
        <f>(P$93-R99)</f>
        <v>5.4999999999999993E-2</v>
      </c>
      <c r="AB99" s="102"/>
      <c r="AC99" s="103">
        <v>25</v>
      </c>
      <c r="AD99" s="10">
        <f>((AF99*100)/AC$93)</f>
        <v>15.865384615384617</v>
      </c>
      <c r="AE99" s="103">
        <v>0.35</v>
      </c>
      <c r="AF99" s="89">
        <f>(AC$93-AE99)</f>
        <v>6.6000000000000003E-2</v>
      </c>
    </row>
    <row r="101" spans="2:32" x14ac:dyDescent="0.25">
      <c r="B101" s="236" t="s">
        <v>97</v>
      </c>
      <c r="C101" s="236"/>
      <c r="D101" s="236"/>
      <c r="O101" s="236" t="s">
        <v>97</v>
      </c>
      <c r="P101" s="236"/>
      <c r="Q101" s="236"/>
      <c r="AB101" s="236" t="s">
        <v>97</v>
      </c>
      <c r="AC101" s="236"/>
      <c r="AD101" s="236"/>
    </row>
    <row r="102" spans="2:32" x14ac:dyDescent="0.25">
      <c r="B102" s="235" t="s">
        <v>100</v>
      </c>
      <c r="C102" s="235"/>
      <c r="D102" s="235"/>
      <c r="O102" s="235" t="s">
        <v>100</v>
      </c>
      <c r="P102" s="235"/>
      <c r="Q102" s="235"/>
      <c r="AB102" s="235" t="s">
        <v>100</v>
      </c>
      <c r="AC102" s="235"/>
      <c r="AD102" s="235"/>
    </row>
    <row r="103" spans="2:32" x14ac:dyDescent="0.25">
      <c r="B103" s="108" t="s">
        <v>101</v>
      </c>
      <c r="C103" s="108" t="s">
        <v>102</v>
      </c>
      <c r="D103" s="108" t="s">
        <v>103</v>
      </c>
      <c r="O103" s="108" t="s">
        <v>101</v>
      </c>
      <c r="P103" s="108" t="s">
        <v>102</v>
      </c>
      <c r="Q103" s="108" t="s">
        <v>103</v>
      </c>
      <c r="AB103" s="108" t="s">
        <v>101</v>
      </c>
      <c r="AC103" s="108" t="s">
        <v>102</v>
      </c>
      <c r="AD103" s="108" t="s">
        <v>103</v>
      </c>
    </row>
    <row r="104" spans="2:32" x14ac:dyDescent="0.25">
      <c r="B104" s="18">
        <v>50</v>
      </c>
      <c r="C104">
        <v>0.34620000000000001</v>
      </c>
      <c r="D104">
        <v>3.9422999999999999</v>
      </c>
      <c r="O104" s="18">
        <v>50</v>
      </c>
      <c r="P104">
        <v>0.3654</v>
      </c>
      <c r="Q104">
        <v>3.7019000000000002</v>
      </c>
      <c r="AB104" s="18">
        <v>50</v>
      </c>
      <c r="AC104">
        <v>0.28370000000000001</v>
      </c>
      <c r="AD104">
        <v>9.3028999999999993</v>
      </c>
    </row>
    <row r="105" spans="2:32" x14ac:dyDescent="0.25">
      <c r="B105" s="29" t="s">
        <v>98</v>
      </c>
      <c r="C105" s="237">
        <f>(B104-D104)/C104</f>
        <v>133.0378393991912</v>
      </c>
      <c r="D105" s="238"/>
      <c r="O105" s="29" t="s">
        <v>98</v>
      </c>
      <c r="P105" s="237">
        <f>(O104-Q104)/P104</f>
        <v>126.70525451559934</v>
      </c>
      <c r="Q105" s="238"/>
      <c r="AB105" s="29" t="s">
        <v>98</v>
      </c>
      <c r="AC105" s="237">
        <f>(AB104-AD104)/AC104</f>
        <v>143.45118082481494</v>
      </c>
      <c r="AD105" s="238"/>
    </row>
    <row r="107" spans="2:32" s="116" customFormat="1" ht="4.5" customHeight="1" x14ac:dyDescent="0.25"/>
    <row r="108" spans="2:32" x14ac:dyDescent="0.25">
      <c r="B108" s="110" t="s">
        <v>92</v>
      </c>
      <c r="C108" s="110">
        <v>0.41599999999999998</v>
      </c>
      <c r="D108" s="102"/>
      <c r="E108" s="102"/>
      <c r="F108" s="102"/>
      <c r="O108" s="110" t="s">
        <v>92</v>
      </c>
      <c r="P108" s="110">
        <v>0.41599999999999998</v>
      </c>
      <c r="Q108" s="102"/>
      <c r="R108" s="102"/>
      <c r="S108" s="102"/>
      <c r="AB108" s="110" t="s">
        <v>92</v>
      </c>
      <c r="AC108" s="110">
        <v>0.41599999999999998</v>
      </c>
      <c r="AD108" s="102"/>
      <c r="AE108" s="102"/>
      <c r="AF108" s="102"/>
    </row>
    <row r="109" spans="2:32" x14ac:dyDescent="0.25">
      <c r="B109" s="109" t="s">
        <v>108</v>
      </c>
      <c r="C109" s="111" t="s">
        <v>93</v>
      </c>
      <c r="D109" s="111" t="s">
        <v>94</v>
      </c>
      <c r="E109" s="111" t="s">
        <v>95</v>
      </c>
      <c r="F109" s="111" t="s">
        <v>96</v>
      </c>
      <c r="O109" s="109" t="s">
        <v>116</v>
      </c>
      <c r="P109" s="111" t="s">
        <v>93</v>
      </c>
      <c r="Q109" s="111" t="s">
        <v>94</v>
      </c>
      <c r="R109" s="111" t="s">
        <v>95</v>
      </c>
      <c r="S109" s="111" t="s">
        <v>96</v>
      </c>
      <c r="AB109" s="109" t="s">
        <v>125</v>
      </c>
      <c r="AC109" s="111" t="s">
        <v>93</v>
      </c>
      <c r="AD109" s="111" t="s">
        <v>94</v>
      </c>
      <c r="AE109" s="111" t="s">
        <v>95</v>
      </c>
      <c r="AF109" s="111" t="s">
        <v>96</v>
      </c>
    </row>
    <row r="110" spans="2:32" x14ac:dyDescent="0.25">
      <c r="B110" s="102"/>
      <c r="C110" s="103">
        <v>5</v>
      </c>
      <c r="D110" s="10">
        <f>((F110*100)/C$108)</f>
        <v>4.3269230769230678</v>
      </c>
      <c r="E110" s="103">
        <v>0.39800000000000002</v>
      </c>
      <c r="F110" s="89">
        <f>(C$108-E110)</f>
        <v>1.799999999999996E-2</v>
      </c>
      <c r="O110" s="102"/>
      <c r="P110" s="103">
        <v>5</v>
      </c>
      <c r="Q110" s="10">
        <f>((S110*100)/P$108)</f>
        <v>6.4903846153846079</v>
      </c>
      <c r="R110" s="103">
        <v>0.38900000000000001</v>
      </c>
      <c r="S110" s="89">
        <f>(P$108-R110)</f>
        <v>2.6999999999999968E-2</v>
      </c>
      <c r="AB110" s="102"/>
      <c r="AC110" s="103">
        <v>5</v>
      </c>
      <c r="AD110" s="10">
        <f>((AF110*100)/AC$108)</f>
        <v>6.0096153846153761</v>
      </c>
      <c r="AE110" s="103">
        <v>0.39100000000000001</v>
      </c>
      <c r="AF110" s="89">
        <f>(AC$108-AE110)</f>
        <v>2.4999999999999967E-2</v>
      </c>
    </row>
    <row r="111" spans="2:32" x14ac:dyDescent="0.25">
      <c r="B111" s="102"/>
      <c r="C111" s="103">
        <v>10</v>
      </c>
      <c r="D111" s="10">
        <f>((F111*100)/C$108)</f>
        <v>6.9711538461538387</v>
      </c>
      <c r="E111" s="103">
        <v>0.38700000000000001</v>
      </c>
      <c r="F111" s="89">
        <f>(C$108-E111)</f>
        <v>2.899999999999997E-2</v>
      </c>
      <c r="O111" s="102"/>
      <c r="P111" s="103">
        <v>10</v>
      </c>
      <c r="Q111" s="10">
        <f>((S111*100)/P$108)</f>
        <v>8.6538461538461497</v>
      </c>
      <c r="R111" s="103">
        <v>0.38</v>
      </c>
      <c r="S111" s="89">
        <f>(P$108-R111)</f>
        <v>3.5999999999999976E-2</v>
      </c>
      <c r="AB111" s="102"/>
      <c r="AC111" s="103">
        <v>10</v>
      </c>
      <c r="AD111" s="10">
        <f>((AF111*100)/AC$108)</f>
        <v>7.4519230769230704</v>
      </c>
      <c r="AE111" s="103">
        <v>0.38500000000000001</v>
      </c>
      <c r="AF111" s="89">
        <f>(AC$108-AE111)</f>
        <v>3.0999999999999972E-2</v>
      </c>
    </row>
    <row r="112" spans="2:32" x14ac:dyDescent="0.25">
      <c r="B112" s="102"/>
      <c r="C112" s="103">
        <v>15</v>
      </c>
      <c r="D112" s="10">
        <f>((F112*100)/C$108)</f>
        <v>6.4903846153846079</v>
      </c>
      <c r="E112" s="103">
        <v>0.38900000000000001</v>
      </c>
      <c r="F112" s="89">
        <f>(C$108-E112)</f>
        <v>2.6999999999999968E-2</v>
      </c>
      <c r="O112" s="102"/>
      <c r="P112" s="103">
        <v>15</v>
      </c>
      <c r="Q112" s="10">
        <f>((S112*100)/P$108)</f>
        <v>9.8557692307692264</v>
      </c>
      <c r="R112" s="103">
        <v>0.375</v>
      </c>
      <c r="S112" s="89">
        <f>(P$108-R112)</f>
        <v>4.0999999999999981E-2</v>
      </c>
      <c r="AB112" s="102"/>
      <c r="AC112" s="103">
        <v>15</v>
      </c>
      <c r="AD112" s="10">
        <f>((AF112*100)/AC$108)</f>
        <v>8.6538461538461497</v>
      </c>
      <c r="AE112" s="103">
        <v>0.38</v>
      </c>
      <c r="AF112" s="89">
        <f>(AC$108-AE112)</f>
        <v>3.5999999999999976E-2</v>
      </c>
    </row>
    <row r="113" spans="2:32" x14ac:dyDescent="0.25">
      <c r="B113" s="102"/>
      <c r="C113" s="103">
        <v>20</v>
      </c>
      <c r="D113" s="10">
        <f>((F113*100)/C$108)</f>
        <v>8.6538461538461497</v>
      </c>
      <c r="E113" s="103">
        <v>0.38</v>
      </c>
      <c r="F113" s="89">
        <f>(C$108-E113)</f>
        <v>3.5999999999999976E-2</v>
      </c>
      <c r="O113" s="102"/>
      <c r="P113" s="103">
        <v>20</v>
      </c>
      <c r="Q113" s="10">
        <f>((S113*100)/P$108)</f>
        <v>11.778846153846152</v>
      </c>
      <c r="R113" s="103">
        <v>0.36699999999999999</v>
      </c>
      <c r="S113" s="89">
        <f>(P$108-R113)</f>
        <v>4.8999999999999988E-2</v>
      </c>
      <c r="AB113" s="102"/>
      <c r="AC113" s="103">
        <v>20</v>
      </c>
      <c r="AD113" s="10">
        <f>((AF113*100)/AC$108)</f>
        <v>12.259615384615381</v>
      </c>
      <c r="AE113" s="103">
        <v>0.36499999999999999</v>
      </c>
      <c r="AF113" s="89">
        <f>(AC$108-AE113)</f>
        <v>5.099999999999999E-2</v>
      </c>
    </row>
    <row r="114" spans="2:32" x14ac:dyDescent="0.25">
      <c r="B114" s="102"/>
      <c r="C114" s="103">
        <v>25</v>
      </c>
      <c r="D114" s="10">
        <f>((F114*100)/C$108)</f>
        <v>10.576923076923075</v>
      </c>
      <c r="E114" s="103">
        <v>0.372</v>
      </c>
      <c r="F114" s="89">
        <f>(C$108-E114)</f>
        <v>4.3999999999999984E-2</v>
      </c>
      <c r="O114" s="102"/>
      <c r="P114" s="103">
        <v>25</v>
      </c>
      <c r="Q114" s="10">
        <f>((S114*100)/P$108)</f>
        <v>12.259615384615381</v>
      </c>
      <c r="R114" s="103">
        <v>0.36499999999999999</v>
      </c>
      <c r="S114" s="89">
        <f>(P$108-R114)</f>
        <v>5.099999999999999E-2</v>
      </c>
      <c r="AB114" s="102"/>
      <c r="AC114" s="103">
        <v>25</v>
      </c>
      <c r="AD114" s="10">
        <f>((AF114*100)/AC$108)</f>
        <v>10.817307692307688</v>
      </c>
      <c r="AE114" s="103">
        <v>0.371</v>
      </c>
      <c r="AF114" s="89">
        <f>(AC$108-AE114)</f>
        <v>4.4999999999999984E-2</v>
      </c>
    </row>
    <row r="116" spans="2:32" x14ac:dyDescent="0.25">
      <c r="B116" s="236" t="s">
        <v>97</v>
      </c>
      <c r="C116" s="236"/>
      <c r="D116" s="236"/>
      <c r="O116" s="236" t="s">
        <v>97</v>
      </c>
      <c r="P116" s="236"/>
      <c r="Q116" s="236"/>
      <c r="AB116" s="236" t="s">
        <v>97</v>
      </c>
      <c r="AC116" s="236"/>
      <c r="AD116" s="236"/>
    </row>
    <row r="117" spans="2:32" x14ac:dyDescent="0.25">
      <c r="B117" s="235" t="s">
        <v>100</v>
      </c>
      <c r="C117" s="235"/>
      <c r="D117" s="235"/>
      <c r="O117" s="235" t="s">
        <v>100</v>
      </c>
      <c r="P117" s="235"/>
      <c r="Q117" s="235"/>
      <c r="AB117" s="235" t="s">
        <v>100</v>
      </c>
      <c r="AC117" s="235"/>
      <c r="AD117" s="235"/>
    </row>
    <row r="118" spans="2:32" x14ac:dyDescent="0.25">
      <c r="B118" s="108" t="s">
        <v>101</v>
      </c>
      <c r="C118" s="108" t="s">
        <v>102</v>
      </c>
      <c r="D118" s="108" t="s">
        <v>103</v>
      </c>
      <c r="O118" s="108" t="s">
        <v>101</v>
      </c>
      <c r="P118" s="108" t="s">
        <v>102</v>
      </c>
      <c r="Q118" s="108" t="s">
        <v>103</v>
      </c>
      <c r="AB118" s="108" t="s">
        <v>101</v>
      </c>
      <c r="AC118" s="108" t="s">
        <v>102</v>
      </c>
      <c r="AD118" s="108" t="s">
        <v>103</v>
      </c>
    </row>
    <row r="119" spans="2:32" x14ac:dyDescent="0.25">
      <c r="B119" s="18">
        <v>50</v>
      </c>
      <c r="C119">
        <v>0.28370000000000001</v>
      </c>
      <c r="D119">
        <v>3.149</v>
      </c>
      <c r="O119" s="18">
        <v>50</v>
      </c>
      <c r="P119">
        <v>0.29330000000000001</v>
      </c>
      <c r="Q119">
        <v>5.4086999999999996</v>
      </c>
      <c r="AB119" s="18">
        <v>50</v>
      </c>
      <c r="AC119">
        <v>0.28849999999999998</v>
      </c>
      <c r="AD119">
        <v>4.7115</v>
      </c>
    </row>
    <row r="120" spans="2:32" x14ac:dyDescent="0.25">
      <c r="B120" s="29" t="s">
        <v>98</v>
      </c>
      <c r="C120" s="237">
        <f>(B119-D119)/C119</f>
        <v>165.1427564328516</v>
      </c>
      <c r="D120" s="238"/>
      <c r="O120" s="29" t="s">
        <v>98</v>
      </c>
      <c r="P120" s="237">
        <f>(O119-Q119)/P119</f>
        <v>152.03307193999319</v>
      </c>
      <c r="Q120" s="238"/>
      <c r="AB120" s="29" t="s">
        <v>98</v>
      </c>
      <c r="AC120" s="237">
        <f>(AB119-AD119)/AC119</f>
        <v>156.97920277296362</v>
      </c>
      <c r="AD120" s="238"/>
    </row>
    <row r="122" spans="2:32" s="116" customFormat="1" ht="3.75" customHeight="1" x14ac:dyDescent="0.25"/>
    <row r="123" spans="2:32" x14ac:dyDescent="0.25">
      <c r="B123" s="110" t="s">
        <v>92</v>
      </c>
      <c r="C123" s="110">
        <v>0.41599999999999998</v>
      </c>
      <c r="D123" s="102"/>
      <c r="E123" s="102"/>
      <c r="F123" s="102"/>
      <c r="O123" s="110" t="s">
        <v>92</v>
      </c>
      <c r="P123" s="110">
        <v>0.41599999999999998</v>
      </c>
      <c r="Q123" s="102"/>
      <c r="R123" s="102"/>
      <c r="S123" s="102"/>
      <c r="AB123" s="110" t="s">
        <v>92</v>
      </c>
      <c r="AC123" s="110">
        <v>0.41599999999999998</v>
      </c>
      <c r="AD123" s="102"/>
      <c r="AE123" s="102"/>
      <c r="AF123" s="102"/>
    </row>
    <row r="124" spans="2:32" x14ac:dyDescent="0.25">
      <c r="B124" s="109" t="s">
        <v>109</v>
      </c>
      <c r="C124" s="111" t="s">
        <v>93</v>
      </c>
      <c r="D124" s="111" t="s">
        <v>94</v>
      </c>
      <c r="E124" s="111" t="s">
        <v>95</v>
      </c>
      <c r="F124" s="111" t="s">
        <v>96</v>
      </c>
      <c r="O124" s="109" t="s">
        <v>117</v>
      </c>
      <c r="P124" s="111" t="s">
        <v>93</v>
      </c>
      <c r="Q124" s="111" t="s">
        <v>94</v>
      </c>
      <c r="R124" s="111" t="s">
        <v>95</v>
      </c>
      <c r="S124" s="111" t="s">
        <v>96</v>
      </c>
      <c r="AB124" s="109" t="s">
        <v>126</v>
      </c>
      <c r="AC124" s="111" t="s">
        <v>93</v>
      </c>
      <c r="AD124" s="111" t="s">
        <v>94</v>
      </c>
      <c r="AE124" s="111" t="s">
        <v>95</v>
      </c>
      <c r="AF124" s="111" t="s">
        <v>96</v>
      </c>
    </row>
    <row r="125" spans="2:32" x14ac:dyDescent="0.25">
      <c r="B125" s="102"/>
      <c r="C125" s="103">
        <v>5</v>
      </c>
      <c r="D125" s="10">
        <f>((F125*100)/C$123)</f>
        <v>7.4519230769230704</v>
      </c>
      <c r="E125" s="103">
        <v>0.38500000000000001</v>
      </c>
      <c r="F125" s="89">
        <f>(C$123-E125)</f>
        <v>3.0999999999999972E-2</v>
      </c>
      <c r="O125" s="102"/>
      <c r="P125" s="103">
        <v>5</v>
      </c>
      <c r="Q125" s="10">
        <f>((S125*100)/P$123)</f>
        <v>6.9711538461538387</v>
      </c>
      <c r="R125" s="103">
        <v>0.38700000000000001</v>
      </c>
      <c r="S125" s="89">
        <f>(P$123-R125)</f>
        <v>2.899999999999997E-2</v>
      </c>
      <c r="AB125" s="102"/>
      <c r="AC125" s="103">
        <v>5</v>
      </c>
      <c r="AD125" s="10">
        <f>((AF125*100)/AC$123)</f>
        <v>6.2499999999999929</v>
      </c>
      <c r="AE125" s="103">
        <v>0.39</v>
      </c>
      <c r="AF125" s="89">
        <f>(AC$123-AE125)</f>
        <v>2.5999999999999968E-2</v>
      </c>
    </row>
    <row r="126" spans="2:32" x14ac:dyDescent="0.25">
      <c r="B126" s="102"/>
      <c r="C126" s="103">
        <v>10</v>
      </c>
      <c r="D126" s="10">
        <f>((F126*100)/C$123)</f>
        <v>7.6923076923076863</v>
      </c>
      <c r="E126" s="103">
        <v>0.38400000000000001</v>
      </c>
      <c r="F126" s="89">
        <f>(C$123-E126)</f>
        <v>3.1999999999999973E-2</v>
      </c>
      <c r="O126" s="102"/>
      <c r="P126" s="103">
        <v>10</v>
      </c>
      <c r="Q126" s="10">
        <f>((S126*100)/P$123)</f>
        <v>7.4519230769230704</v>
      </c>
      <c r="R126" s="103">
        <v>0.38500000000000001</v>
      </c>
      <c r="S126" s="89">
        <f>(P$123-R126)</f>
        <v>3.0999999999999972E-2</v>
      </c>
      <c r="AB126" s="102"/>
      <c r="AC126" s="103">
        <v>10</v>
      </c>
      <c r="AD126" s="10">
        <f>((AF126*100)/AC$123)</f>
        <v>7.9326923076923013</v>
      </c>
      <c r="AE126" s="103">
        <v>0.38300000000000001</v>
      </c>
      <c r="AF126" s="89">
        <f>(AC$123-AE126)</f>
        <v>3.2999999999999974E-2</v>
      </c>
    </row>
    <row r="127" spans="2:32" x14ac:dyDescent="0.25">
      <c r="B127" s="102"/>
      <c r="C127" s="103">
        <v>15</v>
      </c>
      <c r="D127" s="10">
        <f>((F127*100)/C$123)</f>
        <v>11.057692307692305</v>
      </c>
      <c r="E127" s="103">
        <v>0.37</v>
      </c>
      <c r="F127" s="89">
        <f>(C$123-E127)</f>
        <v>4.5999999999999985E-2</v>
      </c>
      <c r="O127" s="102"/>
      <c r="P127" s="103">
        <v>15</v>
      </c>
      <c r="Q127" s="10">
        <f>((S127*100)/P$123)</f>
        <v>10.817307692307688</v>
      </c>
      <c r="R127" s="103">
        <v>0.371</v>
      </c>
      <c r="S127" s="89">
        <f>(P$123-R127)</f>
        <v>4.4999999999999984E-2</v>
      </c>
      <c r="AB127" s="102"/>
      <c r="AC127" s="103">
        <v>15</v>
      </c>
      <c r="AD127" s="10">
        <f>((AF127*100)/AC$123)</f>
        <v>8.8942307692307629</v>
      </c>
      <c r="AE127" s="103">
        <v>0.379</v>
      </c>
      <c r="AF127" s="89">
        <f>(AC$123-AE127)</f>
        <v>3.6999999999999977E-2</v>
      </c>
    </row>
    <row r="128" spans="2:32" x14ac:dyDescent="0.25">
      <c r="B128" s="102"/>
      <c r="C128" s="103">
        <v>20</v>
      </c>
      <c r="D128" s="10">
        <f>((F128*100)/C$123)</f>
        <v>13.221153846153845</v>
      </c>
      <c r="E128" s="103">
        <v>0.36099999999999999</v>
      </c>
      <c r="F128" s="89">
        <f>(C$123-E128)</f>
        <v>5.4999999999999993E-2</v>
      </c>
      <c r="O128" s="102"/>
      <c r="P128" s="103">
        <v>20</v>
      </c>
      <c r="Q128" s="10">
        <f>((S128*100)/P$123)</f>
        <v>11.057692307692305</v>
      </c>
      <c r="R128" s="103">
        <v>0.37</v>
      </c>
      <c r="S128" s="89">
        <f>(P$123-R128)</f>
        <v>4.5999999999999985E-2</v>
      </c>
      <c r="AB128" s="102"/>
      <c r="AC128" s="103">
        <v>20</v>
      </c>
      <c r="AD128" s="10">
        <f>((AF128*100)/AC$123)</f>
        <v>10.576923076923075</v>
      </c>
      <c r="AE128" s="103">
        <v>0.372</v>
      </c>
      <c r="AF128" s="89">
        <f>(AC$123-AE128)</f>
        <v>4.3999999999999984E-2</v>
      </c>
    </row>
    <row r="129" spans="2:32" x14ac:dyDescent="0.25">
      <c r="B129" s="102"/>
      <c r="C129" s="103">
        <v>25</v>
      </c>
      <c r="D129" s="10">
        <f>((F129*100)/C$123)</f>
        <v>16.105769230769234</v>
      </c>
      <c r="E129" s="103">
        <v>0.34899999999999998</v>
      </c>
      <c r="F129" s="89">
        <f>(C$123-E129)</f>
        <v>6.7000000000000004E-2</v>
      </c>
      <c r="O129" s="102"/>
      <c r="P129" s="103">
        <v>25</v>
      </c>
      <c r="Q129" s="10">
        <f>((S129*100)/P$123)</f>
        <v>12.740384615384613</v>
      </c>
      <c r="R129" s="103">
        <v>0.36299999999999999</v>
      </c>
      <c r="S129" s="89">
        <f>(P$123-R129)</f>
        <v>5.2999999999999992E-2</v>
      </c>
      <c r="AB129" s="102"/>
      <c r="AC129" s="103">
        <v>25</v>
      </c>
      <c r="AD129" s="10">
        <f>((AF129*100)/AC$123)</f>
        <v>12.740384615384613</v>
      </c>
      <c r="AE129" s="103">
        <v>0.36299999999999999</v>
      </c>
      <c r="AF129" s="89">
        <f>(AC$123-AE129)</f>
        <v>5.2999999999999992E-2</v>
      </c>
    </row>
    <row r="131" spans="2:32" x14ac:dyDescent="0.25">
      <c r="B131" s="236" t="s">
        <v>97</v>
      </c>
      <c r="C131" s="236"/>
      <c r="D131" s="236"/>
      <c r="O131" s="236" t="s">
        <v>97</v>
      </c>
      <c r="P131" s="236"/>
      <c r="Q131" s="236"/>
      <c r="AB131" s="236" t="s">
        <v>97</v>
      </c>
      <c r="AC131" s="236"/>
      <c r="AD131" s="236"/>
    </row>
    <row r="132" spans="2:32" x14ac:dyDescent="0.25">
      <c r="B132" s="235" t="s">
        <v>100</v>
      </c>
      <c r="C132" s="235"/>
      <c r="D132" s="235"/>
      <c r="O132" s="235" t="s">
        <v>100</v>
      </c>
      <c r="P132" s="235"/>
      <c r="Q132" s="235"/>
      <c r="AB132" s="235" t="s">
        <v>100</v>
      </c>
      <c r="AC132" s="235"/>
      <c r="AD132" s="235"/>
    </row>
    <row r="133" spans="2:32" x14ac:dyDescent="0.25">
      <c r="B133" s="108" t="s">
        <v>101</v>
      </c>
      <c r="C133" s="108" t="s">
        <v>102</v>
      </c>
      <c r="D133" s="108" t="s">
        <v>103</v>
      </c>
      <c r="O133" s="108" t="s">
        <v>101</v>
      </c>
      <c r="P133" s="108" t="s">
        <v>102</v>
      </c>
      <c r="Q133" s="108" t="s">
        <v>103</v>
      </c>
      <c r="AB133" s="108" t="s">
        <v>101</v>
      </c>
      <c r="AC133" s="108" t="s">
        <v>102</v>
      </c>
      <c r="AD133" s="108" t="s">
        <v>103</v>
      </c>
    </row>
    <row r="134" spans="2:32" x14ac:dyDescent="0.25">
      <c r="B134" s="18">
        <v>50</v>
      </c>
      <c r="C134">
        <v>0.45669999999999999</v>
      </c>
      <c r="D134">
        <v>4.2548000000000004</v>
      </c>
      <c r="O134" s="18">
        <v>50</v>
      </c>
      <c r="P134">
        <v>0.3029</v>
      </c>
      <c r="Q134">
        <v>5.2644000000000002</v>
      </c>
      <c r="AB134" s="18">
        <v>50</v>
      </c>
      <c r="AC134">
        <v>0.3125</v>
      </c>
      <c r="AD134">
        <v>4.5913000000000004</v>
      </c>
    </row>
    <row r="135" spans="2:32" x14ac:dyDescent="0.25">
      <c r="B135" s="29" t="s">
        <v>98</v>
      </c>
      <c r="C135" s="237">
        <f>(B134-D134)/C134</f>
        <v>100.16465951390408</v>
      </c>
      <c r="D135" s="238"/>
      <c r="O135" s="29" t="s">
        <v>98</v>
      </c>
      <c r="P135" s="237">
        <f>(O134-Q134)/P134</f>
        <v>147.6909871244635</v>
      </c>
      <c r="Q135" s="238"/>
      <c r="AB135" s="29" t="s">
        <v>98</v>
      </c>
      <c r="AC135" s="237">
        <f>(AB134-AD134)/AC134</f>
        <v>145.30784</v>
      </c>
      <c r="AD135" s="238"/>
    </row>
  </sheetData>
  <mergeCells count="81">
    <mergeCell ref="AB117:AD117"/>
    <mergeCell ref="AC120:AD120"/>
    <mergeCell ref="AB131:AD131"/>
    <mergeCell ref="AB132:AD132"/>
    <mergeCell ref="AC135:AD135"/>
    <mergeCell ref="AC90:AD90"/>
    <mergeCell ref="AB101:AD101"/>
    <mergeCell ref="AB102:AD102"/>
    <mergeCell ref="AC105:AD105"/>
    <mergeCell ref="AB116:AD116"/>
    <mergeCell ref="AB71:AD71"/>
    <mergeCell ref="AB72:AD72"/>
    <mergeCell ref="AC75:AD75"/>
    <mergeCell ref="AB86:AD86"/>
    <mergeCell ref="AB87:AD87"/>
    <mergeCell ref="P120:Q120"/>
    <mergeCell ref="O131:Q131"/>
    <mergeCell ref="O132:Q132"/>
    <mergeCell ref="P135:Q135"/>
    <mergeCell ref="AB10:AD10"/>
    <mergeCell ref="AB11:AD11"/>
    <mergeCell ref="AC14:AD14"/>
    <mergeCell ref="AB26:AD26"/>
    <mergeCell ref="AB27:AD27"/>
    <mergeCell ref="AC30:AD30"/>
    <mergeCell ref="AB41:AD41"/>
    <mergeCell ref="AB42:AD42"/>
    <mergeCell ref="AC45:AD45"/>
    <mergeCell ref="AB56:AD56"/>
    <mergeCell ref="AB57:AD57"/>
    <mergeCell ref="AC60:AD60"/>
    <mergeCell ref="O101:Q101"/>
    <mergeCell ref="O102:Q102"/>
    <mergeCell ref="P105:Q105"/>
    <mergeCell ref="O116:Q116"/>
    <mergeCell ref="O117:Q117"/>
    <mergeCell ref="O72:Q72"/>
    <mergeCell ref="P75:Q75"/>
    <mergeCell ref="O86:Q86"/>
    <mergeCell ref="O87:Q87"/>
    <mergeCell ref="P90:Q90"/>
    <mergeCell ref="P45:Q45"/>
    <mergeCell ref="O56:Q56"/>
    <mergeCell ref="O57:Q57"/>
    <mergeCell ref="P60:Q60"/>
    <mergeCell ref="O71:Q71"/>
    <mergeCell ref="O26:Q26"/>
    <mergeCell ref="O27:Q27"/>
    <mergeCell ref="P30:Q30"/>
    <mergeCell ref="O41:Q41"/>
    <mergeCell ref="O42:Q42"/>
    <mergeCell ref="O10:Q10"/>
    <mergeCell ref="O11:Q11"/>
    <mergeCell ref="P14:Q14"/>
    <mergeCell ref="B132:D132"/>
    <mergeCell ref="C135:D135"/>
    <mergeCell ref="B10:D10"/>
    <mergeCell ref="B11:D11"/>
    <mergeCell ref="C14:D14"/>
    <mergeCell ref="C105:D105"/>
    <mergeCell ref="B116:D116"/>
    <mergeCell ref="B117:D117"/>
    <mergeCell ref="C120:D120"/>
    <mergeCell ref="B131:D131"/>
    <mergeCell ref="B86:D86"/>
    <mergeCell ref="B87:D87"/>
    <mergeCell ref="C90:D90"/>
    <mergeCell ref="C45:D45"/>
    <mergeCell ref="B56:D56"/>
    <mergeCell ref="B101:D101"/>
    <mergeCell ref="B102:D102"/>
    <mergeCell ref="B57:D57"/>
    <mergeCell ref="C60:D60"/>
    <mergeCell ref="B71:D71"/>
    <mergeCell ref="B72:D72"/>
    <mergeCell ref="C75:D75"/>
    <mergeCell ref="B27:D27"/>
    <mergeCell ref="B26:D26"/>
    <mergeCell ref="C30:D30"/>
    <mergeCell ref="B41:D41"/>
    <mergeCell ref="B42:D42"/>
  </mergeCells>
  <pageMargins left="0.7" right="0.7" top="0.75" bottom="0.75" header="0.3" footer="0.3"/>
  <pageSetup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31"/>
  <sheetViews>
    <sheetView topLeftCell="A9" zoomScale="90" zoomScaleNormal="90" workbookViewId="0">
      <selection activeCell="T16" sqref="T16"/>
    </sheetView>
  </sheetViews>
  <sheetFormatPr defaultRowHeight="15" x14ac:dyDescent="0.25"/>
  <cols>
    <col min="2" max="2" width="11.42578125" customWidth="1"/>
    <col min="4" max="4" width="11.140625" customWidth="1"/>
    <col min="9" max="9" width="13.28515625" customWidth="1"/>
    <col min="10" max="10" width="11.28515625" customWidth="1"/>
    <col min="11" max="11" width="10.28515625" customWidth="1"/>
    <col min="14" max="14" width="11" customWidth="1"/>
    <col min="16" max="16" width="12.7109375" customWidth="1"/>
  </cols>
  <sheetData>
    <row r="2" spans="1:18" x14ac:dyDescent="0.25">
      <c r="B2" s="199" t="s">
        <v>21</v>
      </c>
      <c r="C2" s="199" t="s">
        <v>22</v>
      </c>
      <c r="D2" s="199"/>
      <c r="E2" s="199"/>
      <c r="F2" s="199" t="s">
        <v>14</v>
      </c>
      <c r="G2" s="199" t="s">
        <v>23</v>
      </c>
      <c r="I2" s="199" t="s">
        <v>46</v>
      </c>
      <c r="J2" s="199"/>
      <c r="K2" s="199"/>
      <c r="L2" s="199"/>
      <c r="M2" s="199"/>
      <c r="N2" s="199"/>
    </row>
    <row r="3" spans="1:18" x14ac:dyDescent="0.25">
      <c r="B3" s="199"/>
      <c r="C3" s="106">
        <v>1</v>
      </c>
      <c r="D3" s="106">
        <v>2</v>
      </c>
      <c r="E3" s="106">
        <v>3</v>
      </c>
      <c r="F3" s="199"/>
      <c r="G3" s="199"/>
      <c r="I3" s="200" t="s">
        <v>48</v>
      </c>
      <c r="J3" s="187" t="s">
        <v>47</v>
      </c>
      <c r="K3" s="187"/>
      <c r="L3" s="187"/>
      <c r="M3" s="188" t="s">
        <v>14</v>
      </c>
      <c r="N3" s="188" t="s">
        <v>34</v>
      </c>
    </row>
    <row r="4" spans="1:18" x14ac:dyDescent="0.25">
      <c r="B4" s="105" t="s">
        <v>4</v>
      </c>
      <c r="C4" s="10">
        <v>39.54</v>
      </c>
      <c r="D4" s="10">
        <v>64.650000000000006</v>
      </c>
      <c r="E4" s="10">
        <v>62.1</v>
      </c>
      <c r="F4" s="124">
        <f>SUM(C4:E4)</f>
        <v>166.29</v>
      </c>
      <c r="G4" s="10">
        <f>AVERAGE(C4:E4)</f>
        <v>55.43</v>
      </c>
      <c r="I4" s="200"/>
      <c r="J4" s="104" t="s">
        <v>49</v>
      </c>
      <c r="K4" s="104" t="s">
        <v>50</v>
      </c>
      <c r="L4" s="104" t="s">
        <v>51</v>
      </c>
      <c r="M4" s="188"/>
      <c r="N4" s="188"/>
      <c r="P4" s="163"/>
      <c r="Q4" s="163"/>
      <c r="R4" s="163"/>
    </row>
    <row r="5" spans="1:18" x14ac:dyDescent="0.25">
      <c r="B5" s="105" t="s">
        <v>5</v>
      </c>
      <c r="C5" s="10">
        <v>70.341999999999999</v>
      </c>
      <c r="D5" s="10">
        <v>76.760999999999996</v>
      </c>
      <c r="E5" s="10">
        <v>87.944000000000003</v>
      </c>
      <c r="F5" s="124">
        <f>SUM(C5:E5)</f>
        <v>235.04700000000003</v>
      </c>
      <c r="G5" s="10">
        <f>AVERAGE(C5:E5)</f>
        <v>78.349000000000004</v>
      </c>
      <c r="I5" s="104" t="s">
        <v>52</v>
      </c>
      <c r="J5" s="53">
        <f>F4</f>
        <v>166.29</v>
      </c>
      <c r="K5" s="53">
        <f>F5</f>
        <v>235.04700000000003</v>
      </c>
      <c r="L5" s="53">
        <f>F6</f>
        <v>398.33799999999997</v>
      </c>
      <c r="M5" s="51">
        <f>SUM(J5:L5)</f>
        <v>799.67499999999995</v>
      </c>
      <c r="N5" s="13">
        <f>M5/9</f>
        <v>88.852777777777774</v>
      </c>
      <c r="P5" s="163"/>
      <c r="Q5" s="163"/>
      <c r="R5" s="163"/>
    </row>
    <row r="6" spans="1:18" x14ac:dyDescent="0.25">
      <c r="B6" s="105" t="s">
        <v>6</v>
      </c>
      <c r="C6" s="10">
        <v>133.03800000000001</v>
      </c>
      <c r="D6" s="10">
        <v>165.14</v>
      </c>
      <c r="E6" s="10">
        <v>100.16</v>
      </c>
      <c r="F6" s="124">
        <f t="shared" ref="F6:F12" si="0">SUM(C6:E6)</f>
        <v>398.33799999999997</v>
      </c>
      <c r="G6" s="10">
        <f t="shared" ref="G6:G12" si="1">AVERAGE(C6:E6)</f>
        <v>132.77933333333331</v>
      </c>
      <c r="I6" s="104" t="s">
        <v>53</v>
      </c>
      <c r="J6" s="53">
        <f>F7</f>
        <v>367.64499999999998</v>
      </c>
      <c r="K6" s="53">
        <f>F8</f>
        <v>418.84100000000001</v>
      </c>
      <c r="L6" s="53">
        <f>F9</f>
        <v>426.42899999999997</v>
      </c>
      <c r="M6" s="51">
        <f>SUM(J6:L6)</f>
        <v>1212.915</v>
      </c>
      <c r="N6" s="13">
        <f>M6/9</f>
        <v>134.76833333333332</v>
      </c>
    </row>
    <row r="7" spans="1:18" x14ac:dyDescent="0.25">
      <c r="B7" s="105" t="s">
        <v>7</v>
      </c>
      <c r="C7" s="10">
        <v>89.075999999999993</v>
      </c>
      <c r="D7" s="10">
        <v>137.65700000000001</v>
      </c>
      <c r="E7" s="10">
        <v>140.91200000000001</v>
      </c>
      <c r="F7" s="124">
        <f t="shared" si="0"/>
        <v>367.64499999999998</v>
      </c>
      <c r="G7" s="10">
        <f t="shared" si="1"/>
        <v>122.54833333333333</v>
      </c>
      <c r="I7" s="104" t="s">
        <v>54</v>
      </c>
      <c r="J7" s="53">
        <f>F10</f>
        <v>411.93699999999995</v>
      </c>
      <c r="K7" s="53">
        <f>F11</f>
        <v>414.88600000000002</v>
      </c>
      <c r="L7" s="53">
        <f>F12</f>
        <v>445.738</v>
      </c>
      <c r="M7" s="51">
        <f>SUM(J7:L7)</f>
        <v>1272.5609999999999</v>
      </c>
      <c r="N7" s="13">
        <f>M7/9</f>
        <v>141.39566666666667</v>
      </c>
    </row>
    <row r="8" spans="1:18" x14ac:dyDescent="0.25">
      <c r="B8" s="105" t="s">
        <v>8</v>
      </c>
      <c r="C8" s="10">
        <v>136.01499999999999</v>
      </c>
      <c r="D8" s="10">
        <v>143.94300000000001</v>
      </c>
      <c r="E8" s="10">
        <v>138.88300000000001</v>
      </c>
      <c r="F8" s="124">
        <f t="shared" si="0"/>
        <v>418.84100000000001</v>
      </c>
      <c r="G8" s="10">
        <f t="shared" si="1"/>
        <v>139.61366666666666</v>
      </c>
      <c r="I8" s="104" t="s">
        <v>14</v>
      </c>
      <c r="J8" s="51">
        <f>SUM(J5:J7)</f>
        <v>945.87199999999984</v>
      </c>
      <c r="K8" s="51">
        <f>SUM(K5:K7)</f>
        <v>1068.7740000000001</v>
      </c>
      <c r="L8" s="51">
        <f>SUM(L5:L7)</f>
        <v>1270.5049999999999</v>
      </c>
      <c r="M8" s="52">
        <f>SUM(M5:M7)</f>
        <v>3285.1509999999998</v>
      </c>
      <c r="N8" s="217"/>
    </row>
    <row r="9" spans="1:18" x14ac:dyDescent="0.25">
      <c r="A9" s="7"/>
      <c r="B9" s="105" t="s">
        <v>9</v>
      </c>
      <c r="C9" s="10">
        <v>126.705</v>
      </c>
      <c r="D9" s="10">
        <v>152.03299999999999</v>
      </c>
      <c r="E9" s="10">
        <v>147.691</v>
      </c>
      <c r="F9" s="124">
        <f t="shared" si="0"/>
        <v>426.42899999999997</v>
      </c>
      <c r="G9" s="10">
        <f t="shared" si="1"/>
        <v>142.143</v>
      </c>
      <c r="I9" s="104" t="s">
        <v>15</v>
      </c>
      <c r="J9" s="51">
        <f>J8/9</f>
        <v>105.09688888888887</v>
      </c>
      <c r="K9" s="51">
        <f>K8/9</f>
        <v>118.75266666666668</v>
      </c>
      <c r="L9" s="51">
        <f>L8/9</f>
        <v>141.16722222222222</v>
      </c>
      <c r="M9" s="68"/>
      <c r="N9" s="218"/>
    </row>
    <row r="10" spans="1:18" x14ac:dyDescent="0.25">
      <c r="B10" s="105" t="s">
        <v>10</v>
      </c>
      <c r="C10" s="10">
        <v>145.30799999999999</v>
      </c>
      <c r="D10" s="10">
        <v>130.328</v>
      </c>
      <c r="E10" s="10">
        <v>136.30099999999999</v>
      </c>
      <c r="F10" s="124">
        <f>SUM(C10:E10)</f>
        <v>411.93699999999995</v>
      </c>
      <c r="G10" s="10">
        <f t="shared" si="1"/>
        <v>137.31233333333333</v>
      </c>
    </row>
    <row r="11" spans="1:18" x14ac:dyDescent="0.25">
      <c r="B11" s="105" t="s">
        <v>11</v>
      </c>
      <c r="C11" s="10">
        <v>136.56800000000001</v>
      </c>
      <c r="D11" s="10">
        <v>145.00299999999999</v>
      </c>
      <c r="E11" s="10">
        <v>133.315</v>
      </c>
      <c r="F11" s="124">
        <f t="shared" si="0"/>
        <v>414.88600000000002</v>
      </c>
      <c r="G11" s="10">
        <f t="shared" si="1"/>
        <v>138.29533333333333</v>
      </c>
      <c r="I11" s="59" t="s">
        <v>55</v>
      </c>
      <c r="J11" s="69">
        <f>F13^2/(J14*J15*J13)</f>
        <v>399711.74417781481</v>
      </c>
    </row>
    <row r="12" spans="1:18" x14ac:dyDescent="0.25">
      <c r="B12" s="105" t="s">
        <v>12</v>
      </c>
      <c r="C12" s="10">
        <v>143.45099999999999</v>
      </c>
      <c r="D12" s="10">
        <v>156.97900000000001</v>
      </c>
      <c r="E12" s="10">
        <v>145.30799999999999</v>
      </c>
      <c r="F12" s="124">
        <f t="shared" si="0"/>
        <v>445.738</v>
      </c>
      <c r="G12" s="10">
        <f t="shared" si="1"/>
        <v>148.57933333333332</v>
      </c>
      <c r="I12" s="61" t="s">
        <v>56</v>
      </c>
      <c r="J12" s="2">
        <v>9</v>
      </c>
    </row>
    <row r="13" spans="1:18" x14ac:dyDescent="0.25">
      <c r="B13" s="107" t="s">
        <v>14</v>
      </c>
      <c r="C13" s="1">
        <f>SUM(C4:C12)</f>
        <v>1020.043</v>
      </c>
      <c r="D13" s="1">
        <f>SUM(D4:D12)</f>
        <v>1172.4939999999999</v>
      </c>
      <c r="E13" s="1">
        <f>SUM(E4:E12)</f>
        <v>1092.614</v>
      </c>
      <c r="F13" s="4">
        <f>SUM(F4:F12)</f>
        <v>3285.1509999999998</v>
      </c>
      <c r="G13" s="123"/>
      <c r="I13" s="61" t="s">
        <v>57</v>
      </c>
      <c r="J13" s="2">
        <v>3</v>
      </c>
    </row>
    <row r="14" spans="1:18" x14ac:dyDescent="0.25">
      <c r="I14" s="61" t="s">
        <v>58</v>
      </c>
      <c r="J14" s="2">
        <v>3</v>
      </c>
    </row>
    <row r="15" spans="1:18" x14ac:dyDescent="0.25">
      <c r="I15" s="61" t="s">
        <v>59</v>
      </c>
      <c r="J15" s="2">
        <v>3</v>
      </c>
    </row>
    <row r="17" spans="2:19" ht="15.75" x14ac:dyDescent="0.25">
      <c r="B17" s="234" t="s">
        <v>128</v>
      </c>
      <c r="C17" s="234"/>
      <c r="D17" s="234"/>
      <c r="E17" s="234"/>
      <c r="F17" s="234"/>
      <c r="G17" s="234"/>
      <c r="H17" s="234"/>
      <c r="I17" s="234"/>
      <c r="K17" s="62" t="s">
        <v>71</v>
      </c>
      <c r="L17" s="62" t="s">
        <v>72</v>
      </c>
      <c r="M17" s="62" t="s">
        <v>73</v>
      </c>
      <c r="P17" s="92" t="s">
        <v>90</v>
      </c>
      <c r="Q17" s="92" t="s">
        <v>74</v>
      </c>
      <c r="R17" s="92" t="s">
        <v>73</v>
      </c>
    </row>
    <row r="18" spans="2:19" ht="15.75" x14ac:dyDescent="0.25">
      <c r="B18" s="182" t="s">
        <v>61</v>
      </c>
      <c r="C18" s="182" t="s">
        <v>62</v>
      </c>
      <c r="D18" s="182" t="s">
        <v>63</v>
      </c>
      <c r="E18" s="182" t="s">
        <v>64</v>
      </c>
      <c r="F18" s="182" t="s">
        <v>87</v>
      </c>
      <c r="G18" s="188" t="s">
        <v>88</v>
      </c>
      <c r="H18" s="188"/>
      <c r="I18" s="213" t="s">
        <v>89</v>
      </c>
      <c r="K18" s="90">
        <f>SQRT(E25/J12)</f>
        <v>5.0955658629823617</v>
      </c>
      <c r="L18">
        <v>3.65</v>
      </c>
      <c r="M18" s="56">
        <f>K18*L18</f>
        <v>18.59881539988562</v>
      </c>
      <c r="P18" s="93">
        <f>SQRT(E25/3)</f>
        <v>8.8257789679990033</v>
      </c>
      <c r="Q18" s="94">
        <f>5.031</f>
        <v>5.0309999999999997</v>
      </c>
      <c r="R18" s="93">
        <f>P18*Q18</f>
        <v>44.402493988002981</v>
      </c>
    </row>
    <row r="19" spans="2:19" ht="15.75" x14ac:dyDescent="0.25">
      <c r="B19" s="183"/>
      <c r="C19" s="183"/>
      <c r="D19" s="183"/>
      <c r="E19" s="183"/>
      <c r="F19" s="183"/>
      <c r="G19" s="120">
        <v>0.05</v>
      </c>
      <c r="H19" s="119">
        <v>0.01</v>
      </c>
      <c r="I19" s="214"/>
      <c r="K19" s="58" t="s">
        <v>74</v>
      </c>
      <c r="L19" s="63">
        <f>M18</f>
        <v>18.59881539988562</v>
      </c>
      <c r="P19" s="95" t="s">
        <v>74</v>
      </c>
      <c r="Q19" s="96">
        <f>R18</f>
        <v>44.402493988002981</v>
      </c>
      <c r="R19" s="97"/>
    </row>
    <row r="20" spans="2:19" x14ac:dyDescent="0.25">
      <c r="B20" s="2" t="s">
        <v>68</v>
      </c>
      <c r="C20" s="1">
        <f>J13-1</f>
        <v>2</v>
      </c>
      <c r="D20" s="10">
        <f>(SUMSQ(C13:E13)/(J12))-J11</f>
        <v>1292.1730311851716</v>
      </c>
      <c r="E20" s="10">
        <f t="shared" ref="E20:E26" si="2">D20/C20</f>
        <v>646.08651559258578</v>
      </c>
      <c r="F20" s="89">
        <f>E20/E25</f>
        <v>2.7647975036100525</v>
      </c>
      <c r="G20" s="89">
        <f>FINV(G19,C20,C25)</f>
        <v>3.6337234675916301</v>
      </c>
      <c r="H20" s="89">
        <f>FINV(H19,C20,C25)</f>
        <v>6.2262352803113821</v>
      </c>
      <c r="I20" s="1" t="str">
        <f>IF(F20&lt;G20,"tn",IF(F20&lt;H20,"*","**"))</f>
        <v>tn</v>
      </c>
    </row>
    <row r="21" spans="2:19" x14ac:dyDescent="0.25">
      <c r="B21" s="2" t="s">
        <v>2</v>
      </c>
      <c r="C21" s="1">
        <f>(J14*J15)-1</f>
        <v>8</v>
      </c>
      <c r="D21" s="10">
        <f>(SUMSQ(F4:F12)/(J13))-J11</f>
        <v>25124.852325185202</v>
      </c>
      <c r="E21" s="10">
        <f t="shared" si="2"/>
        <v>3140.6065406481503</v>
      </c>
      <c r="F21" s="89">
        <f>E21/E25</f>
        <v>13.439595029221893</v>
      </c>
      <c r="G21" s="89">
        <f>FINV(G19,C21,C25)</f>
        <v>2.5910961798744014</v>
      </c>
      <c r="H21" s="89">
        <f>FINV(H19,C21,C25)</f>
        <v>3.8895721399261927</v>
      </c>
      <c r="I21" s="1" t="str">
        <f>IF(F21&lt;G21,"tn",IF(F21&lt;H21,"*","**"))</f>
        <v>**</v>
      </c>
      <c r="K21" s="65" t="s">
        <v>2</v>
      </c>
      <c r="L21" s="65" t="s">
        <v>75</v>
      </c>
      <c r="M21" s="65" t="s">
        <v>76</v>
      </c>
      <c r="P21" s="101" t="s">
        <v>2</v>
      </c>
      <c r="Q21" s="101" t="s">
        <v>75</v>
      </c>
      <c r="R21" s="101" t="s">
        <v>91</v>
      </c>
    </row>
    <row r="22" spans="2:19" x14ac:dyDescent="0.25">
      <c r="B22" s="2" t="s">
        <v>58</v>
      </c>
      <c r="C22" s="1">
        <f>J14-1</f>
        <v>2</v>
      </c>
      <c r="D22" s="10">
        <f>(SUMSQ(M5:M7)/(J12))-J11</f>
        <v>14738.744885629567</v>
      </c>
      <c r="E22" s="10">
        <f>D22/C22</f>
        <v>7369.3724428147834</v>
      </c>
      <c r="F22" s="89">
        <f>E22/E25</f>
        <v>31.53574953406881</v>
      </c>
      <c r="G22" s="89">
        <f>FINV(G19,C22,C25)</f>
        <v>3.6337234675916301</v>
      </c>
      <c r="H22" s="89">
        <f>FINV(H19,C22,C25)</f>
        <v>6.2262352803113821</v>
      </c>
      <c r="I22" s="1" t="str">
        <f>IF(F22&lt;G22,"tn",IF(F22&lt;H22,"*","**"))</f>
        <v>**</v>
      </c>
      <c r="K22" s="65" t="s">
        <v>52</v>
      </c>
      <c r="L22" s="66">
        <f>N5</f>
        <v>88.852777777777774</v>
      </c>
      <c r="M22" s="134" t="s">
        <v>102</v>
      </c>
      <c r="N22" s="56">
        <f>L22+L$25</f>
        <v>107.4515931776634</v>
      </c>
      <c r="P22" s="138" t="s">
        <v>4</v>
      </c>
      <c r="Q22" s="10">
        <f>G4</f>
        <v>55.43</v>
      </c>
      <c r="R22" s="139" t="s">
        <v>102</v>
      </c>
      <c r="S22" s="56">
        <f>Q22+Q$31</f>
        <v>99.83249398800298</v>
      </c>
    </row>
    <row r="23" spans="2:19" x14ac:dyDescent="0.25">
      <c r="B23" s="2" t="s">
        <v>59</v>
      </c>
      <c r="C23" s="1">
        <f>J15-1</f>
        <v>2</v>
      </c>
      <c r="D23" s="10">
        <f>(SUMSQ(J8:L8)/(J12))-J11</f>
        <v>5969.884542740765</v>
      </c>
      <c r="E23" s="10">
        <f t="shared" si="2"/>
        <v>2984.9422713703825</v>
      </c>
      <c r="F23" s="89">
        <f>E23/E25</f>
        <v>12.773461047605339</v>
      </c>
      <c r="G23" s="89">
        <f>FINV(G19,C23,C25)</f>
        <v>3.6337234675916301</v>
      </c>
      <c r="H23" s="89">
        <f>FINV(H19,C23,C25)</f>
        <v>6.2262352803113821</v>
      </c>
      <c r="I23" s="1" t="str">
        <f>IF(F23&lt;G23,"tn",IF(F23&lt;H23,"*","**"))</f>
        <v>**</v>
      </c>
      <c r="K23" s="65" t="s">
        <v>53</v>
      </c>
      <c r="L23" s="66">
        <f>N6</f>
        <v>134.76833333333332</v>
      </c>
      <c r="M23" s="134" t="s">
        <v>103</v>
      </c>
      <c r="N23" s="56">
        <f>L23+L$25</f>
        <v>153.36714873321893</v>
      </c>
      <c r="P23" s="138" t="s">
        <v>5</v>
      </c>
      <c r="Q23" s="10">
        <f>G5</f>
        <v>78.349000000000004</v>
      </c>
      <c r="R23" s="162" t="s">
        <v>130</v>
      </c>
      <c r="S23" s="56">
        <f t="shared" ref="S23:S30" si="3">Q23+Q$31</f>
        <v>122.75149398800298</v>
      </c>
    </row>
    <row r="24" spans="2:19" x14ac:dyDescent="0.25">
      <c r="B24" s="140" t="s">
        <v>69</v>
      </c>
      <c r="C24" s="4">
        <f>C22*C23</f>
        <v>4</v>
      </c>
      <c r="D24" s="141">
        <f>D21-D22-D23</f>
        <v>4416.2228968148702</v>
      </c>
      <c r="E24" s="141">
        <f t="shared" si="2"/>
        <v>1104.0557242037175</v>
      </c>
      <c r="F24" s="142">
        <f>E24/E25</f>
        <v>4.7245847676067116</v>
      </c>
      <c r="G24" s="142">
        <f>FINV(G19,C24,C25)</f>
        <v>3.0069172799243447</v>
      </c>
      <c r="H24" s="142">
        <f>FINV(H19,C24,C25)</f>
        <v>4.772577999723211</v>
      </c>
      <c r="I24" s="4" t="str">
        <f>IF(F24&lt;G24,"tn",IF(F24&lt;H24,"*","**"))</f>
        <v>*</v>
      </c>
      <c r="K24" s="65" t="s">
        <v>54</v>
      </c>
      <c r="L24" s="66">
        <f>N7</f>
        <v>141.39566666666667</v>
      </c>
      <c r="M24" s="134" t="s">
        <v>103</v>
      </c>
      <c r="N24" s="56">
        <f>L24+L$25</f>
        <v>159.99448206655228</v>
      </c>
      <c r="P24" s="138" t="s">
        <v>6</v>
      </c>
      <c r="Q24" s="10">
        <f t="shared" ref="Q24:Q30" si="4">G6</f>
        <v>132.77933333333331</v>
      </c>
      <c r="R24" s="162" t="s">
        <v>133</v>
      </c>
      <c r="S24" s="56">
        <f>Q24+Q$31</f>
        <v>177.1818273213363</v>
      </c>
    </row>
    <row r="25" spans="2:19" x14ac:dyDescent="0.25">
      <c r="B25" s="2" t="s">
        <v>70</v>
      </c>
      <c r="C25" s="1">
        <f>C26-C20-C21</f>
        <v>16</v>
      </c>
      <c r="D25" s="10">
        <f>D26-D20-D21</f>
        <v>3738.92997081473</v>
      </c>
      <c r="E25" s="10">
        <f t="shared" si="2"/>
        <v>233.68312317592063</v>
      </c>
      <c r="F25" s="228"/>
      <c r="G25" s="229"/>
      <c r="H25" s="229"/>
      <c r="I25" s="230"/>
      <c r="K25" s="67" t="s">
        <v>74</v>
      </c>
      <c r="L25" s="204">
        <f>L19</f>
        <v>18.59881539988562</v>
      </c>
      <c r="M25" s="204"/>
      <c r="P25" s="138" t="s">
        <v>7</v>
      </c>
      <c r="Q25" s="10">
        <f t="shared" si="4"/>
        <v>122.54833333333333</v>
      </c>
      <c r="R25" s="162" t="s">
        <v>131</v>
      </c>
      <c r="S25" s="56">
        <f t="shared" si="3"/>
        <v>166.95082732133631</v>
      </c>
    </row>
    <row r="26" spans="2:19" x14ac:dyDescent="0.25">
      <c r="B26" s="12" t="s">
        <v>3</v>
      </c>
      <c r="C26" s="1">
        <f>(J14*J15*J13)-1</f>
        <v>26</v>
      </c>
      <c r="D26" s="10">
        <f>SUMSQ(C4:E12)-J11</f>
        <v>30155.955327185104</v>
      </c>
      <c r="E26" s="10">
        <f t="shared" si="2"/>
        <v>1159.8444356609655</v>
      </c>
      <c r="F26" s="231"/>
      <c r="G26" s="232"/>
      <c r="H26" s="232"/>
      <c r="I26" s="233"/>
      <c r="K26" s="65" t="s">
        <v>77</v>
      </c>
      <c r="L26" s="66">
        <f>J9</f>
        <v>105.09688888888887</v>
      </c>
      <c r="M26" s="134" t="s">
        <v>103</v>
      </c>
      <c r="N26" s="56">
        <f>L26+L$25</f>
        <v>123.69570428877449</v>
      </c>
      <c r="P26" s="138" t="s">
        <v>8</v>
      </c>
      <c r="Q26" s="10">
        <f t="shared" si="4"/>
        <v>139.61366666666666</v>
      </c>
      <c r="R26" s="162" t="s">
        <v>133</v>
      </c>
      <c r="S26" s="56">
        <f t="shared" si="3"/>
        <v>184.01616065466965</v>
      </c>
    </row>
    <row r="27" spans="2:19" x14ac:dyDescent="0.25">
      <c r="K27" s="65" t="s">
        <v>50</v>
      </c>
      <c r="L27" s="66">
        <f>K9</f>
        <v>118.75266666666668</v>
      </c>
      <c r="M27" s="134" t="s">
        <v>102</v>
      </c>
      <c r="N27" s="56">
        <f>L27+L$25</f>
        <v>137.35148206655231</v>
      </c>
      <c r="P27" s="138" t="s">
        <v>9</v>
      </c>
      <c r="Q27" s="10">
        <f t="shared" si="4"/>
        <v>142.143</v>
      </c>
      <c r="R27" s="162" t="s">
        <v>133</v>
      </c>
      <c r="S27" s="56">
        <f t="shared" si="3"/>
        <v>186.54549398800299</v>
      </c>
    </row>
    <row r="28" spans="2:19" x14ac:dyDescent="0.25">
      <c r="K28" s="65" t="s">
        <v>51</v>
      </c>
      <c r="L28" s="66">
        <f>L9</f>
        <v>141.16722222222222</v>
      </c>
      <c r="M28" s="134" t="s">
        <v>102</v>
      </c>
      <c r="N28" s="56">
        <f>L28+L$25</f>
        <v>159.76603762210783</v>
      </c>
      <c r="P28" s="138" t="s">
        <v>10</v>
      </c>
      <c r="Q28" s="10">
        <f t="shared" si="4"/>
        <v>137.31233333333333</v>
      </c>
      <c r="R28" s="162" t="s">
        <v>133</v>
      </c>
      <c r="S28" s="56">
        <f t="shared" si="3"/>
        <v>181.71482732133632</v>
      </c>
    </row>
    <row r="29" spans="2:19" x14ac:dyDescent="0.25">
      <c r="K29" s="67" t="s">
        <v>74</v>
      </c>
      <c r="L29" s="204">
        <f>L19</f>
        <v>18.59881539988562</v>
      </c>
      <c r="M29" s="204"/>
      <c r="P29" s="138" t="s">
        <v>11</v>
      </c>
      <c r="Q29" s="10">
        <f t="shared" si="4"/>
        <v>138.29533333333333</v>
      </c>
      <c r="R29" s="162" t="s">
        <v>133</v>
      </c>
      <c r="S29" s="56">
        <f t="shared" si="3"/>
        <v>182.69782732133632</v>
      </c>
    </row>
    <row r="30" spans="2:19" x14ac:dyDescent="0.25">
      <c r="P30" s="138" t="s">
        <v>12</v>
      </c>
      <c r="Q30" s="10">
        <f t="shared" si="4"/>
        <v>148.57933333333332</v>
      </c>
      <c r="R30" s="162" t="s">
        <v>133</v>
      </c>
      <c r="S30" s="56">
        <f t="shared" si="3"/>
        <v>192.98182732133631</v>
      </c>
    </row>
    <row r="31" spans="2:19" ht="15.75" x14ac:dyDescent="0.25">
      <c r="P31" s="95" t="s">
        <v>74</v>
      </c>
      <c r="Q31" s="96">
        <f>Q19</f>
        <v>44.402493988002981</v>
      </c>
    </row>
  </sheetData>
  <mergeCells count="21">
    <mergeCell ref="L25:M25"/>
    <mergeCell ref="L29:M29"/>
    <mergeCell ref="F25:I26"/>
    <mergeCell ref="B17:I17"/>
    <mergeCell ref="B18:B19"/>
    <mergeCell ref="C18:C19"/>
    <mergeCell ref="D18:D19"/>
    <mergeCell ref="E18:E19"/>
    <mergeCell ref="F18:F19"/>
    <mergeCell ref="G18:H18"/>
    <mergeCell ref="I18:I19"/>
    <mergeCell ref="N8:N9"/>
    <mergeCell ref="B2:B3"/>
    <mergeCell ref="C2:E2"/>
    <mergeCell ref="F2:F3"/>
    <mergeCell ref="G2:G3"/>
    <mergeCell ref="I2:N2"/>
    <mergeCell ref="I3:I4"/>
    <mergeCell ref="J3:L3"/>
    <mergeCell ref="M3:M4"/>
    <mergeCell ref="N3:N4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34"/>
  <sheetViews>
    <sheetView topLeftCell="A12" zoomScale="90" zoomScaleNormal="90" workbookViewId="0">
      <selection activeCell="F34" sqref="F34:V34"/>
    </sheetView>
  </sheetViews>
  <sheetFormatPr defaultRowHeight="15" x14ac:dyDescent="0.25"/>
  <cols>
    <col min="2" max="2" width="19.42578125" customWidth="1"/>
    <col min="16" max="16" width="13.85546875" customWidth="1"/>
    <col min="18" max="18" width="10.5703125" customWidth="1"/>
  </cols>
  <sheetData>
    <row r="1" spans="2:18" x14ac:dyDescent="0.25">
      <c r="P1" s="239" t="s">
        <v>154</v>
      </c>
      <c r="Q1" s="239"/>
      <c r="R1" s="239"/>
    </row>
    <row r="2" spans="2:18" ht="15.75" x14ac:dyDescent="0.25">
      <c r="B2" s="240" t="s">
        <v>137</v>
      </c>
      <c r="C2" s="241" t="s">
        <v>138</v>
      </c>
      <c r="D2" s="241"/>
      <c r="E2" s="241"/>
      <c r="F2" s="241"/>
      <c r="G2" s="241"/>
      <c r="H2" s="241"/>
      <c r="I2" s="241"/>
      <c r="J2" s="241"/>
      <c r="K2" s="241"/>
      <c r="L2" s="242" t="s">
        <v>139</v>
      </c>
      <c r="M2" s="242" t="s">
        <v>140</v>
      </c>
      <c r="N2" s="240" t="s">
        <v>141</v>
      </c>
      <c r="P2" t="s">
        <v>151</v>
      </c>
      <c r="R2" t="s">
        <v>152</v>
      </c>
    </row>
    <row r="3" spans="2:18" ht="15.75" x14ac:dyDescent="0.25">
      <c r="B3" s="240"/>
      <c r="C3" s="144" t="s">
        <v>4</v>
      </c>
      <c r="D3" s="144" t="s">
        <v>5</v>
      </c>
      <c r="E3" s="144" t="s">
        <v>6</v>
      </c>
      <c r="F3" s="144" t="s">
        <v>7</v>
      </c>
      <c r="G3" s="144" t="s">
        <v>8</v>
      </c>
      <c r="H3" s="144" t="s">
        <v>9</v>
      </c>
      <c r="I3" s="144" t="s">
        <v>10</v>
      </c>
      <c r="J3" s="144" t="s">
        <v>11</v>
      </c>
      <c r="K3" s="144" t="s">
        <v>12</v>
      </c>
      <c r="L3" s="242"/>
      <c r="M3" s="242"/>
      <c r="N3" s="240"/>
      <c r="P3" t="s">
        <v>181</v>
      </c>
    </row>
    <row r="4" spans="2:18" ht="15.75" x14ac:dyDescent="0.25">
      <c r="B4" s="145" t="s">
        <v>142</v>
      </c>
      <c r="C4" s="146">
        <v>32.21</v>
      </c>
      <c r="D4" s="146">
        <v>32.83</v>
      </c>
      <c r="E4" s="146">
        <v>34.72</v>
      </c>
      <c r="F4" s="146">
        <v>37.33</v>
      </c>
      <c r="G4" s="146">
        <v>37.090000000000003</v>
      </c>
      <c r="H4" s="146">
        <v>37.19</v>
      </c>
      <c r="I4" s="146">
        <v>38.549999999999997</v>
      </c>
      <c r="J4" s="146">
        <v>38.630000000000003</v>
      </c>
      <c r="K4" s="146">
        <v>39.31</v>
      </c>
      <c r="L4" s="178">
        <f>C4</f>
        <v>32.21</v>
      </c>
      <c r="M4" s="178">
        <f>K4</f>
        <v>39.31</v>
      </c>
      <c r="N4" s="178">
        <f>(L4-M4)</f>
        <v>-7.1000000000000014</v>
      </c>
      <c r="P4" t="s">
        <v>182</v>
      </c>
      <c r="R4" t="s">
        <v>180</v>
      </c>
    </row>
    <row r="5" spans="2:18" ht="15.75" x14ac:dyDescent="0.25">
      <c r="B5" s="145" t="s">
        <v>24</v>
      </c>
      <c r="C5" s="146">
        <v>0.32</v>
      </c>
      <c r="D5" s="146">
        <v>0.32</v>
      </c>
      <c r="E5" s="146">
        <v>0.31</v>
      </c>
      <c r="F5" s="146">
        <v>0.34</v>
      </c>
      <c r="G5" s="146">
        <v>0.34</v>
      </c>
      <c r="H5" s="146">
        <v>0.32</v>
      </c>
      <c r="I5" s="146">
        <v>0.35</v>
      </c>
      <c r="J5" s="146">
        <v>0.35</v>
      </c>
      <c r="K5" s="146">
        <v>0.36</v>
      </c>
      <c r="L5" s="178">
        <f>K5</f>
        <v>0.36</v>
      </c>
      <c r="M5" s="178">
        <f>E5</f>
        <v>0.31</v>
      </c>
      <c r="N5" s="178">
        <f>(L5-M5)</f>
        <v>4.9999999999999989E-2</v>
      </c>
      <c r="P5" t="s">
        <v>183</v>
      </c>
      <c r="R5" t="s">
        <v>179</v>
      </c>
    </row>
    <row r="6" spans="2:18" ht="15.75" x14ac:dyDescent="0.25">
      <c r="B6" s="145" t="s">
        <v>144</v>
      </c>
      <c r="C6" s="146">
        <v>55.43</v>
      </c>
      <c r="D6" s="146">
        <v>78.349999999999994</v>
      </c>
      <c r="E6" s="146">
        <v>132.78</v>
      </c>
      <c r="F6" s="146">
        <v>122.55</v>
      </c>
      <c r="G6" s="146">
        <v>139.61000000000001</v>
      </c>
      <c r="H6" s="146">
        <v>142.13999999999999</v>
      </c>
      <c r="I6" s="146">
        <v>137.31</v>
      </c>
      <c r="J6" s="146">
        <v>138.30000000000001</v>
      </c>
      <c r="K6" s="146">
        <v>148.58000000000001</v>
      </c>
      <c r="L6" s="178">
        <v>55.43</v>
      </c>
      <c r="M6" s="178">
        <f>K6</f>
        <v>148.58000000000001</v>
      </c>
      <c r="N6" s="178">
        <f>(L6-M6)</f>
        <v>-93.15</v>
      </c>
      <c r="P6" t="s">
        <v>184</v>
      </c>
      <c r="R6" t="s">
        <v>164</v>
      </c>
    </row>
    <row r="7" spans="2:18" ht="15.75" x14ac:dyDescent="0.25">
      <c r="B7" s="145" t="s">
        <v>164</v>
      </c>
      <c r="C7" s="146">
        <v>4.2</v>
      </c>
      <c r="D7" s="146">
        <v>3.8</v>
      </c>
      <c r="E7" s="146">
        <v>3.6</v>
      </c>
      <c r="F7" s="146">
        <v>4.3</v>
      </c>
      <c r="G7" s="146">
        <v>3.9</v>
      </c>
      <c r="H7" s="146">
        <v>3.7</v>
      </c>
      <c r="I7" s="146">
        <v>4.4000000000000004</v>
      </c>
      <c r="J7" s="146">
        <v>4</v>
      </c>
      <c r="K7" s="146">
        <v>3.8</v>
      </c>
      <c r="L7" s="178">
        <f>I7</f>
        <v>4.4000000000000004</v>
      </c>
      <c r="M7" s="178">
        <f>E7</f>
        <v>3.6</v>
      </c>
      <c r="N7" s="178">
        <f t="shared" ref="N7:N15" si="0">(L7-M7)</f>
        <v>0.80000000000000027</v>
      </c>
      <c r="P7" t="s">
        <v>185</v>
      </c>
    </row>
    <row r="8" spans="2:18" ht="15.75" x14ac:dyDescent="0.25">
      <c r="B8" s="145" t="s">
        <v>143</v>
      </c>
      <c r="C8" s="146">
        <v>8.2100000000000009</v>
      </c>
      <c r="D8" s="146">
        <v>7.79</v>
      </c>
      <c r="E8" s="146">
        <v>7.78</v>
      </c>
      <c r="F8" s="146">
        <v>9.56</v>
      </c>
      <c r="G8" s="146">
        <v>8.24</v>
      </c>
      <c r="H8" s="146">
        <v>7.84</v>
      </c>
      <c r="I8" s="146">
        <v>11.7</v>
      </c>
      <c r="J8" s="146">
        <v>10.44</v>
      </c>
      <c r="K8" s="146">
        <v>10.35</v>
      </c>
      <c r="L8" s="178">
        <f>I8</f>
        <v>11.7</v>
      </c>
      <c r="M8" s="178">
        <f>E8</f>
        <v>7.78</v>
      </c>
      <c r="N8" s="178">
        <f t="shared" si="0"/>
        <v>3.919999999999999</v>
      </c>
      <c r="P8" t="s">
        <v>186</v>
      </c>
    </row>
    <row r="9" spans="2:18" ht="15.75" x14ac:dyDescent="0.25">
      <c r="B9" s="145" t="s">
        <v>145</v>
      </c>
      <c r="C9" s="146">
        <v>29</v>
      </c>
      <c r="D9" s="146">
        <v>29.45</v>
      </c>
      <c r="E9" s="146">
        <v>29.43</v>
      </c>
      <c r="F9" s="146">
        <v>29.2</v>
      </c>
      <c r="G9" s="146">
        <v>28.79</v>
      </c>
      <c r="H9" s="146">
        <v>28.55</v>
      </c>
      <c r="I9" s="146">
        <v>28.19</v>
      </c>
      <c r="J9" s="146">
        <v>28.35</v>
      </c>
      <c r="K9" s="146">
        <v>28.35</v>
      </c>
      <c r="L9" s="178">
        <v>29.45</v>
      </c>
      <c r="M9" s="178">
        <v>28.19</v>
      </c>
      <c r="N9" s="178">
        <f t="shared" si="0"/>
        <v>1.259999999999998</v>
      </c>
      <c r="P9" t="s">
        <v>187</v>
      </c>
    </row>
    <row r="10" spans="2:18" ht="15.75" x14ac:dyDescent="0.25">
      <c r="B10" s="145" t="s">
        <v>146</v>
      </c>
      <c r="C10" s="146">
        <v>2.48</v>
      </c>
      <c r="D10" s="146">
        <v>2.85</v>
      </c>
      <c r="E10" s="146">
        <v>2.5</v>
      </c>
      <c r="F10" s="146">
        <v>2.5499999999999998</v>
      </c>
      <c r="G10" s="146">
        <v>1.97</v>
      </c>
      <c r="H10" s="146">
        <v>1.96</v>
      </c>
      <c r="I10" s="146">
        <v>1.44</v>
      </c>
      <c r="J10" s="146">
        <v>1.56</v>
      </c>
      <c r="K10" s="146">
        <v>1.58</v>
      </c>
      <c r="L10" s="178">
        <v>2.85</v>
      </c>
      <c r="M10" s="178">
        <v>1.44</v>
      </c>
      <c r="N10" s="178">
        <f t="shared" si="0"/>
        <v>1.4100000000000001</v>
      </c>
      <c r="P10" t="s">
        <v>188</v>
      </c>
    </row>
    <row r="11" spans="2:18" ht="15.75" x14ac:dyDescent="0.25">
      <c r="B11" s="145" t="s">
        <v>147</v>
      </c>
      <c r="C11" s="146">
        <v>8.8699999999999992</v>
      </c>
      <c r="D11" s="146">
        <v>9.44</v>
      </c>
      <c r="E11" s="146">
        <v>10.37</v>
      </c>
      <c r="F11" s="146">
        <v>8.57</v>
      </c>
      <c r="G11" s="146">
        <v>8.6</v>
      </c>
      <c r="H11" s="146">
        <v>8.6999999999999993</v>
      </c>
      <c r="I11" s="146">
        <v>7.43</v>
      </c>
      <c r="J11" s="146">
        <v>7.65</v>
      </c>
      <c r="K11" s="146">
        <v>7.7</v>
      </c>
      <c r="L11" s="178">
        <v>10.37</v>
      </c>
      <c r="M11" s="178">
        <v>7.43</v>
      </c>
      <c r="N11" s="178">
        <f t="shared" si="0"/>
        <v>2.9399999999999995</v>
      </c>
      <c r="P11" t="s">
        <v>153</v>
      </c>
    </row>
    <row r="12" spans="2:18" ht="15.75" x14ac:dyDescent="0.25">
      <c r="B12" s="145" t="s">
        <v>149</v>
      </c>
      <c r="C12" s="146">
        <v>3.25</v>
      </c>
      <c r="D12" s="146">
        <v>3.05</v>
      </c>
      <c r="E12" s="146">
        <v>3.4</v>
      </c>
      <c r="F12" s="146">
        <v>3.05</v>
      </c>
      <c r="G12" s="146">
        <v>3.15</v>
      </c>
      <c r="H12" s="146">
        <v>3.6</v>
      </c>
      <c r="I12" s="146">
        <v>3.3</v>
      </c>
      <c r="J12" s="146">
        <v>3.15</v>
      </c>
      <c r="K12" s="146">
        <v>3.4</v>
      </c>
      <c r="L12" s="178">
        <v>3.4</v>
      </c>
      <c r="M12" s="178">
        <v>3.05</v>
      </c>
      <c r="N12" s="178">
        <f t="shared" si="0"/>
        <v>0.35000000000000009</v>
      </c>
    </row>
    <row r="13" spans="2:18" ht="15.75" x14ac:dyDescent="0.25">
      <c r="B13" s="145" t="s">
        <v>148</v>
      </c>
      <c r="C13" s="146">
        <v>3.6</v>
      </c>
      <c r="D13" s="146">
        <v>3.2</v>
      </c>
      <c r="E13" s="146">
        <v>3.5</v>
      </c>
      <c r="F13" s="146">
        <v>3.6</v>
      </c>
      <c r="G13" s="146">
        <v>3.8</v>
      </c>
      <c r="H13" s="146">
        <v>3.7</v>
      </c>
      <c r="I13" s="146">
        <v>3.25</v>
      </c>
      <c r="J13" s="146">
        <v>3.1</v>
      </c>
      <c r="K13" s="146">
        <v>3.7</v>
      </c>
      <c r="L13" s="178">
        <v>3.8</v>
      </c>
      <c r="M13" s="178">
        <v>3.1</v>
      </c>
      <c r="N13" s="178">
        <f t="shared" si="0"/>
        <v>0.69999999999999973</v>
      </c>
    </row>
    <row r="14" spans="2:18" ht="15.75" x14ac:dyDescent="0.25">
      <c r="B14" s="145" t="s">
        <v>31</v>
      </c>
      <c r="C14" s="146">
        <v>3.35</v>
      </c>
      <c r="D14" s="146">
        <v>2.65</v>
      </c>
      <c r="E14" s="146">
        <v>2.95</v>
      </c>
      <c r="F14" s="146">
        <v>3.55</v>
      </c>
      <c r="G14" s="146">
        <v>2.9</v>
      </c>
      <c r="H14" s="146">
        <v>3.1</v>
      </c>
      <c r="I14" s="146">
        <v>3.75</v>
      </c>
      <c r="J14" s="146">
        <v>3.75</v>
      </c>
      <c r="K14" s="146">
        <v>3.95</v>
      </c>
      <c r="L14" s="178">
        <v>3.95</v>
      </c>
      <c r="M14" s="178">
        <v>2.65</v>
      </c>
      <c r="N14" s="178">
        <f t="shared" si="0"/>
        <v>1.3000000000000003</v>
      </c>
    </row>
    <row r="15" spans="2:18" ht="15.75" x14ac:dyDescent="0.25">
      <c r="B15" s="145" t="s">
        <v>150</v>
      </c>
      <c r="C15" s="146">
        <v>3.3</v>
      </c>
      <c r="D15" s="146">
        <v>3.55</v>
      </c>
      <c r="E15" s="146">
        <v>3.45</v>
      </c>
      <c r="F15" s="146">
        <v>3.7</v>
      </c>
      <c r="G15" s="146">
        <v>3.5</v>
      </c>
      <c r="H15" s="146">
        <v>3.6</v>
      </c>
      <c r="I15" s="146">
        <v>3.55</v>
      </c>
      <c r="J15" s="146">
        <v>3.95</v>
      </c>
      <c r="K15" s="146">
        <v>3.75</v>
      </c>
      <c r="L15" s="178">
        <v>3.95</v>
      </c>
      <c r="M15" s="178">
        <v>3.3</v>
      </c>
      <c r="N15" s="178">
        <f t="shared" si="0"/>
        <v>0.65000000000000036</v>
      </c>
    </row>
    <row r="19" spans="2:22" ht="15.75" x14ac:dyDescent="0.25">
      <c r="B19" s="240" t="s">
        <v>137</v>
      </c>
      <c r="C19" s="243" t="s">
        <v>166</v>
      </c>
      <c r="D19" s="243" t="s">
        <v>167</v>
      </c>
      <c r="E19" s="241" t="s">
        <v>4</v>
      </c>
      <c r="F19" s="241"/>
      <c r="G19" s="241" t="s">
        <v>5</v>
      </c>
      <c r="H19" s="241"/>
      <c r="I19" s="241" t="s">
        <v>6</v>
      </c>
      <c r="J19" s="241"/>
      <c r="K19" s="241" t="s">
        <v>7</v>
      </c>
      <c r="L19" s="241"/>
      <c r="M19" s="241" t="s">
        <v>8</v>
      </c>
      <c r="N19" s="241"/>
      <c r="O19" s="241" t="s">
        <v>9</v>
      </c>
      <c r="P19" s="241"/>
      <c r="Q19" s="241" t="s">
        <v>10</v>
      </c>
      <c r="R19" s="241"/>
      <c r="S19" s="241" t="s">
        <v>11</v>
      </c>
      <c r="T19" s="241"/>
      <c r="U19" s="241" t="s">
        <v>12</v>
      </c>
      <c r="V19" s="241"/>
    </row>
    <row r="20" spans="2:22" x14ac:dyDescent="0.25">
      <c r="B20" s="240"/>
      <c r="C20" s="243"/>
      <c r="D20" s="243"/>
      <c r="E20" s="242" t="s">
        <v>168</v>
      </c>
      <c r="F20" s="242" t="s">
        <v>169</v>
      </c>
      <c r="G20" s="242" t="s">
        <v>168</v>
      </c>
      <c r="H20" s="242" t="s">
        <v>169</v>
      </c>
      <c r="I20" s="242" t="s">
        <v>168</v>
      </c>
      <c r="J20" s="242" t="s">
        <v>169</v>
      </c>
      <c r="K20" s="242" t="s">
        <v>168</v>
      </c>
      <c r="L20" s="242" t="s">
        <v>169</v>
      </c>
      <c r="M20" s="242" t="s">
        <v>168</v>
      </c>
      <c r="N20" s="242" t="s">
        <v>169</v>
      </c>
      <c r="O20" s="242" t="s">
        <v>168</v>
      </c>
      <c r="P20" s="242" t="s">
        <v>169</v>
      </c>
      <c r="Q20" s="242" t="s">
        <v>168</v>
      </c>
      <c r="R20" s="242" t="s">
        <v>169</v>
      </c>
      <c r="S20" s="242" t="s">
        <v>168</v>
      </c>
      <c r="T20" s="242" t="s">
        <v>169</v>
      </c>
      <c r="U20" s="242" t="s">
        <v>168</v>
      </c>
      <c r="V20" s="242" t="s">
        <v>169</v>
      </c>
    </row>
    <row r="21" spans="2:22" x14ac:dyDescent="0.25">
      <c r="B21" s="240"/>
      <c r="C21" s="243"/>
      <c r="D21" s="243"/>
      <c r="E21" s="242"/>
      <c r="F21" s="242"/>
      <c r="G21" s="242"/>
      <c r="H21" s="242"/>
      <c r="I21" s="242"/>
      <c r="J21" s="242"/>
      <c r="K21" s="242"/>
      <c r="L21" s="242"/>
      <c r="M21" s="242"/>
      <c r="N21" s="242"/>
      <c r="O21" s="242"/>
      <c r="P21" s="242"/>
      <c r="Q21" s="242"/>
      <c r="R21" s="242"/>
      <c r="S21" s="242"/>
      <c r="T21" s="242"/>
      <c r="U21" s="242"/>
      <c r="V21" s="242"/>
    </row>
    <row r="22" spans="2:22" ht="15.75" x14ac:dyDescent="0.25">
      <c r="B22" s="145" t="s">
        <v>142</v>
      </c>
      <c r="C22" s="164">
        <v>0.8</v>
      </c>
      <c r="D22" s="146">
        <f>(C22/C$34)</f>
        <v>7.407407407407407E-2</v>
      </c>
      <c r="E22" s="146">
        <f>(C4-M4)/N4</f>
        <v>1</v>
      </c>
      <c r="F22" s="146">
        <f>(E22*D22)</f>
        <v>7.407407407407407E-2</v>
      </c>
      <c r="G22" s="146">
        <f>(D4-M4)/N4</f>
        <v>0.91267605633802851</v>
      </c>
      <c r="H22" s="146">
        <f>(G22*D22)</f>
        <v>6.7605633802816922E-2</v>
      </c>
      <c r="I22" s="146">
        <f>(E4-M4)/N4</f>
        <v>0.64647887323943698</v>
      </c>
      <c r="J22" s="146">
        <f>(I22*D22)</f>
        <v>4.7887323943661998E-2</v>
      </c>
      <c r="K22" s="146">
        <f>(F4-M4)/N4</f>
        <v>0.27887323943662023</v>
      </c>
      <c r="L22" s="146">
        <f>(K22*D22)</f>
        <v>2.0657276995305202E-2</v>
      </c>
      <c r="M22" s="146">
        <f>(G4-M4)/N4</f>
        <v>0.31267605633802792</v>
      </c>
      <c r="N22" s="146">
        <f>(M22*D22)</f>
        <v>2.3161189358372438E-2</v>
      </c>
      <c r="O22" s="146">
        <f>(H4-M4)/N4</f>
        <v>0.29859154929577525</v>
      </c>
      <c r="P22" s="146">
        <f>(O22*D22)</f>
        <v>2.2117892540427796E-2</v>
      </c>
      <c r="Q22" s="146">
        <f>(I4-M4)/N4</f>
        <v>0.10704225352112746</v>
      </c>
      <c r="R22" s="146">
        <f>(Q22*D22)</f>
        <v>7.9290558163798118E-3</v>
      </c>
      <c r="S22" s="146">
        <f>(J4-M4)/N4</f>
        <v>9.5774647887323885E-2</v>
      </c>
      <c r="T22" s="146">
        <f>(S22*D22)</f>
        <v>7.0944183620239914E-3</v>
      </c>
      <c r="U22" s="146">
        <f>(K4-M4)/N4</f>
        <v>0</v>
      </c>
      <c r="V22" s="146">
        <f>(U22*D22)</f>
        <v>0</v>
      </c>
    </row>
    <row r="23" spans="2:22" ht="15.75" x14ac:dyDescent="0.25">
      <c r="B23" s="145" t="s">
        <v>24</v>
      </c>
      <c r="C23" s="164">
        <v>0.7</v>
      </c>
      <c r="D23" s="146">
        <f>(C23/C$34)</f>
        <v>6.4814814814814811E-2</v>
      </c>
      <c r="E23" s="146">
        <f t="shared" ref="E23:E33" si="1">(C5-M5)/N5</f>
        <v>0.20000000000000023</v>
      </c>
      <c r="F23" s="146">
        <f t="shared" ref="F23:F33" si="2">(E23*D23)</f>
        <v>1.2962962962962978E-2</v>
      </c>
      <c r="G23" s="146">
        <f t="shared" ref="G23:G33" si="3">(D5-M5)/N5</f>
        <v>0.20000000000000023</v>
      </c>
      <c r="H23" s="146">
        <f t="shared" ref="H23:H33" si="4">(G23*D23)</f>
        <v>1.2962962962962978E-2</v>
      </c>
      <c r="I23" s="146">
        <f t="shared" ref="I23:I33" si="5">(E5-M5)/N5</f>
        <v>0</v>
      </c>
      <c r="J23" s="146">
        <f t="shared" ref="J23:J33" si="6">(I23*D23)</f>
        <v>0</v>
      </c>
      <c r="K23" s="146">
        <f t="shared" ref="K23:K33" si="7">(F5-M5)/N5</f>
        <v>0.60000000000000064</v>
      </c>
      <c r="L23" s="146">
        <f t="shared" ref="L23:L33" si="8">(K23*D23)</f>
        <v>3.8888888888888931E-2</v>
      </c>
      <c r="M23" s="146">
        <f t="shared" ref="M23:M33" si="9">(G5-M5)/N5</f>
        <v>0.60000000000000064</v>
      </c>
      <c r="N23" s="146">
        <f t="shared" ref="N23:N33" si="10">(M23*D23)</f>
        <v>3.8888888888888931E-2</v>
      </c>
      <c r="O23" s="146">
        <f t="shared" ref="O23:O33" si="11">(H5-M5)/N5</f>
        <v>0.20000000000000023</v>
      </c>
      <c r="P23" s="146">
        <f t="shared" ref="P23:P33" si="12">(O23*D23)</f>
        <v>1.2962962962962978E-2</v>
      </c>
      <c r="Q23" s="146">
        <f t="shared" ref="Q23:Q33" si="13">(I5-M5)/N5</f>
        <v>0.79999999999999982</v>
      </c>
      <c r="R23" s="146">
        <f t="shared" ref="R23:R33" si="14">(Q23*D23)</f>
        <v>5.1851851851851836E-2</v>
      </c>
      <c r="S23" s="146">
        <f t="shared" ref="S23:S33" si="15">(J5-M5)/N5</f>
        <v>0.79999999999999982</v>
      </c>
      <c r="T23" s="146">
        <f t="shared" ref="T23:T33" si="16">(S23*D23)</f>
        <v>5.1851851851851836E-2</v>
      </c>
      <c r="U23" s="146">
        <f t="shared" ref="U23:U33" si="17">(K5-M5)/N5</f>
        <v>1</v>
      </c>
      <c r="V23" s="146">
        <f t="shared" ref="V23:V33" si="18">(U23*D23)</f>
        <v>6.4814814814814811E-2</v>
      </c>
    </row>
    <row r="24" spans="2:22" ht="15.75" x14ac:dyDescent="0.25">
      <c r="B24" s="145" t="s">
        <v>144</v>
      </c>
      <c r="C24" s="164">
        <v>0.8</v>
      </c>
      <c r="D24" s="146">
        <f>(C24/C$34)</f>
        <v>7.407407407407407E-2</v>
      </c>
      <c r="E24" s="146">
        <f t="shared" si="1"/>
        <v>1</v>
      </c>
      <c r="F24" s="146">
        <f t="shared" si="2"/>
        <v>7.407407407407407E-2</v>
      </c>
      <c r="G24" s="146">
        <f t="shared" si="3"/>
        <v>0.75394524959742371</v>
      </c>
      <c r="H24" s="146">
        <f t="shared" si="4"/>
        <v>5.5847796266475826E-2</v>
      </c>
      <c r="I24" s="146">
        <f t="shared" si="5"/>
        <v>0.16961889425657553</v>
      </c>
      <c r="J24" s="146">
        <f t="shared" si="6"/>
        <v>1.2564362537524113E-2</v>
      </c>
      <c r="K24" s="146">
        <f t="shared" si="7"/>
        <v>0.27944176060118103</v>
      </c>
      <c r="L24" s="146">
        <f t="shared" si="8"/>
        <v>2.0699389674161559E-2</v>
      </c>
      <c r="M24" s="146">
        <f t="shared" si="9"/>
        <v>9.6296296296296283E-2</v>
      </c>
      <c r="N24" s="146">
        <f t="shared" si="10"/>
        <v>7.1330589849108355E-3</v>
      </c>
      <c r="O24" s="146">
        <f t="shared" si="11"/>
        <v>6.9135802469136073E-2</v>
      </c>
      <c r="P24" s="146">
        <f t="shared" si="12"/>
        <v>5.1211705532693387E-3</v>
      </c>
      <c r="Q24" s="146">
        <f t="shared" si="13"/>
        <v>0.12098765432098775</v>
      </c>
      <c r="R24" s="146">
        <f t="shared" si="14"/>
        <v>8.9620484682213144E-3</v>
      </c>
      <c r="S24" s="146">
        <f t="shared" si="15"/>
        <v>0.11035963499731616</v>
      </c>
      <c r="T24" s="146">
        <f t="shared" si="16"/>
        <v>8.1747877775789745E-3</v>
      </c>
      <c r="U24" s="146">
        <f t="shared" si="17"/>
        <v>0</v>
      </c>
      <c r="V24" s="146">
        <f t="shared" si="18"/>
        <v>0</v>
      </c>
    </row>
    <row r="25" spans="2:22" ht="15.75" x14ac:dyDescent="0.25">
      <c r="B25" s="145" t="s">
        <v>164</v>
      </c>
      <c r="C25" s="164">
        <v>0.9</v>
      </c>
      <c r="D25" s="146">
        <f t="shared" ref="D25:D33" si="19">(C25/C$34)</f>
        <v>8.3333333333333329E-2</v>
      </c>
      <c r="E25" s="146">
        <f t="shared" si="1"/>
        <v>0.74999999999999989</v>
      </c>
      <c r="F25" s="146">
        <f t="shared" si="2"/>
        <v>6.2499999999999986E-2</v>
      </c>
      <c r="G25" s="146">
        <f t="shared" si="3"/>
        <v>0.24999999999999958</v>
      </c>
      <c r="H25" s="146">
        <f t="shared" si="4"/>
        <v>2.0833333333333297E-2</v>
      </c>
      <c r="I25" s="146">
        <f t="shared" si="5"/>
        <v>0</v>
      </c>
      <c r="J25" s="146">
        <f t="shared" si="6"/>
        <v>0</v>
      </c>
      <c r="K25" s="146">
        <f t="shared" si="7"/>
        <v>0.87499999999999933</v>
      </c>
      <c r="L25" s="146">
        <f t="shared" si="8"/>
        <v>7.2916666666666602E-2</v>
      </c>
      <c r="M25" s="146">
        <f t="shared" si="9"/>
        <v>0.37499999999999967</v>
      </c>
      <c r="N25" s="146">
        <f t="shared" si="10"/>
        <v>3.1249999999999972E-2</v>
      </c>
      <c r="O25" s="146">
        <f t="shared" si="11"/>
        <v>0.12500000000000006</v>
      </c>
      <c r="P25" s="146">
        <f t="shared" si="12"/>
        <v>1.0416666666666671E-2</v>
      </c>
      <c r="Q25" s="146">
        <f t="shared" si="13"/>
        <v>1</v>
      </c>
      <c r="R25" s="146">
        <f t="shared" si="14"/>
        <v>8.3333333333333329E-2</v>
      </c>
      <c r="S25" s="146">
        <f t="shared" si="15"/>
        <v>0.49999999999999972</v>
      </c>
      <c r="T25" s="146">
        <f t="shared" si="16"/>
        <v>4.1666666666666644E-2</v>
      </c>
      <c r="U25" s="146">
        <f t="shared" si="17"/>
        <v>0.24999999999999958</v>
      </c>
      <c r="V25" s="146">
        <f t="shared" si="18"/>
        <v>2.0833333333333297E-2</v>
      </c>
    </row>
    <row r="26" spans="2:22" ht="15.75" x14ac:dyDescent="0.25">
      <c r="B26" s="145" t="s">
        <v>143</v>
      </c>
      <c r="C26" s="164">
        <v>0.9</v>
      </c>
      <c r="D26" s="146">
        <f t="shared" si="19"/>
        <v>8.3333333333333329E-2</v>
      </c>
      <c r="E26" s="146">
        <f t="shared" si="1"/>
        <v>0.10969387755102059</v>
      </c>
      <c r="F26" s="146">
        <f t="shared" si="2"/>
        <v>9.1411564625850476E-3</v>
      </c>
      <c r="G26" s="146">
        <f t="shared" si="3"/>
        <v>2.5510204081632118E-3</v>
      </c>
      <c r="H26" s="146">
        <f t="shared" si="4"/>
        <v>2.1258503401360096E-4</v>
      </c>
      <c r="I26" s="146">
        <f t="shared" si="5"/>
        <v>0</v>
      </c>
      <c r="J26" s="146">
        <f t="shared" si="6"/>
        <v>0</v>
      </c>
      <c r="K26" s="146">
        <f t="shared" si="7"/>
        <v>0.4540816326530614</v>
      </c>
      <c r="L26" s="146">
        <f t="shared" si="8"/>
        <v>3.7840136054421783E-2</v>
      </c>
      <c r="M26" s="146">
        <f t="shared" si="9"/>
        <v>0.11734693877551022</v>
      </c>
      <c r="N26" s="146">
        <f t="shared" si="10"/>
        <v>9.7789115646258508E-3</v>
      </c>
      <c r="O26" s="146">
        <f t="shared" si="11"/>
        <v>1.5306122448979496E-2</v>
      </c>
      <c r="P26" s="146">
        <f t="shared" si="12"/>
        <v>1.2755102040816245E-3</v>
      </c>
      <c r="Q26" s="146">
        <f t="shared" si="13"/>
        <v>1</v>
      </c>
      <c r="R26" s="146">
        <f t="shared" si="14"/>
        <v>8.3333333333333329E-2</v>
      </c>
      <c r="S26" s="146">
        <f t="shared" si="15"/>
        <v>0.67857142857142849</v>
      </c>
      <c r="T26" s="146">
        <f t="shared" si="16"/>
        <v>5.6547619047619041E-2</v>
      </c>
      <c r="U26" s="146">
        <f t="shared" si="17"/>
        <v>0.65561224489795922</v>
      </c>
      <c r="V26" s="146">
        <f t="shared" si="18"/>
        <v>5.4634353741496597E-2</v>
      </c>
    </row>
    <row r="27" spans="2:22" ht="15.75" x14ac:dyDescent="0.25">
      <c r="B27" s="145" t="s">
        <v>145</v>
      </c>
      <c r="C27" s="164">
        <v>0.9</v>
      </c>
      <c r="D27" s="146">
        <f t="shared" si="19"/>
        <v>8.3333333333333329E-2</v>
      </c>
      <c r="E27" s="146">
        <f t="shared" si="1"/>
        <v>0.6428571428571429</v>
      </c>
      <c r="F27" s="146">
        <f t="shared" si="2"/>
        <v>5.3571428571428575E-2</v>
      </c>
      <c r="G27" s="146">
        <f t="shared" si="3"/>
        <v>1</v>
      </c>
      <c r="H27" s="146">
        <f t="shared" si="4"/>
        <v>8.3333333333333329E-2</v>
      </c>
      <c r="I27" s="146">
        <f t="shared" si="5"/>
        <v>0.98412698412698441</v>
      </c>
      <c r="J27" s="146">
        <f t="shared" si="6"/>
        <v>8.2010582010582034E-2</v>
      </c>
      <c r="K27" s="146">
        <f t="shared" si="7"/>
        <v>0.80158730158730129</v>
      </c>
      <c r="L27" s="146">
        <f t="shared" si="8"/>
        <v>6.6798941798941774E-2</v>
      </c>
      <c r="M27" s="146">
        <f t="shared" si="9"/>
        <v>0.47619047619047528</v>
      </c>
      <c r="N27" s="146">
        <f t="shared" si="10"/>
        <v>3.9682539682539604E-2</v>
      </c>
      <c r="O27" s="146">
        <f t="shared" si="11"/>
        <v>0.2857142857142857</v>
      </c>
      <c r="P27" s="146">
        <f t="shared" si="12"/>
        <v>2.3809523809523808E-2</v>
      </c>
      <c r="Q27" s="146">
        <f t="shared" si="13"/>
        <v>0</v>
      </c>
      <c r="R27" s="146">
        <f t="shared" si="14"/>
        <v>0</v>
      </c>
      <c r="S27" s="146">
        <f t="shared" si="15"/>
        <v>0.12698412698412731</v>
      </c>
      <c r="T27" s="146">
        <f t="shared" si="16"/>
        <v>1.0582010582010609E-2</v>
      </c>
      <c r="U27" s="146">
        <f t="shared" si="17"/>
        <v>0.12698412698412731</v>
      </c>
      <c r="V27" s="146">
        <f t="shared" si="18"/>
        <v>1.0582010582010609E-2</v>
      </c>
    </row>
    <row r="28" spans="2:22" ht="15.75" x14ac:dyDescent="0.25">
      <c r="B28" s="145" t="s">
        <v>146</v>
      </c>
      <c r="C28" s="164">
        <v>1</v>
      </c>
      <c r="D28" s="146">
        <f t="shared" si="19"/>
        <v>9.2592592592592587E-2</v>
      </c>
      <c r="E28" s="146">
        <f t="shared" si="1"/>
        <v>0.73758865248226946</v>
      </c>
      <c r="F28" s="146">
        <f t="shared" si="2"/>
        <v>6.8295245600210136E-2</v>
      </c>
      <c r="G28" s="146">
        <f t="shared" si="3"/>
        <v>1</v>
      </c>
      <c r="H28" s="146">
        <f t="shared" si="4"/>
        <v>9.2592592592592587E-2</v>
      </c>
      <c r="I28" s="146">
        <f t="shared" si="5"/>
        <v>0.75177304964539005</v>
      </c>
      <c r="J28" s="146">
        <f t="shared" si="6"/>
        <v>6.9608615707906482E-2</v>
      </c>
      <c r="K28" s="146">
        <f t="shared" si="7"/>
        <v>0.78723404255319129</v>
      </c>
      <c r="L28" s="146">
        <f t="shared" si="8"/>
        <v>7.289204097714734E-2</v>
      </c>
      <c r="M28" s="146">
        <f t="shared" si="9"/>
        <v>0.37588652482269502</v>
      </c>
      <c r="N28" s="146">
        <f t="shared" si="10"/>
        <v>3.4804307853953241E-2</v>
      </c>
      <c r="O28" s="146">
        <f t="shared" si="11"/>
        <v>0.36879432624113473</v>
      </c>
      <c r="P28" s="146">
        <f t="shared" si="12"/>
        <v>3.4147622800105068E-2</v>
      </c>
      <c r="Q28" s="146">
        <f t="shared" si="13"/>
        <v>0</v>
      </c>
      <c r="R28" s="146">
        <f t="shared" si="14"/>
        <v>0</v>
      </c>
      <c r="S28" s="146">
        <f t="shared" si="15"/>
        <v>8.5106382978723472E-2</v>
      </c>
      <c r="T28" s="146">
        <f t="shared" si="16"/>
        <v>7.8802206461780992E-3</v>
      </c>
      <c r="U28" s="146">
        <f t="shared" si="17"/>
        <v>9.9290780141844046E-2</v>
      </c>
      <c r="V28" s="146">
        <f t="shared" si="18"/>
        <v>9.1935907538744487E-3</v>
      </c>
    </row>
    <row r="29" spans="2:22" ht="15.75" x14ac:dyDescent="0.25">
      <c r="B29" s="145" t="s">
        <v>147</v>
      </c>
      <c r="C29" s="164">
        <v>1</v>
      </c>
      <c r="D29" s="146">
        <f t="shared" si="19"/>
        <v>9.2592592592592587E-2</v>
      </c>
      <c r="E29" s="146">
        <f t="shared" si="1"/>
        <v>0.48979591836734687</v>
      </c>
      <c r="F29" s="146">
        <f t="shared" si="2"/>
        <v>4.5351473922902487E-2</v>
      </c>
      <c r="G29" s="146">
        <f t="shared" si="3"/>
        <v>0.68367346938775519</v>
      </c>
      <c r="H29" s="146">
        <f t="shared" si="4"/>
        <v>6.3303099017384734E-2</v>
      </c>
      <c r="I29" s="146">
        <f t="shared" si="5"/>
        <v>1</v>
      </c>
      <c r="J29" s="146">
        <f t="shared" si="6"/>
        <v>9.2592592592592587E-2</v>
      </c>
      <c r="K29" s="146">
        <f t="shared" si="7"/>
        <v>0.38775510204081659</v>
      </c>
      <c r="L29" s="146">
        <f t="shared" si="8"/>
        <v>3.5903250188964494E-2</v>
      </c>
      <c r="M29" s="146">
        <f t="shared" si="9"/>
        <v>0.39795918367346944</v>
      </c>
      <c r="N29" s="146">
        <f t="shared" si="10"/>
        <v>3.6848072562358281E-2</v>
      </c>
      <c r="O29" s="146">
        <f t="shared" si="11"/>
        <v>0.43197278911564618</v>
      </c>
      <c r="P29" s="146">
        <f t="shared" si="12"/>
        <v>3.9997480473670938E-2</v>
      </c>
      <c r="Q29" s="146">
        <f t="shared" si="13"/>
        <v>0</v>
      </c>
      <c r="R29" s="146">
        <f t="shared" si="14"/>
        <v>0</v>
      </c>
      <c r="S29" s="146">
        <f t="shared" si="15"/>
        <v>7.4829931972789351E-2</v>
      </c>
      <c r="T29" s="146">
        <f t="shared" si="16"/>
        <v>6.9286974048879029E-3</v>
      </c>
      <c r="U29" s="146">
        <f t="shared" si="17"/>
        <v>9.1836734693877722E-2</v>
      </c>
      <c r="V29" s="146">
        <f t="shared" si="18"/>
        <v>8.5034013605442323E-3</v>
      </c>
    </row>
    <row r="30" spans="2:22" ht="15.75" x14ac:dyDescent="0.25">
      <c r="B30" s="145" t="s">
        <v>149</v>
      </c>
      <c r="C30" s="164">
        <v>0.9</v>
      </c>
      <c r="D30" s="146">
        <f t="shared" si="19"/>
        <v>8.3333333333333329E-2</v>
      </c>
      <c r="E30" s="146">
        <f t="shared" si="1"/>
        <v>0.57142857142857184</v>
      </c>
      <c r="F30" s="146">
        <f t="shared" si="2"/>
        <v>4.7619047619047651E-2</v>
      </c>
      <c r="G30" s="146">
        <f t="shared" si="3"/>
        <v>0</v>
      </c>
      <c r="H30" s="146">
        <f t="shared" si="4"/>
        <v>0</v>
      </c>
      <c r="I30" s="146">
        <f t="shared" si="5"/>
        <v>1</v>
      </c>
      <c r="J30" s="146">
        <f t="shared" si="6"/>
        <v>8.3333333333333329E-2</v>
      </c>
      <c r="K30" s="146">
        <f t="shared" si="7"/>
        <v>0</v>
      </c>
      <c r="L30" s="146">
        <f t="shared" si="8"/>
        <v>0</v>
      </c>
      <c r="M30" s="146">
        <f t="shared" si="9"/>
        <v>0.28571428571428592</v>
      </c>
      <c r="N30" s="146">
        <f t="shared" si="10"/>
        <v>2.3809523809523826E-2</v>
      </c>
      <c r="O30" s="146">
        <f t="shared" si="11"/>
        <v>1.5714285714285718</v>
      </c>
      <c r="P30" s="146">
        <f t="shared" si="12"/>
        <v>0.13095238095238099</v>
      </c>
      <c r="Q30" s="146">
        <f t="shared" si="13"/>
        <v>0.71428571428571408</v>
      </c>
      <c r="R30" s="146">
        <f t="shared" si="14"/>
        <v>5.9523809523809507E-2</v>
      </c>
      <c r="S30" s="146">
        <f t="shared" si="15"/>
        <v>0.28571428571428592</v>
      </c>
      <c r="T30" s="146">
        <f t="shared" si="16"/>
        <v>2.3809523809523826E-2</v>
      </c>
      <c r="U30" s="146">
        <f t="shared" si="17"/>
        <v>1</v>
      </c>
      <c r="V30" s="146">
        <f t="shared" si="18"/>
        <v>8.3333333333333329E-2</v>
      </c>
    </row>
    <row r="31" spans="2:22" ht="15.75" x14ac:dyDescent="0.25">
      <c r="B31" s="145" t="s">
        <v>148</v>
      </c>
      <c r="C31" s="164">
        <v>1</v>
      </c>
      <c r="D31" s="146">
        <f t="shared" si="19"/>
        <v>9.2592592592592587E-2</v>
      </c>
      <c r="E31" s="146">
        <f t="shared" si="1"/>
        <v>0.71428571428571452</v>
      </c>
      <c r="F31" s="146">
        <f t="shared" si="2"/>
        <v>6.6137566137566162E-2</v>
      </c>
      <c r="G31" s="146">
        <f t="shared" si="3"/>
        <v>0.14285714285714304</v>
      </c>
      <c r="H31" s="146">
        <f t="shared" si="4"/>
        <v>1.3227513227513244E-2</v>
      </c>
      <c r="I31" s="146">
        <f t="shared" si="5"/>
        <v>0.57142857142857151</v>
      </c>
      <c r="J31" s="146">
        <f t="shared" si="6"/>
        <v>5.2910052910052914E-2</v>
      </c>
      <c r="K31" s="146">
        <f t="shared" si="7"/>
        <v>0.71428571428571452</v>
      </c>
      <c r="L31" s="146">
        <f t="shared" si="8"/>
        <v>6.6137566137566162E-2</v>
      </c>
      <c r="M31" s="146">
        <f t="shared" si="9"/>
        <v>1</v>
      </c>
      <c r="N31" s="146">
        <f t="shared" si="10"/>
        <v>9.2592592592592587E-2</v>
      </c>
      <c r="O31" s="146">
        <f t="shared" si="11"/>
        <v>0.85714285714285765</v>
      </c>
      <c r="P31" s="146">
        <f t="shared" si="12"/>
        <v>7.9365079365079402E-2</v>
      </c>
      <c r="Q31" s="146">
        <f t="shared" si="13"/>
        <v>0.21428571428571425</v>
      </c>
      <c r="R31" s="146">
        <f t="shared" si="14"/>
        <v>1.9841269841269837E-2</v>
      </c>
      <c r="S31" s="146">
        <f t="shared" si="15"/>
        <v>0</v>
      </c>
      <c r="T31" s="146">
        <f t="shared" si="16"/>
        <v>0</v>
      </c>
      <c r="U31" s="146">
        <f t="shared" si="17"/>
        <v>0.85714285714285765</v>
      </c>
      <c r="V31" s="146">
        <f t="shared" si="18"/>
        <v>7.9365079365079402E-2</v>
      </c>
    </row>
    <row r="32" spans="2:22" ht="15.75" x14ac:dyDescent="0.25">
      <c r="B32" s="145" t="s">
        <v>31</v>
      </c>
      <c r="C32" s="164">
        <v>1</v>
      </c>
      <c r="D32" s="146">
        <f t="shared" si="19"/>
        <v>9.2592592592592587E-2</v>
      </c>
      <c r="E32" s="146">
        <f t="shared" si="1"/>
        <v>0.53846153846153844</v>
      </c>
      <c r="F32" s="146">
        <f t="shared" si="2"/>
        <v>4.9857549857549852E-2</v>
      </c>
      <c r="G32" s="146">
        <f t="shared" si="3"/>
        <v>0</v>
      </c>
      <c r="H32" s="146">
        <f t="shared" si="4"/>
        <v>0</v>
      </c>
      <c r="I32" s="146">
        <f>(E14-M14)/N14</f>
        <v>0.23076923076923092</v>
      </c>
      <c r="J32" s="146">
        <f t="shared" si="6"/>
        <v>2.1367521367521382E-2</v>
      </c>
      <c r="K32" s="146">
        <f t="shared" si="7"/>
        <v>0.69230769230769207</v>
      </c>
      <c r="L32" s="146">
        <f t="shared" si="8"/>
        <v>6.4102564102564083E-2</v>
      </c>
      <c r="M32" s="146">
        <f t="shared" si="9"/>
        <v>0.19230769230769226</v>
      </c>
      <c r="N32" s="146">
        <f t="shared" si="10"/>
        <v>1.78062678062678E-2</v>
      </c>
      <c r="O32" s="146">
        <f t="shared" si="11"/>
        <v>0.3461538461538462</v>
      </c>
      <c r="P32" s="146">
        <f t="shared" si="12"/>
        <v>3.2051282051282055E-2</v>
      </c>
      <c r="Q32" s="146">
        <f t="shared" si="13"/>
        <v>0.84615384615384603</v>
      </c>
      <c r="R32" s="146">
        <f t="shared" si="14"/>
        <v>7.8347578347578328E-2</v>
      </c>
      <c r="S32" s="146">
        <f t="shared" si="15"/>
        <v>0.84615384615384603</v>
      </c>
      <c r="T32" s="146">
        <f t="shared" si="16"/>
        <v>7.8347578347578328E-2</v>
      </c>
      <c r="U32" s="146">
        <f t="shared" si="17"/>
        <v>1</v>
      </c>
      <c r="V32" s="146">
        <f t="shared" si="18"/>
        <v>9.2592592592592587E-2</v>
      </c>
    </row>
    <row r="33" spans="2:22" ht="15.75" x14ac:dyDescent="0.25">
      <c r="B33" s="145" t="s">
        <v>150</v>
      </c>
      <c r="C33" s="164">
        <v>0.9</v>
      </c>
      <c r="D33" s="146">
        <f t="shared" si="19"/>
        <v>8.3333333333333329E-2</v>
      </c>
      <c r="E33" s="146">
        <f t="shared" si="1"/>
        <v>0</v>
      </c>
      <c r="F33" s="146">
        <f t="shared" si="2"/>
        <v>0</v>
      </c>
      <c r="G33" s="146">
        <f t="shared" si="3"/>
        <v>0.38461538461538441</v>
      </c>
      <c r="H33" s="146">
        <f t="shared" si="4"/>
        <v>3.2051282051282035E-2</v>
      </c>
      <c r="I33" s="146">
        <f t="shared" si="5"/>
        <v>0.2307692307692312</v>
      </c>
      <c r="J33" s="146">
        <f t="shared" si="6"/>
        <v>1.9230769230769267E-2</v>
      </c>
      <c r="K33" s="146">
        <f t="shared" si="7"/>
        <v>0.61538461538461564</v>
      </c>
      <c r="L33" s="146">
        <f t="shared" si="8"/>
        <v>5.1282051282051301E-2</v>
      </c>
      <c r="M33" s="146">
        <f t="shared" si="9"/>
        <v>0.30769230769230782</v>
      </c>
      <c r="N33" s="146">
        <f t="shared" si="10"/>
        <v>2.5641025641025651E-2</v>
      </c>
      <c r="O33" s="146">
        <f t="shared" si="11"/>
        <v>0.46153846153846168</v>
      </c>
      <c r="P33" s="146">
        <f t="shared" si="12"/>
        <v>3.8461538461538471E-2</v>
      </c>
      <c r="Q33" s="146">
        <f t="shared" si="13"/>
        <v>0.38461538461538441</v>
      </c>
      <c r="R33" s="146">
        <f t="shared" si="14"/>
        <v>3.2051282051282035E-2</v>
      </c>
      <c r="S33" s="146">
        <f t="shared" si="15"/>
        <v>1</v>
      </c>
      <c r="T33" s="146">
        <f t="shared" si="16"/>
        <v>8.3333333333333329E-2</v>
      </c>
      <c r="U33" s="146">
        <f t="shared" si="17"/>
        <v>0.69230769230769218</v>
      </c>
      <c r="V33" s="146">
        <f t="shared" si="18"/>
        <v>5.7692307692307682E-2</v>
      </c>
    </row>
    <row r="34" spans="2:22" ht="15.75" x14ac:dyDescent="0.25">
      <c r="B34" s="179" t="s">
        <v>3</v>
      </c>
      <c r="C34" s="180">
        <f>SUM(C22:C33)</f>
        <v>10.8</v>
      </c>
      <c r="D34" s="181">
        <f>SUM(D22:D33)</f>
        <v>0.99999999999999989</v>
      </c>
      <c r="E34" s="180"/>
      <c r="F34" s="181">
        <f>SUM(F22:F33)</f>
        <v>0.56358457928240102</v>
      </c>
      <c r="G34" s="180"/>
      <c r="H34" s="181">
        <f>SUM(H22:H33)</f>
        <v>0.44197013162170862</v>
      </c>
      <c r="I34" s="180"/>
      <c r="J34" s="181">
        <f>SUM(J22:J33)</f>
        <v>0.48150515363394414</v>
      </c>
      <c r="K34" s="180"/>
      <c r="L34" s="181">
        <f>SUM(L22:L33)</f>
        <v>0.54811877276667931</v>
      </c>
      <c r="M34" s="180"/>
      <c r="N34" s="181">
        <f>SUM(N22:N33)</f>
        <v>0.38139637874505905</v>
      </c>
      <c r="O34" s="180"/>
      <c r="P34" s="181">
        <f>SUM(P22:P33)</f>
        <v>0.43067911084098914</v>
      </c>
      <c r="Q34" s="180"/>
      <c r="R34" s="181">
        <f>SUM(R22:R33)</f>
        <v>0.42517356256705935</v>
      </c>
      <c r="S34" s="180"/>
      <c r="T34" s="181">
        <f>SUM(T22:T33)</f>
        <v>0.37621670782925259</v>
      </c>
      <c r="U34" s="180"/>
      <c r="V34" s="181">
        <f>SUM(V22:V33)</f>
        <v>0.48154481756938705</v>
      </c>
    </row>
  </sheetData>
  <mergeCells count="36">
    <mergeCell ref="S20:S21"/>
    <mergeCell ref="T20:T21"/>
    <mergeCell ref="U20:U21"/>
    <mergeCell ref="V20:V21"/>
    <mergeCell ref="S19:T19"/>
    <mergeCell ref="U19:V19"/>
    <mergeCell ref="O20:O21"/>
    <mergeCell ref="P20:P21"/>
    <mergeCell ref="Q20:Q21"/>
    <mergeCell ref="R20:R21"/>
    <mergeCell ref="I19:J19"/>
    <mergeCell ref="K19:L19"/>
    <mergeCell ref="M19:N19"/>
    <mergeCell ref="O19:P19"/>
    <mergeCell ref="Q19:R19"/>
    <mergeCell ref="J20:J21"/>
    <mergeCell ref="K20:K21"/>
    <mergeCell ref="L20:L21"/>
    <mergeCell ref="M20:M21"/>
    <mergeCell ref="N20:N21"/>
    <mergeCell ref="I20:I21"/>
    <mergeCell ref="B19:B21"/>
    <mergeCell ref="C19:C21"/>
    <mergeCell ref="D19:D21"/>
    <mergeCell ref="E19:F19"/>
    <mergeCell ref="G19:H19"/>
    <mergeCell ref="E20:E21"/>
    <mergeCell ref="F20:F21"/>
    <mergeCell ref="G20:G21"/>
    <mergeCell ref="H20:H21"/>
    <mergeCell ref="P1:R1"/>
    <mergeCell ref="B2:B3"/>
    <mergeCell ref="C2:K2"/>
    <mergeCell ref="L2:L3"/>
    <mergeCell ref="M2:M3"/>
    <mergeCell ref="N2:N3"/>
  </mergeCells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workbookViewId="0">
      <selection activeCell="E21" sqref="E21"/>
    </sheetView>
  </sheetViews>
  <sheetFormatPr defaultRowHeight="15" x14ac:dyDescent="0.25"/>
  <cols>
    <col min="1" max="1" width="13.42578125" customWidth="1"/>
    <col min="2" max="2" width="11.140625" customWidth="1"/>
    <col min="3" max="3" width="11.42578125" customWidth="1"/>
    <col min="4" max="4" width="13.7109375" customWidth="1"/>
    <col min="5" max="5" width="10.42578125" customWidth="1"/>
  </cols>
  <sheetData>
    <row r="1" spans="1:13" x14ac:dyDescent="0.25">
      <c r="A1" t="s">
        <v>178</v>
      </c>
      <c r="J1" s="239" t="s">
        <v>174</v>
      </c>
      <c r="K1" s="239"/>
      <c r="L1" s="239"/>
    </row>
    <row r="2" spans="1:13" x14ac:dyDescent="0.25">
      <c r="B2" s="159" t="s">
        <v>163</v>
      </c>
      <c r="C2" s="159" t="s">
        <v>170</v>
      </c>
      <c r="D2" s="159" t="s">
        <v>172</v>
      </c>
      <c r="E2" s="159" t="s">
        <v>171</v>
      </c>
      <c r="F2" s="159" t="s">
        <v>173</v>
      </c>
      <c r="G2" s="159" t="s">
        <v>59</v>
      </c>
      <c r="H2" s="159" t="s">
        <v>79</v>
      </c>
      <c r="I2" s="159" t="s">
        <v>164</v>
      </c>
      <c r="J2" s="159" t="s">
        <v>175</v>
      </c>
      <c r="K2" s="159" t="s">
        <v>176</v>
      </c>
      <c r="L2" s="159" t="s">
        <v>177</v>
      </c>
      <c r="M2" s="159" t="s">
        <v>143</v>
      </c>
    </row>
    <row r="3" spans="1:13" x14ac:dyDescent="0.25">
      <c r="B3" s="1">
        <v>1</v>
      </c>
      <c r="C3" s="1">
        <v>0.4</v>
      </c>
      <c r="D3" s="1">
        <v>1</v>
      </c>
      <c r="E3" s="1">
        <v>1</v>
      </c>
      <c r="F3" s="1">
        <v>1</v>
      </c>
      <c r="G3" s="1">
        <v>1</v>
      </c>
      <c r="H3" s="1">
        <v>1</v>
      </c>
      <c r="I3" s="1">
        <v>1</v>
      </c>
      <c r="J3" s="1">
        <v>1</v>
      </c>
      <c r="K3" s="1">
        <v>0.8</v>
      </c>
      <c r="L3" s="1">
        <v>0.7</v>
      </c>
      <c r="M3" s="1">
        <v>0.8</v>
      </c>
    </row>
    <row r="4" spans="1:13" x14ac:dyDescent="0.25">
      <c r="B4" s="1">
        <v>0.5</v>
      </c>
      <c r="C4" s="1">
        <v>0.6</v>
      </c>
      <c r="D4" s="1">
        <v>0.5</v>
      </c>
      <c r="E4" s="1">
        <v>0.7</v>
      </c>
      <c r="F4" s="1">
        <v>0.4</v>
      </c>
      <c r="G4" s="1">
        <v>1</v>
      </c>
      <c r="H4" s="1">
        <v>1</v>
      </c>
      <c r="I4" s="1">
        <v>0.9</v>
      </c>
      <c r="J4" s="1">
        <v>1</v>
      </c>
      <c r="K4" s="1">
        <v>0.9</v>
      </c>
      <c r="L4" s="1">
        <v>1</v>
      </c>
      <c r="M4" s="1">
        <v>1</v>
      </c>
    </row>
    <row r="5" spans="1:13" x14ac:dyDescent="0.25">
      <c r="B5" s="1">
        <v>0.9</v>
      </c>
      <c r="C5" s="1">
        <v>0.3</v>
      </c>
      <c r="D5" s="1">
        <v>0.3</v>
      </c>
      <c r="E5" s="1">
        <v>0.8</v>
      </c>
      <c r="F5" s="1">
        <v>0.8</v>
      </c>
      <c r="G5" s="1">
        <v>1</v>
      </c>
      <c r="H5" s="1">
        <v>0.8</v>
      </c>
      <c r="I5" s="1">
        <v>0.7</v>
      </c>
      <c r="J5" s="1">
        <v>1</v>
      </c>
      <c r="K5" s="1">
        <v>0.8</v>
      </c>
      <c r="L5" s="1">
        <v>1</v>
      </c>
      <c r="M5" s="1">
        <v>1</v>
      </c>
    </row>
    <row r="6" spans="1:13" x14ac:dyDescent="0.25">
      <c r="B6" s="1">
        <v>0.3</v>
      </c>
      <c r="C6" s="1">
        <v>0.2</v>
      </c>
      <c r="D6" s="1">
        <v>0.5</v>
      </c>
      <c r="E6" s="1">
        <v>0.5</v>
      </c>
      <c r="F6" s="1">
        <v>0.6</v>
      </c>
      <c r="G6" s="1">
        <v>0.9</v>
      </c>
      <c r="H6" s="1">
        <v>0.9</v>
      </c>
      <c r="I6" s="1">
        <v>0.5</v>
      </c>
      <c r="J6" s="1">
        <v>0.8</v>
      </c>
      <c r="K6" s="1">
        <v>0.5</v>
      </c>
      <c r="L6" s="1">
        <v>1</v>
      </c>
      <c r="M6" s="1">
        <v>1</v>
      </c>
    </row>
    <row r="7" spans="1:13" x14ac:dyDescent="0.25">
      <c r="B7" s="1">
        <v>0.3</v>
      </c>
      <c r="C7" s="1">
        <v>0.2</v>
      </c>
      <c r="D7" s="1">
        <v>0.5</v>
      </c>
      <c r="E7" s="1">
        <v>0.6</v>
      </c>
      <c r="F7" s="1">
        <v>0.6</v>
      </c>
      <c r="G7" s="1">
        <v>0.8</v>
      </c>
      <c r="H7" s="1">
        <v>0.7</v>
      </c>
      <c r="I7" s="1">
        <v>0.8</v>
      </c>
      <c r="J7" s="1">
        <v>0.5</v>
      </c>
      <c r="K7" s="1">
        <v>0.8</v>
      </c>
      <c r="L7" s="1">
        <v>0.9</v>
      </c>
      <c r="M7" s="1">
        <v>0.8</v>
      </c>
    </row>
    <row r="8" spans="1:13" x14ac:dyDescent="0.25">
      <c r="B8" s="1">
        <v>0.4</v>
      </c>
      <c r="C8" s="1">
        <v>0.4</v>
      </c>
      <c r="D8" s="1">
        <v>0.2</v>
      </c>
      <c r="E8" s="1">
        <v>0.5</v>
      </c>
      <c r="F8" s="1">
        <v>0.6</v>
      </c>
      <c r="G8" s="1">
        <v>0.7</v>
      </c>
      <c r="H8" s="1">
        <v>0.8</v>
      </c>
      <c r="I8" s="1">
        <v>0.9</v>
      </c>
      <c r="J8" s="1">
        <v>0.8</v>
      </c>
      <c r="K8" s="1">
        <v>0.9</v>
      </c>
      <c r="L8" s="1">
        <v>0.8</v>
      </c>
      <c r="M8" s="1">
        <v>1</v>
      </c>
    </row>
    <row r="9" spans="1:13" x14ac:dyDescent="0.25">
      <c r="B9" s="1">
        <v>1</v>
      </c>
      <c r="C9" s="1">
        <v>1</v>
      </c>
      <c r="D9" s="1">
        <v>1</v>
      </c>
      <c r="E9" s="1">
        <v>1</v>
      </c>
      <c r="F9" s="1">
        <v>0.9</v>
      </c>
      <c r="G9" s="1">
        <v>1</v>
      </c>
      <c r="H9" s="1">
        <v>1</v>
      </c>
      <c r="I9" s="1">
        <v>0.9</v>
      </c>
      <c r="J9" s="1">
        <v>0.8</v>
      </c>
      <c r="K9" s="1">
        <v>1</v>
      </c>
      <c r="L9" s="1">
        <v>1</v>
      </c>
      <c r="M9" s="1">
        <v>1</v>
      </c>
    </row>
    <row r="10" spans="1:13" x14ac:dyDescent="0.25">
      <c r="B10" s="1">
        <v>0.8</v>
      </c>
      <c r="C10" s="1">
        <v>0.8</v>
      </c>
      <c r="D10" s="1">
        <v>1</v>
      </c>
      <c r="E10" s="1">
        <v>1</v>
      </c>
      <c r="F10" s="1">
        <v>1</v>
      </c>
      <c r="G10" s="1">
        <v>1</v>
      </c>
      <c r="H10" s="1">
        <v>1</v>
      </c>
      <c r="I10" s="1">
        <v>1</v>
      </c>
      <c r="J10" s="1">
        <v>0.9</v>
      </c>
      <c r="K10" s="1">
        <v>1</v>
      </c>
      <c r="L10" s="1">
        <v>1</v>
      </c>
      <c r="M10" s="1">
        <v>1</v>
      </c>
    </row>
    <row r="11" spans="1:13" x14ac:dyDescent="0.25">
      <c r="B11" s="1">
        <v>1</v>
      </c>
      <c r="C11" s="1">
        <v>1</v>
      </c>
      <c r="D11" s="1">
        <v>0.9</v>
      </c>
      <c r="E11" s="1">
        <v>1</v>
      </c>
      <c r="F11" s="1">
        <v>1</v>
      </c>
      <c r="G11" s="1">
        <v>1</v>
      </c>
      <c r="H11" s="1">
        <v>1</v>
      </c>
      <c r="I11" s="1">
        <v>1</v>
      </c>
      <c r="J11" s="1">
        <v>0.7</v>
      </c>
      <c r="K11" s="1">
        <v>0.6</v>
      </c>
      <c r="L11" s="1">
        <v>0.9</v>
      </c>
      <c r="M11" s="1">
        <v>1</v>
      </c>
    </row>
    <row r="12" spans="1:13" x14ac:dyDescent="0.25">
      <c r="A12" s="152"/>
      <c r="B12" s="165">
        <v>1</v>
      </c>
      <c r="C12" s="165">
        <v>1</v>
      </c>
      <c r="D12" s="165">
        <v>1</v>
      </c>
      <c r="E12" s="165">
        <v>1</v>
      </c>
      <c r="F12" s="165">
        <v>1</v>
      </c>
      <c r="G12" s="165">
        <v>1</v>
      </c>
      <c r="H12" s="165">
        <v>1</v>
      </c>
      <c r="I12" s="165">
        <v>1</v>
      </c>
      <c r="J12" s="165">
        <v>1</v>
      </c>
      <c r="K12" s="165">
        <v>1</v>
      </c>
      <c r="L12" s="165">
        <v>1</v>
      </c>
      <c r="M12" s="165">
        <v>1</v>
      </c>
    </row>
    <row r="13" spans="1:13" x14ac:dyDescent="0.25">
      <c r="B13" s="165">
        <v>1</v>
      </c>
      <c r="C13" s="165">
        <v>1</v>
      </c>
      <c r="D13" s="165">
        <v>1</v>
      </c>
      <c r="E13" s="165">
        <v>1</v>
      </c>
      <c r="F13" s="165">
        <v>1</v>
      </c>
      <c r="G13" s="165">
        <v>1</v>
      </c>
      <c r="H13" s="165">
        <v>1</v>
      </c>
      <c r="I13" s="165">
        <v>1</v>
      </c>
      <c r="J13" s="165">
        <v>1</v>
      </c>
      <c r="K13" s="165">
        <v>1</v>
      </c>
      <c r="L13" s="165">
        <v>1</v>
      </c>
      <c r="M13" s="165">
        <v>1</v>
      </c>
    </row>
    <row r="14" spans="1:13" x14ac:dyDescent="0.25">
      <c r="B14" s="165">
        <v>1</v>
      </c>
      <c r="C14" s="165">
        <v>1</v>
      </c>
      <c r="D14" s="165">
        <v>1</v>
      </c>
      <c r="E14" s="165">
        <v>1</v>
      </c>
      <c r="F14" s="165">
        <v>1</v>
      </c>
      <c r="G14" s="165">
        <v>1</v>
      </c>
      <c r="H14" s="165">
        <v>1</v>
      </c>
      <c r="I14" s="165">
        <v>1</v>
      </c>
      <c r="J14" s="165">
        <v>1</v>
      </c>
      <c r="K14" s="165">
        <v>1</v>
      </c>
      <c r="L14" s="165">
        <v>1</v>
      </c>
      <c r="M14" s="165">
        <v>1</v>
      </c>
    </row>
    <row r="15" spans="1:13" x14ac:dyDescent="0.25">
      <c r="B15" s="165">
        <v>1</v>
      </c>
      <c r="C15" s="165">
        <v>1</v>
      </c>
      <c r="D15" s="165">
        <v>1</v>
      </c>
      <c r="E15" s="165">
        <v>1</v>
      </c>
      <c r="F15" s="165">
        <v>1</v>
      </c>
      <c r="G15" s="165">
        <v>1</v>
      </c>
      <c r="H15" s="165">
        <v>1</v>
      </c>
      <c r="I15" s="165">
        <v>1</v>
      </c>
      <c r="J15" s="165">
        <v>1</v>
      </c>
      <c r="K15" s="165">
        <v>1</v>
      </c>
      <c r="L15" s="165">
        <v>1</v>
      </c>
      <c r="M15" s="165">
        <v>1</v>
      </c>
    </row>
    <row r="16" spans="1:13" x14ac:dyDescent="0.25">
      <c r="B16" s="165">
        <v>1</v>
      </c>
      <c r="C16" s="165">
        <v>1</v>
      </c>
      <c r="D16" s="165">
        <v>1</v>
      </c>
      <c r="E16" s="165">
        <v>1</v>
      </c>
      <c r="F16" s="165">
        <v>1</v>
      </c>
      <c r="G16" s="165">
        <v>1</v>
      </c>
      <c r="H16" s="165">
        <v>1</v>
      </c>
      <c r="I16" s="165">
        <v>1</v>
      </c>
      <c r="J16" s="165">
        <v>1</v>
      </c>
      <c r="K16" s="165">
        <v>1</v>
      </c>
      <c r="L16" s="165">
        <v>1</v>
      </c>
      <c r="M16" s="165">
        <v>1</v>
      </c>
    </row>
    <row r="17" spans="1:13" x14ac:dyDescent="0.25">
      <c r="B17" s="165">
        <v>1</v>
      </c>
      <c r="C17" s="165">
        <v>1</v>
      </c>
      <c r="D17" s="165">
        <v>1</v>
      </c>
      <c r="E17" s="165">
        <v>1</v>
      </c>
      <c r="F17" s="165">
        <v>1</v>
      </c>
      <c r="G17" s="165">
        <v>1</v>
      </c>
      <c r="H17" s="165">
        <v>1</v>
      </c>
      <c r="I17" s="165">
        <v>1</v>
      </c>
      <c r="J17" s="165">
        <v>1</v>
      </c>
      <c r="K17" s="165">
        <v>1</v>
      </c>
      <c r="L17" s="165">
        <v>1</v>
      </c>
      <c r="M17" s="165">
        <v>1</v>
      </c>
    </row>
    <row r="18" spans="1:13" x14ac:dyDescent="0.25">
      <c r="B18" s="165">
        <v>1</v>
      </c>
      <c r="C18" s="165">
        <v>1</v>
      </c>
      <c r="D18" s="165">
        <v>1</v>
      </c>
      <c r="E18" s="165">
        <v>1</v>
      </c>
      <c r="F18" s="165">
        <v>1</v>
      </c>
      <c r="G18" s="165">
        <v>1</v>
      </c>
      <c r="H18" s="165">
        <v>1</v>
      </c>
      <c r="I18" s="165">
        <v>1</v>
      </c>
      <c r="J18" s="165">
        <v>1</v>
      </c>
      <c r="K18" s="165">
        <v>1</v>
      </c>
      <c r="L18" s="165">
        <v>1</v>
      </c>
      <c r="M18" s="165">
        <v>1</v>
      </c>
    </row>
    <row r="19" spans="1:13" x14ac:dyDescent="0.25">
      <c r="A19" t="s">
        <v>23</v>
      </c>
      <c r="B19" s="166">
        <f>AVERAGE(B3:B18)</f>
        <v>0.82499999999999996</v>
      </c>
      <c r="C19" s="166">
        <f t="shared" ref="C19:M19" si="0">AVERAGE(C3:C18)</f>
        <v>0.74375000000000002</v>
      </c>
      <c r="D19" s="166">
        <f t="shared" si="0"/>
        <v>0.80625000000000002</v>
      </c>
      <c r="E19" s="166">
        <f t="shared" si="0"/>
        <v>0.88124999999999998</v>
      </c>
      <c r="F19" s="166">
        <f t="shared" si="0"/>
        <v>0.86875000000000002</v>
      </c>
      <c r="G19" s="166">
        <f t="shared" si="0"/>
        <v>0.96250000000000002</v>
      </c>
      <c r="H19" s="166">
        <f t="shared" si="0"/>
        <v>0.95</v>
      </c>
      <c r="I19" s="166">
        <f t="shared" si="0"/>
        <v>0.91874999999999996</v>
      </c>
      <c r="J19" s="166">
        <f t="shared" si="0"/>
        <v>0.90625</v>
      </c>
      <c r="K19" s="166">
        <f t="shared" si="0"/>
        <v>0.89375000000000004</v>
      </c>
      <c r="L19" s="166">
        <f t="shared" si="0"/>
        <v>0.95625000000000004</v>
      </c>
      <c r="M19" s="166">
        <f t="shared" si="0"/>
        <v>0.97499999999999998</v>
      </c>
    </row>
    <row r="20" spans="1:13" x14ac:dyDescent="0.25">
      <c r="A20" t="s">
        <v>191</v>
      </c>
    </row>
  </sheetData>
  <mergeCells count="1">
    <mergeCell ref="J1:L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6"/>
  <sheetViews>
    <sheetView topLeftCell="C19" zoomScale="90" zoomScaleNormal="90" workbookViewId="0">
      <selection activeCell="Q34" sqref="Q34"/>
    </sheetView>
  </sheetViews>
  <sheetFormatPr defaultRowHeight="15" x14ac:dyDescent="0.25"/>
  <cols>
    <col min="12" max="12" width="11.7109375" customWidth="1"/>
    <col min="13" max="13" width="14.85546875" customWidth="1"/>
    <col min="27" max="27" width="9.5703125" bestFit="1" customWidth="1"/>
  </cols>
  <sheetData>
    <row r="1" spans="1:27" x14ac:dyDescent="0.25">
      <c r="A1" t="s">
        <v>17</v>
      </c>
      <c r="N1" s="7" t="s">
        <v>13</v>
      </c>
    </row>
    <row r="2" spans="1:27" x14ac:dyDescent="0.25">
      <c r="B2" s="188" t="s">
        <v>1</v>
      </c>
      <c r="C2" s="187" t="s">
        <v>2</v>
      </c>
      <c r="D2" s="187"/>
      <c r="E2" s="187"/>
      <c r="F2" s="187"/>
      <c r="G2" s="187"/>
      <c r="H2" s="187"/>
      <c r="I2" s="187"/>
      <c r="J2" s="187"/>
      <c r="K2" s="187"/>
      <c r="L2" s="188" t="s">
        <v>3</v>
      </c>
      <c r="N2" s="188" t="s">
        <v>1</v>
      </c>
      <c r="O2" s="187" t="s">
        <v>2</v>
      </c>
      <c r="P2" s="187"/>
      <c r="Q2" s="187"/>
      <c r="R2" s="187"/>
      <c r="S2" s="187"/>
      <c r="T2" s="187"/>
      <c r="U2" s="187"/>
      <c r="V2" s="187"/>
      <c r="W2" s="187"/>
      <c r="X2" s="188" t="s">
        <v>3</v>
      </c>
      <c r="Z2" s="15" t="s">
        <v>18</v>
      </c>
      <c r="AA2" s="3"/>
    </row>
    <row r="3" spans="1:27" x14ac:dyDescent="0.25">
      <c r="B3" s="188"/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6" t="s">
        <v>11</v>
      </c>
      <c r="K3" s="6" t="s">
        <v>12</v>
      </c>
      <c r="L3" s="188"/>
      <c r="N3" s="188"/>
      <c r="O3" s="6" t="s">
        <v>4</v>
      </c>
      <c r="P3" s="6" t="s">
        <v>5</v>
      </c>
      <c r="Q3" s="6" t="s">
        <v>6</v>
      </c>
      <c r="R3" s="6" t="s">
        <v>7</v>
      </c>
      <c r="S3" s="6" t="s">
        <v>8</v>
      </c>
      <c r="T3" s="6" t="s">
        <v>9</v>
      </c>
      <c r="U3" s="6" t="s">
        <v>10</v>
      </c>
      <c r="V3" s="6" t="s">
        <v>11</v>
      </c>
      <c r="W3" s="6" t="s">
        <v>12</v>
      </c>
      <c r="X3" s="188"/>
      <c r="Z3" s="2" t="s">
        <v>4</v>
      </c>
      <c r="AA3" s="10">
        <f>STDEV(O4:O23)</f>
        <v>2.7453309646130388</v>
      </c>
    </row>
    <row r="4" spans="1:27" x14ac:dyDescent="0.25">
      <c r="B4" s="14">
        <v>1</v>
      </c>
      <c r="C4" s="165">
        <v>4</v>
      </c>
      <c r="D4" s="165">
        <v>5</v>
      </c>
      <c r="E4" s="165">
        <v>3</v>
      </c>
      <c r="F4" s="165">
        <v>5</v>
      </c>
      <c r="G4" s="165">
        <v>5</v>
      </c>
      <c r="H4" s="165">
        <v>5</v>
      </c>
      <c r="I4" s="165">
        <v>5</v>
      </c>
      <c r="J4" s="165">
        <v>4</v>
      </c>
      <c r="K4" s="165">
        <v>5</v>
      </c>
      <c r="L4" s="1">
        <f t="shared" ref="L4:L23" si="0">SUM(C4:K4)</f>
        <v>41</v>
      </c>
      <c r="N4" s="14">
        <v>1</v>
      </c>
      <c r="O4" s="165">
        <v>2.5</v>
      </c>
      <c r="P4" s="165">
        <v>6.5</v>
      </c>
      <c r="Q4" s="165">
        <v>1</v>
      </c>
      <c r="R4" s="165">
        <v>6.5</v>
      </c>
      <c r="S4" s="165">
        <v>6.5</v>
      </c>
      <c r="T4" s="165">
        <v>6.5</v>
      </c>
      <c r="U4" s="165">
        <v>6.5</v>
      </c>
      <c r="V4" s="165">
        <v>2.5</v>
      </c>
      <c r="W4" s="165">
        <v>6.5</v>
      </c>
      <c r="X4" s="1">
        <f t="shared" ref="X4:X23" si="1">SUM(O4:W4)</f>
        <v>45</v>
      </c>
      <c r="Z4" s="12" t="s">
        <v>5</v>
      </c>
      <c r="AA4" s="10">
        <f>STDEV(P4:P23)</f>
        <v>2.5541503891756872</v>
      </c>
    </row>
    <row r="5" spans="1:27" x14ac:dyDescent="0.25">
      <c r="B5" s="14">
        <v>2</v>
      </c>
      <c r="C5" s="165">
        <v>4</v>
      </c>
      <c r="D5" s="165">
        <v>5</v>
      </c>
      <c r="E5" s="165">
        <v>4</v>
      </c>
      <c r="F5" s="165">
        <v>4</v>
      </c>
      <c r="G5" s="165">
        <v>4</v>
      </c>
      <c r="H5" s="165">
        <v>5</v>
      </c>
      <c r="I5" s="165">
        <v>4</v>
      </c>
      <c r="J5" s="165">
        <v>4</v>
      </c>
      <c r="K5" s="165">
        <v>4</v>
      </c>
      <c r="L5" s="1">
        <f t="shared" si="0"/>
        <v>38</v>
      </c>
      <c r="N5" s="14">
        <v>2</v>
      </c>
      <c r="O5" s="165">
        <v>4</v>
      </c>
      <c r="P5" s="165">
        <v>8.5</v>
      </c>
      <c r="Q5" s="165">
        <v>4</v>
      </c>
      <c r="R5" s="165">
        <v>4</v>
      </c>
      <c r="S5" s="165">
        <v>4</v>
      </c>
      <c r="T5" s="165">
        <v>8.5</v>
      </c>
      <c r="U5" s="165">
        <v>4</v>
      </c>
      <c r="V5" s="165">
        <v>4</v>
      </c>
      <c r="W5" s="165">
        <v>4</v>
      </c>
      <c r="X5" s="1">
        <f t="shared" si="1"/>
        <v>45</v>
      </c>
      <c r="Z5" s="2" t="s">
        <v>6</v>
      </c>
      <c r="AA5" s="10">
        <f>STDEV(Q4:Q23)</f>
        <v>2.0894471693929497</v>
      </c>
    </row>
    <row r="6" spans="1:27" x14ac:dyDescent="0.25">
      <c r="B6" s="14">
        <v>3</v>
      </c>
      <c r="C6" s="165">
        <v>2</v>
      </c>
      <c r="D6" s="165">
        <v>4</v>
      </c>
      <c r="E6" s="165">
        <v>4</v>
      </c>
      <c r="F6" s="165">
        <v>2</v>
      </c>
      <c r="G6" s="165">
        <v>2</v>
      </c>
      <c r="H6" s="165">
        <v>3</v>
      </c>
      <c r="I6" s="165">
        <v>4</v>
      </c>
      <c r="J6" s="165">
        <v>4</v>
      </c>
      <c r="K6" s="165">
        <v>3</v>
      </c>
      <c r="L6" s="1">
        <f t="shared" si="0"/>
        <v>28</v>
      </c>
      <c r="N6" s="14">
        <v>3</v>
      </c>
      <c r="O6" s="165">
        <v>2</v>
      </c>
      <c r="P6" s="165">
        <v>5.5</v>
      </c>
      <c r="Q6" s="165">
        <v>5.5</v>
      </c>
      <c r="R6" s="165">
        <v>2</v>
      </c>
      <c r="S6" s="165">
        <v>2</v>
      </c>
      <c r="T6" s="165">
        <v>8.5</v>
      </c>
      <c r="U6" s="165">
        <v>5.5</v>
      </c>
      <c r="V6" s="165">
        <v>5.5</v>
      </c>
      <c r="W6" s="165">
        <v>8.5</v>
      </c>
      <c r="X6" s="1">
        <f t="shared" si="1"/>
        <v>45</v>
      </c>
      <c r="Z6" s="2" t="s">
        <v>7</v>
      </c>
      <c r="AA6" s="10">
        <f>STDEV(R4:R23)</f>
        <v>1.8586568438412447</v>
      </c>
    </row>
    <row r="7" spans="1:27" x14ac:dyDescent="0.25">
      <c r="B7" s="14">
        <v>4</v>
      </c>
      <c r="C7" s="165">
        <v>3</v>
      </c>
      <c r="D7" s="165">
        <v>2</v>
      </c>
      <c r="E7" s="165">
        <v>2</v>
      </c>
      <c r="F7" s="165">
        <v>3</v>
      </c>
      <c r="G7" s="165">
        <v>3</v>
      </c>
      <c r="H7" s="165">
        <v>3</v>
      </c>
      <c r="I7" s="165">
        <v>4</v>
      </c>
      <c r="J7" s="165">
        <v>4</v>
      </c>
      <c r="K7" s="165">
        <v>4</v>
      </c>
      <c r="L7" s="1">
        <f t="shared" si="0"/>
        <v>28</v>
      </c>
      <c r="N7" s="14">
        <v>4</v>
      </c>
      <c r="O7" s="165">
        <v>4.5</v>
      </c>
      <c r="P7" s="165">
        <v>1.5</v>
      </c>
      <c r="Q7" s="165">
        <v>1.5</v>
      </c>
      <c r="R7" s="165">
        <v>4.5</v>
      </c>
      <c r="S7" s="165">
        <v>4.5</v>
      </c>
      <c r="T7" s="165">
        <v>4.5</v>
      </c>
      <c r="U7" s="165">
        <v>8</v>
      </c>
      <c r="V7" s="165">
        <v>8</v>
      </c>
      <c r="W7" s="165">
        <v>8</v>
      </c>
      <c r="X7" s="1">
        <f t="shared" si="1"/>
        <v>45</v>
      </c>
      <c r="Z7" s="2" t="s">
        <v>8</v>
      </c>
      <c r="AA7" s="10">
        <f>STDEV(S4:S23)</f>
        <v>1.6415653633362464</v>
      </c>
    </row>
    <row r="8" spans="1:27" x14ac:dyDescent="0.25">
      <c r="B8" s="14">
        <v>5</v>
      </c>
      <c r="C8" s="165">
        <v>4</v>
      </c>
      <c r="D8" s="165">
        <v>5</v>
      </c>
      <c r="E8" s="165">
        <v>5</v>
      </c>
      <c r="F8" s="165">
        <v>4</v>
      </c>
      <c r="G8" s="165">
        <v>5</v>
      </c>
      <c r="H8" s="165">
        <v>5</v>
      </c>
      <c r="I8" s="165">
        <v>4</v>
      </c>
      <c r="J8" s="165">
        <v>4</v>
      </c>
      <c r="K8" s="165">
        <v>5</v>
      </c>
      <c r="L8" s="1">
        <f t="shared" si="0"/>
        <v>41</v>
      </c>
      <c r="N8" s="14">
        <v>5</v>
      </c>
      <c r="O8" s="165">
        <v>2.5</v>
      </c>
      <c r="P8" s="165">
        <v>7</v>
      </c>
      <c r="Q8" s="165">
        <v>7</v>
      </c>
      <c r="R8" s="165">
        <v>2.5</v>
      </c>
      <c r="S8" s="165">
        <v>7</v>
      </c>
      <c r="T8" s="165">
        <v>7</v>
      </c>
      <c r="U8" s="165">
        <v>2.5</v>
      </c>
      <c r="V8" s="165">
        <v>2.5</v>
      </c>
      <c r="W8" s="165">
        <v>7</v>
      </c>
      <c r="X8" s="1">
        <f t="shared" si="1"/>
        <v>45</v>
      </c>
      <c r="Z8" s="2" t="s">
        <v>9</v>
      </c>
      <c r="AA8" s="10">
        <f>STDEV(T4:T23)</f>
        <v>2.5612240083703406</v>
      </c>
    </row>
    <row r="9" spans="1:27" x14ac:dyDescent="0.25">
      <c r="B9" s="14">
        <v>6</v>
      </c>
      <c r="C9" s="165">
        <v>3</v>
      </c>
      <c r="D9" s="165">
        <v>5</v>
      </c>
      <c r="E9" s="165">
        <v>4</v>
      </c>
      <c r="F9" s="165">
        <v>4</v>
      </c>
      <c r="G9" s="165">
        <v>3</v>
      </c>
      <c r="H9" s="165">
        <v>5</v>
      </c>
      <c r="I9" s="165">
        <v>3</v>
      </c>
      <c r="J9" s="165">
        <v>4</v>
      </c>
      <c r="K9" s="165">
        <v>4</v>
      </c>
      <c r="L9" s="1">
        <f t="shared" si="0"/>
        <v>35</v>
      </c>
      <c r="N9" s="14">
        <v>6</v>
      </c>
      <c r="O9" s="165">
        <v>2</v>
      </c>
      <c r="P9" s="165">
        <v>8.5</v>
      </c>
      <c r="Q9" s="165">
        <v>5.5</v>
      </c>
      <c r="R9" s="165">
        <v>5.5</v>
      </c>
      <c r="S9" s="165">
        <v>2</v>
      </c>
      <c r="T9" s="165">
        <v>8.5</v>
      </c>
      <c r="U9" s="165">
        <v>2</v>
      </c>
      <c r="V9" s="165">
        <v>5.5</v>
      </c>
      <c r="W9" s="165">
        <v>5.5</v>
      </c>
      <c r="X9" s="1">
        <f t="shared" si="1"/>
        <v>45</v>
      </c>
      <c r="Z9" s="2" t="s">
        <v>10</v>
      </c>
      <c r="AA9" s="10">
        <f>STDEV(U4:U23)</f>
        <v>2.3902213066443956</v>
      </c>
    </row>
    <row r="10" spans="1:27" x14ac:dyDescent="0.25">
      <c r="B10" s="14">
        <v>7</v>
      </c>
      <c r="C10" s="165">
        <v>1</v>
      </c>
      <c r="D10" s="165">
        <v>4</v>
      </c>
      <c r="E10" s="165">
        <v>2</v>
      </c>
      <c r="F10" s="165">
        <v>4</v>
      </c>
      <c r="G10" s="165">
        <v>2</v>
      </c>
      <c r="H10" s="165">
        <v>4</v>
      </c>
      <c r="I10" s="165">
        <v>4</v>
      </c>
      <c r="J10" s="165">
        <v>5</v>
      </c>
      <c r="K10" s="165">
        <v>2</v>
      </c>
      <c r="L10" s="1">
        <f t="shared" si="0"/>
        <v>28</v>
      </c>
      <c r="N10" s="14">
        <v>7</v>
      </c>
      <c r="O10" s="165">
        <v>1</v>
      </c>
      <c r="P10" s="165">
        <v>6.5</v>
      </c>
      <c r="Q10" s="165">
        <v>3</v>
      </c>
      <c r="R10" s="165">
        <v>6.5</v>
      </c>
      <c r="S10" s="165">
        <v>3</v>
      </c>
      <c r="T10" s="165">
        <v>6.5</v>
      </c>
      <c r="U10" s="165">
        <v>6.5</v>
      </c>
      <c r="V10" s="165">
        <v>9</v>
      </c>
      <c r="W10" s="165">
        <v>3</v>
      </c>
      <c r="X10" s="1">
        <f t="shared" si="1"/>
        <v>45</v>
      </c>
      <c r="Z10" s="2" t="s">
        <v>11</v>
      </c>
      <c r="AA10" s="10">
        <f>STDEV(V4:V23)</f>
        <v>2.3834682822793298</v>
      </c>
    </row>
    <row r="11" spans="1:27" x14ac:dyDescent="0.25">
      <c r="B11" s="14">
        <v>8</v>
      </c>
      <c r="C11" s="165">
        <v>5</v>
      </c>
      <c r="D11" s="165">
        <v>5</v>
      </c>
      <c r="E11" s="165">
        <v>4</v>
      </c>
      <c r="F11" s="165">
        <v>5</v>
      </c>
      <c r="G11" s="165">
        <v>4</v>
      </c>
      <c r="H11" s="165">
        <v>5</v>
      </c>
      <c r="I11" s="165">
        <v>2</v>
      </c>
      <c r="J11" s="165">
        <v>2</v>
      </c>
      <c r="K11" s="165">
        <v>4</v>
      </c>
      <c r="L11" s="1">
        <f t="shared" si="0"/>
        <v>36</v>
      </c>
      <c r="N11" s="14">
        <v>8</v>
      </c>
      <c r="O11" s="165">
        <v>7.5</v>
      </c>
      <c r="P11" s="165">
        <v>7.5</v>
      </c>
      <c r="Q11" s="165">
        <v>4</v>
      </c>
      <c r="R11" s="165">
        <v>7.5</v>
      </c>
      <c r="S11" s="165">
        <v>4</v>
      </c>
      <c r="T11" s="165">
        <v>7.5</v>
      </c>
      <c r="U11" s="165">
        <v>1.5</v>
      </c>
      <c r="V11" s="165">
        <v>1.5</v>
      </c>
      <c r="W11" s="165">
        <v>4</v>
      </c>
      <c r="X11" s="1">
        <f t="shared" si="1"/>
        <v>45</v>
      </c>
      <c r="Z11" s="2" t="s">
        <v>12</v>
      </c>
      <c r="AA11" s="10">
        <f>STDEV(W4:W23)</f>
        <v>2.2199751065460651</v>
      </c>
    </row>
    <row r="12" spans="1:27" x14ac:dyDescent="0.25">
      <c r="B12" s="14">
        <v>9</v>
      </c>
      <c r="C12" s="165">
        <v>4</v>
      </c>
      <c r="D12" s="165">
        <v>4</v>
      </c>
      <c r="E12" s="165">
        <v>3</v>
      </c>
      <c r="F12" s="165">
        <v>4</v>
      </c>
      <c r="G12" s="165">
        <v>4</v>
      </c>
      <c r="H12" s="165">
        <v>3</v>
      </c>
      <c r="I12" s="165">
        <v>4</v>
      </c>
      <c r="J12" s="165">
        <v>5</v>
      </c>
      <c r="K12" s="165">
        <v>3</v>
      </c>
      <c r="L12" s="1">
        <f t="shared" si="0"/>
        <v>34</v>
      </c>
      <c r="N12" s="14">
        <v>9</v>
      </c>
      <c r="O12" s="165">
        <v>6</v>
      </c>
      <c r="P12" s="165">
        <v>6</v>
      </c>
      <c r="Q12" s="165">
        <v>2</v>
      </c>
      <c r="R12" s="165">
        <v>6</v>
      </c>
      <c r="S12" s="165">
        <v>6</v>
      </c>
      <c r="T12" s="165">
        <v>2</v>
      </c>
      <c r="U12" s="165">
        <v>6</v>
      </c>
      <c r="V12" s="165">
        <v>9</v>
      </c>
      <c r="W12" s="165">
        <v>2</v>
      </c>
      <c r="X12" s="1">
        <f t="shared" si="1"/>
        <v>45</v>
      </c>
    </row>
    <row r="13" spans="1:27" x14ac:dyDescent="0.25">
      <c r="B13" s="14">
        <v>10</v>
      </c>
      <c r="C13" s="165">
        <v>4</v>
      </c>
      <c r="D13" s="165">
        <v>3</v>
      </c>
      <c r="E13" s="165">
        <v>3</v>
      </c>
      <c r="F13" s="165">
        <v>3</v>
      </c>
      <c r="G13" s="165">
        <v>4</v>
      </c>
      <c r="H13" s="165">
        <v>3</v>
      </c>
      <c r="I13" s="165">
        <v>3</v>
      </c>
      <c r="J13" s="165">
        <v>4</v>
      </c>
      <c r="K13" s="165">
        <v>4</v>
      </c>
      <c r="L13" s="1">
        <f t="shared" si="0"/>
        <v>31</v>
      </c>
      <c r="N13" s="14">
        <v>10</v>
      </c>
      <c r="O13" s="165">
        <v>7.5</v>
      </c>
      <c r="P13" s="165">
        <v>3</v>
      </c>
      <c r="Q13" s="165">
        <v>3</v>
      </c>
      <c r="R13" s="165">
        <v>3</v>
      </c>
      <c r="S13" s="165">
        <v>7.5</v>
      </c>
      <c r="T13" s="165">
        <v>3</v>
      </c>
      <c r="U13" s="165">
        <v>3</v>
      </c>
      <c r="V13" s="165">
        <v>7.5</v>
      </c>
      <c r="W13" s="165">
        <v>7.5</v>
      </c>
      <c r="X13" s="1">
        <f t="shared" si="1"/>
        <v>45</v>
      </c>
    </row>
    <row r="14" spans="1:27" x14ac:dyDescent="0.25">
      <c r="B14" s="14">
        <v>11</v>
      </c>
      <c r="C14" s="165">
        <v>5</v>
      </c>
      <c r="D14" s="165">
        <v>4</v>
      </c>
      <c r="E14" s="165">
        <v>2</v>
      </c>
      <c r="F14" s="165">
        <v>3</v>
      </c>
      <c r="G14" s="165">
        <v>3</v>
      </c>
      <c r="H14" s="165">
        <v>2</v>
      </c>
      <c r="I14" s="165">
        <v>5</v>
      </c>
      <c r="J14" s="165">
        <v>2</v>
      </c>
      <c r="K14" s="165">
        <v>3</v>
      </c>
      <c r="L14" s="1">
        <f t="shared" si="0"/>
        <v>29</v>
      </c>
      <c r="N14" s="14">
        <v>11</v>
      </c>
      <c r="O14" s="165">
        <v>8.5</v>
      </c>
      <c r="P14" s="165">
        <v>7</v>
      </c>
      <c r="Q14" s="165">
        <v>2</v>
      </c>
      <c r="R14" s="165">
        <v>5</v>
      </c>
      <c r="S14" s="165">
        <v>5</v>
      </c>
      <c r="T14" s="165">
        <v>2</v>
      </c>
      <c r="U14" s="165">
        <v>8.5</v>
      </c>
      <c r="V14" s="165">
        <v>2</v>
      </c>
      <c r="W14" s="165">
        <v>5</v>
      </c>
      <c r="X14" s="1">
        <f t="shared" si="1"/>
        <v>45</v>
      </c>
    </row>
    <row r="15" spans="1:27" x14ac:dyDescent="0.25">
      <c r="B15" s="14">
        <v>12</v>
      </c>
      <c r="C15" s="165">
        <v>2</v>
      </c>
      <c r="D15" s="165">
        <v>4</v>
      </c>
      <c r="E15" s="165">
        <v>4</v>
      </c>
      <c r="F15" s="165">
        <v>2</v>
      </c>
      <c r="G15" s="165">
        <v>4</v>
      </c>
      <c r="H15" s="165">
        <v>4</v>
      </c>
      <c r="I15" s="165">
        <v>4</v>
      </c>
      <c r="J15" s="165">
        <v>4</v>
      </c>
      <c r="K15" s="165">
        <v>3</v>
      </c>
      <c r="L15" s="1">
        <f t="shared" si="0"/>
        <v>31</v>
      </c>
      <c r="N15" s="14">
        <v>12</v>
      </c>
      <c r="O15" s="165">
        <v>1.5</v>
      </c>
      <c r="P15" s="165">
        <v>6.5</v>
      </c>
      <c r="Q15" s="165">
        <v>6.5</v>
      </c>
      <c r="R15" s="165">
        <v>1.5</v>
      </c>
      <c r="S15" s="165">
        <v>6.5</v>
      </c>
      <c r="T15" s="165">
        <v>6.5</v>
      </c>
      <c r="U15" s="165">
        <v>6.5</v>
      </c>
      <c r="V15" s="165">
        <v>6.5</v>
      </c>
      <c r="W15" s="165">
        <v>3</v>
      </c>
      <c r="X15" s="1">
        <f t="shared" si="1"/>
        <v>45</v>
      </c>
    </row>
    <row r="16" spans="1:27" x14ac:dyDescent="0.25">
      <c r="B16" s="14">
        <v>13</v>
      </c>
      <c r="C16" s="165">
        <v>2</v>
      </c>
      <c r="D16" s="165">
        <v>2</v>
      </c>
      <c r="E16" s="165">
        <v>2</v>
      </c>
      <c r="F16" s="165">
        <v>5</v>
      </c>
      <c r="G16" s="165">
        <v>2</v>
      </c>
      <c r="H16" s="165">
        <v>2</v>
      </c>
      <c r="I16" s="165">
        <v>4</v>
      </c>
      <c r="J16" s="165">
        <v>5</v>
      </c>
      <c r="K16" s="165">
        <v>5</v>
      </c>
      <c r="L16" s="1">
        <f t="shared" si="0"/>
        <v>29</v>
      </c>
      <c r="N16" s="14">
        <v>13</v>
      </c>
      <c r="O16" s="165">
        <v>3</v>
      </c>
      <c r="P16" s="165">
        <v>3</v>
      </c>
      <c r="Q16" s="165">
        <v>3</v>
      </c>
      <c r="R16" s="165">
        <v>8</v>
      </c>
      <c r="S16" s="165">
        <v>3</v>
      </c>
      <c r="T16" s="165">
        <v>3</v>
      </c>
      <c r="U16" s="165">
        <v>6</v>
      </c>
      <c r="V16" s="165">
        <v>8</v>
      </c>
      <c r="W16" s="165">
        <v>8</v>
      </c>
      <c r="X16" s="1">
        <f t="shared" si="1"/>
        <v>45</v>
      </c>
    </row>
    <row r="17" spans="2:24" x14ac:dyDescent="0.25">
      <c r="B17" s="14">
        <v>14</v>
      </c>
      <c r="C17" s="165">
        <v>5</v>
      </c>
      <c r="D17" s="165">
        <v>4</v>
      </c>
      <c r="E17" s="165">
        <v>4</v>
      </c>
      <c r="F17" s="165">
        <v>4</v>
      </c>
      <c r="G17" s="165">
        <v>4</v>
      </c>
      <c r="H17" s="165">
        <v>2</v>
      </c>
      <c r="I17" s="165">
        <v>2</v>
      </c>
      <c r="J17" s="165">
        <v>4</v>
      </c>
      <c r="K17" s="165">
        <v>3</v>
      </c>
      <c r="L17" s="1">
        <f t="shared" si="0"/>
        <v>32</v>
      </c>
      <c r="N17" s="14">
        <v>14</v>
      </c>
      <c r="O17" s="165">
        <v>9</v>
      </c>
      <c r="P17" s="165">
        <v>6</v>
      </c>
      <c r="Q17" s="165">
        <v>6</v>
      </c>
      <c r="R17" s="165">
        <v>6</v>
      </c>
      <c r="S17" s="165">
        <v>6</v>
      </c>
      <c r="T17" s="165">
        <v>1.5</v>
      </c>
      <c r="U17" s="165">
        <v>1.5</v>
      </c>
      <c r="V17" s="165">
        <v>6</v>
      </c>
      <c r="W17" s="165">
        <v>3</v>
      </c>
      <c r="X17" s="1">
        <f t="shared" si="1"/>
        <v>45</v>
      </c>
    </row>
    <row r="18" spans="2:24" x14ac:dyDescent="0.25">
      <c r="B18" s="14">
        <v>15</v>
      </c>
      <c r="C18" s="165">
        <v>2</v>
      </c>
      <c r="D18" s="165">
        <v>2</v>
      </c>
      <c r="E18" s="165">
        <v>4</v>
      </c>
      <c r="F18" s="165">
        <v>4</v>
      </c>
      <c r="G18" s="165">
        <v>4</v>
      </c>
      <c r="H18" s="165">
        <v>4</v>
      </c>
      <c r="I18" s="165">
        <v>4</v>
      </c>
      <c r="J18" s="165">
        <v>4</v>
      </c>
      <c r="K18" s="165">
        <v>4</v>
      </c>
      <c r="L18" s="1">
        <f t="shared" si="0"/>
        <v>32</v>
      </c>
      <c r="N18" s="14">
        <v>15</v>
      </c>
      <c r="O18" s="165">
        <v>1.5</v>
      </c>
      <c r="P18" s="165">
        <v>1.5</v>
      </c>
      <c r="Q18" s="165">
        <v>6</v>
      </c>
      <c r="R18" s="165">
        <v>6</v>
      </c>
      <c r="S18" s="165">
        <v>6</v>
      </c>
      <c r="T18" s="165">
        <v>6</v>
      </c>
      <c r="U18" s="165">
        <v>6</v>
      </c>
      <c r="V18" s="165">
        <v>6</v>
      </c>
      <c r="W18" s="165">
        <v>6</v>
      </c>
      <c r="X18" s="1">
        <f t="shared" si="1"/>
        <v>45</v>
      </c>
    </row>
    <row r="19" spans="2:24" x14ac:dyDescent="0.25">
      <c r="B19" s="14">
        <v>16</v>
      </c>
      <c r="C19" s="165">
        <v>4</v>
      </c>
      <c r="D19" s="165">
        <v>2</v>
      </c>
      <c r="E19" s="165">
        <v>5</v>
      </c>
      <c r="F19" s="165">
        <v>5</v>
      </c>
      <c r="G19" s="165">
        <v>4</v>
      </c>
      <c r="H19" s="165">
        <v>4</v>
      </c>
      <c r="I19" s="165">
        <v>5</v>
      </c>
      <c r="J19" s="165">
        <v>5</v>
      </c>
      <c r="K19" s="165">
        <v>4</v>
      </c>
      <c r="L19" s="1">
        <f t="shared" si="0"/>
        <v>38</v>
      </c>
      <c r="N19" s="14">
        <v>16</v>
      </c>
      <c r="O19" s="165">
        <v>3.5</v>
      </c>
      <c r="P19" s="165">
        <v>1</v>
      </c>
      <c r="Q19" s="165">
        <v>7.5</v>
      </c>
      <c r="R19" s="165">
        <v>7.5</v>
      </c>
      <c r="S19" s="165">
        <v>3.5</v>
      </c>
      <c r="T19" s="165">
        <v>3.5</v>
      </c>
      <c r="U19" s="165">
        <v>7.5</v>
      </c>
      <c r="V19" s="165">
        <v>7.5</v>
      </c>
      <c r="W19" s="165">
        <v>3.5</v>
      </c>
      <c r="X19" s="1">
        <f t="shared" si="1"/>
        <v>45</v>
      </c>
    </row>
    <row r="20" spans="2:24" x14ac:dyDescent="0.25">
      <c r="B20" s="14">
        <v>17</v>
      </c>
      <c r="C20" s="165">
        <v>2</v>
      </c>
      <c r="D20" s="165">
        <v>2</v>
      </c>
      <c r="E20" s="165">
        <v>3</v>
      </c>
      <c r="F20" s="165">
        <v>3</v>
      </c>
      <c r="G20" s="165">
        <v>3</v>
      </c>
      <c r="H20" s="165">
        <v>4</v>
      </c>
      <c r="I20" s="165">
        <v>3</v>
      </c>
      <c r="J20" s="165">
        <v>4</v>
      </c>
      <c r="K20" s="165">
        <v>4</v>
      </c>
      <c r="L20" s="1">
        <f t="shared" si="0"/>
        <v>28</v>
      </c>
      <c r="N20" s="14">
        <v>17</v>
      </c>
      <c r="O20" s="165">
        <v>1.5</v>
      </c>
      <c r="P20" s="165">
        <v>1.5</v>
      </c>
      <c r="Q20" s="165">
        <v>4.5</v>
      </c>
      <c r="R20" s="165">
        <v>4.5</v>
      </c>
      <c r="S20" s="165">
        <v>4.5</v>
      </c>
      <c r="T20" s="165">
        <v>8</v>
      </c>
      <c r="U20" s="165">
        <v>4.5</v>
      </c>
      <c r="V20" s="165">
        <v>8</v>
      </c>
      <c r="W20" s="165">
        <v>8</v>
      </c>
      <c r="X20" s="1">
        <f t="shared" si="1"/>
        <v>45</v>
      </c>
    </row>
    <row r="21" spans="2:24" x14ac:dyDescent="0.25">
      <c r="B21" s="14">
        <v>18</v>
      </c>
      <c r="C21" s="165">
        <v>4</v>
      </c>
      <c r="D21" s="165">
        <v>3</v>
      </c>
      <c r="E21" s="165">
        <v>4</v>
      </c>
      <c r="F21" s="165">
        <v>3</v>
      </c>
      <c r="G21" s="165">
        <v>3</v>
      </c>
      <c r="H21" s="165">
        <v>3</v>
      </c>
      <c r="I21" s="165">
        <v>2</v>
      </c>
      <c r="J21" s="165">
        <v>3</v>
      </c>
      <c r="K21" s="165">
        <v>4</v>
      </c>
      <c r="L21" s="1">
        <f t="shared" si="0"/>
        <v>29</v>
      </c>
      <c r="N21" s="14">
        <v>18</v>
      </c>
      <c r="O21" s="165">
        <v>8</v>
      </c>
      <c r="P21" s="165">
        <v>4</v>
      </c>
      <c r="Q21" s="165">
        <v>8</v>
      </c>
      <c r="R21" s="165">
        <v>4</v>
      </c>
      <c r="S21" s="165">
        <v>4</v>
      </c>
      <c r="T21" s="165">
        <v>4</v>
      </c>
      <c r="U21" s="165">
        <v>1</v>
      </c>
      <c r="V21" s="165">
        <v>4</v>
      </c>
      <c r="W21" s="165">
        <v>8</v>
      </c>
      <c r="X21" s="1">
        <f t="shared" si="1"/>
        <v>45</v>
      </c>
    </row>
    <row r="22" spans="2:24" x14ac:dyDescent="0.25">
      <c r="B22" s="14">
        <v>19</v>
      </c>
      <c r="C22" s="165">
        <v>4</v>
      </c>
      <c r="D22" s="165">
        <v>4</v>
      </c>
      <c r="E22" s="165">
        <v>4</v>
      </c>
      <c r="F22" s="165">
        <v>4</v>
      </c>
      <c r="G22" s="165">
        <v>4</v>
      </c>
      <c r="H22" s="165">
        <v>2</v>
      </c>
      <c r="I22" s="165">
        <v>2</v>
      </c>
      <c r="J22" s="165">
        <v>4</v>
      </c>
      <c r="K22" s="165">
        <v>3</v>
      </c>
      <c r="L22" s="1">
        <f t="shared" si="0"/>
        <v>31</v>
      </c>
      <c r="N22" s="14">
        <v>19</v>
      </c>
      <c r="O22" s="165">
        <v>6.5</v>
      </c>
      <c r="P22" s="165">
        <v>6.5</v>
      </c>
      <c r="Q22" s="165">
        <v>6.5</v>
      </c>
      <c r="R22" s="165">
        <v>6.5</v>
      </c>
      <c r="S22" s="165">
        <v>6.5</v>
      </c>
      <c r="T22" s="165">
        <v>1.5</v>
      </c>
      <c r="U22" s="165">
        <v>1.5</v>
      </c>
      <c r="V22" s="165">
        <v>6.5</v>
      </c>
      <c r="W22" s="165">
        <v>3</v>
      </c>
      <c r="X22" s="1">
        <f t="shared" si="1"/>
        <v>45</v>
      </c>
    </row>
    <row r="23" spans="2:24" x14ac:dyDescent="0.25">
      <c r="B23" s="14">
        <v>20</v>
      </c>
      <c r="C23" s="165">
        <v>2</v>
      </c>
      <c r="D23" s="165">
        <v>2</v>
      </c>
      <c r="E23" s="165">
        <v>3</v>
      </c>
      <c r="F23" s="165">
        <v>3</v>
      </c>
      <c r="G23" s="165">
        <v>3</v>
      </c>
      <c r="H23" s="165">
        <v>4</v>
      </c>
      <c r="I23" s="165">
        <v>3</v>
      </c>
      <c r="J23" s="165">
        <v>4</v>
      </c>
      <c r="K23" s="165">
        <v>4</v>
      </c>
      <c r="L23" s="1">
        <f t="shared" si="0"/>
        <v>28</v>
      </c>
      <c r="N23" s="14">
        <v>20</v>
      </c>
      <c r="O23" s="165">
        <v>1.5</v>
      </c>
      <c r="P23" s="165">
        <v>1.5</v>
      </c>
      <c r="Q23" s="165">
        <v>4.5</v>
      </c>
      <c r="R23" s="165">
        <v>4.5</v>
      </c>
      <c r="S23" s="165">
        <v>4.5</v>
      </c>
      <c r="T23" s="165">
        <v>8</v>
      </c>
      <c r="U23" s="165">
        <v>4.5</v>
      </c>
      <c r="V23" s="165">
        <v>8</v>
      </c>
      <c r="W23" s="165">
        <v>8</v>
      </c>
      <c r="X23" s="1">
        <f t="shared" si="1"/>
        <v>45</v>
      </c>
    </row>
    <row r="24" spans="2:24" x14ac:dyDescent="0.25">
      <c r="B24" s="31" t="s">
        <v>15</v>
      </c>
      <c r="C24" s="177">
        <f>AVERAGE(C4:C23)</f>
        <v>3.3</v>
      </c>
      <c r="D24" s="177">
        <f t="shared" ref="D24:K24" si="2">AVERAGE(D4:D23)</f>
        <v>3.55</v>
      </c>
      <c r="E24" s="177">
        <f t="shared" si="2"/>
        <v>3.45</v>
      </c>
      <c r="F24" s="177">
        <f t="shared" si="2"/>
        <v>3.7</v>
      </c>
      <c r="G24" s="177">
        <f t="shared" si="2"/>
        <v>3.5</v>
      </c>
      <c r="H24" s="177">
        <f t="shared" si="2"/>
        <v>3.6</v>
      </c>
      <c r="I24" s="177">
        <f t="shared" si="2"/>
        <v>3.55</v>
      </c>
      <c r="J24" s="177">
        <f t="shared" si="2"/>
        <v>3.95</v>
      </c>
      <c r="K24" s="177">
        <f t="shared" si="2"/>
        <v>3.75</v>
      </c>
      <c r="L24" s="31"/>
      <c r="N24" s="8" t="s">
        <v>14</v>
      </c>
      <c r="O24" s="8">
        <f>SUM(O4:O23)</f>
        <v>84</v>
      </c>
      <c r="P24" s="8">
        <f t="shared" ref="P24:W24" si="3">SUM(P4:P23)</f>
        <v>99</v>
      </c>
      <c r="Q24" s="8">
        <f t="shared" si="3"/>
        <v>91</v>
      </c>
      <c r="R24" s="8">
        <f t="shared" si="3"/>
        <v>101.5</v>
      </c>
      <c r="S24" s="8">
        <f t="shared" si="3"/>
        <v>96</v>
      </c>
      <c r="T24" s="8">
        <f t="shared" si="3"/>
        <v>106.5</v>
      </c>
      <c r="U24" s="8">
        <f t="shared" si="3"/>
        <v>93</v>
      </c>
      <c r="V24" s="8">
        <f t="shared" si="3"/>
        <v>117.5</v>
      </c>
      <c r="W24" s="8">
        <f t="shared" si="3"/>
        <v>111.5</v>
      </c>
      <c r="X24" s="1"/>
    </row>
    <row r="30" spans="2:24" ht="15.75" thickBot="1" x14ac:dyDescent="0.3">
      <c r="Q30">
        <f>SUMSQ(O24:W24)</f>
        <v>90886</v>
      </c>
    </row>
    <row r="31" spans="2:24" ht="15.75" thickBot="1" x14ac:dyDescent="0.3">
      <c r="G31" s="32"/>
      <c r="H31" s="43" t="s">
        <v>150</v>
      </c>
      <c r="I31" s="43"/>
      <c r="J31" s="43"/>
      <c r="K31" s="44"/>
      <c r="L31" s="44"/>
      <c r="N31" s="44"/>
      <c r="O31" s="34"/>
    </row>
    <row r="32" spans="2:24" ht="15.75" thickBot="1" x14ac:dyDescent="0.3">
      <c r="B32" s="33"/>
      <c r="C32" s="33"/>
      <c r="D32" s="33"/>
      <c r="E32" s="34"/>
      <c r="G32" s="35"/>
      <c r="H32" s="185" t="s">
        <v>21</v>
      </c>
      <c r="I32" s="185"/>
      <c r="J32" s="185"/>
      <c r="K32" s="185"/>
      <c r="L32" s="45" t="s">
        <v>34</v>
      </c>
      <c r="M32" s="44"/>
      <c r="N32" s="46"/>
      <c r="O32" s="36"/>
    </row>
    <row r="33" spans="1:17" x14ac:dyDescent="0.25">
      <c r="A33" s="32"/>
      <c r="B33" s="42" t="s">
        <v>27</v>
      </c>
      <c r="C33" s="42" t="s">
        <v>28</v>
      </c>
      <c r="D33" s="49"/>
      <c r="E33" s="36"/>
      <c r="G33" s="35"/>
      <c r="H33" s="185" t="s">
        <v>32</v>
      </c>
      <c r="I33" s="185"/>
      <c r="J33" s="185"/>
      <c r="K33" s="185"/>
      <c r="L33" s="156">
        <f>C24</f>
        <v>3.3</v>
      </c>
      <c r="M33" s="45" t="s">
        <v>33</v>
      </c>
      <c r="N33" s="46"/>
      <c r="O33" s="36"/>
      <c r="Q33">
        <f>12/((20*9)*(9+1))*Q30-600</f>
        <v>5.9066666666667516</v>
      </c>
    </row>
    <row r="34" spans="1:17" x14ac:dyDescent="0.25">
      <c r="A34" s="35"/>
      <c r="B34" s="4" t="s">
        <v>25</v>
      </c>
      <c r="C34" s="79">
        <f>(12/((20*9)*(9+1))*SUMSQ(O24:W24)-3*(20)*(9+1))</f>
        <v>5.9066666666667516</v>
      </c>
      <c r="D34" s="40"/>
      <c r="E34" s="36"/>
      <c r="G34" s="35"/>
      <c r="H34" s="185" t="s">
        <v>36</v>
      </c>
      <c r="I34" s="185"/>
      <c r="J34" s="185"/>
      <c r="K34" s="185"/>
      <c r="L34" s="156">
        <f>D24</f>
        <v>3.55</v>
      </c>
      <c r="M34" s="156">
        <f>O24</f>
        <v>84</v>
      </c>
      <c r="N34" s="46"/>
      <c r="O34" s="36"/>
    </row>
    <row r="35" spans="1:17" x14ac:dyDescent="0.25">
      <c r="A35" s="35"/>
      <c r="B35" s="4" t="s">
        <v>26</v>
      </c>
      <c r="C35" s="10">
        <f>_xlfn.CHISQ.INV.RT(0.05,8)</f>
        <v>15.507313055865453</v>
      </c>
      <c r="D35" s="40"/>
      <c r="E35" s="36"/>
      <c r="G35" s="35"/>
      <c r="H35" s="185" t="s">
        <v>35</v>
      </c>
      <c r="I35" s="185"/>
      <c r="J35" s="185"/>
      <c r="K35" s="185"/>
      <c r="L35" s="156">
        <f>E24</f>
        <v>3.45</v>
      </c>
      <c r="M35" s="156">
        <f>P24</f>
        <v>99</v>
      </c>
      <c r="N35" s="46"/>
      <c r="O35" s="36"/>
    </row>
    <row r="36" spans="1:17" ht="15.75" thickBot="1" x14ac:dyDescent="0.3">
      <c r="A36" s="35"/>
      <c r="B36" s="38"/>
      <c r="C36" s="38"/>
      <c r="D36" s="38"/>
      <c r="E36" s="39"/>
      <c r="G36" s="35"/>
      <c r="H36" s="185" t="s">
        <v>37</v>
      </c>
      <c r="I36" s="185"/>
      <c r="J36" s="185"/>
      <c r="K36" s="185"/>
      <c r="L36" s="156">
        <f>F24</f>
        <v>3.7</v>
      </c>
      <c r="M36" s="156">
        <f>Q24</f>
        <v>91</v>
      </c>
      <c r="N36" s="46"/>
      <c r="O36" s="36"/>
    </row>
    <row r="37" spans="1:17" ht="15.75" thickBot="1" x14ac:dyDescent="0.3">
      <c r="A37" s="37"/>
      <c r="G37" s="35"/>
      <c r="H37" s="185" t="s">
        <v>38</v>
      </c>
      <c r="I37" s="185"/>
      <c r="J37" s="185"/>
      <c r="K37" s="185"/>
      <c r="L37" s="156">
        <f>G24</f>
        <v>3.5</v>
      </c>
      <c r="M37" s="156">
        <f>R24</f>
        <v>101.5</v>
      </c>
      <c r="N37" s="46"/>
      <c r="O37" s="36"/>
    </row>
    <row r="38" spans="1:17" x14ac:dyDescent="0.25">
      <c r="G38" s="35"/>
      <c r="H38" s="185" t="s">
        <v>39</v>
      </c>
      <c r="I38" s="185"/>
      <c r="J38" s="185"/>
      <c r="K38" s="185"/>
      <c r="L38" s="156">
        <f>H24</f>
        <v>3.6</v>
      </c>
      <c r="M38" s="156">
        <f>S24</f>
        <v>96</v>
      </c>
      <c r="N38" s="46"/>
      <c r="O38" s="36"/>
    </row>
    <row r="39" spans="1:17" x14ac:dyDescent="0.25">
      <c r="G39" s="35"/>
      <c r="H39" s="190" t="s">
        <v>40</v>
      </c>
      <c r="I39" s="190"/>
      <c r="J39" s="190"/>
      <c r="K39" s="190"/>
      <c r="L39" s="156">
        <f>I24</f>
        <v>3.55</v>
      </c>
      <c r="M39" s="156">
        <f>T24</f>
        <v>106.5</v>
      </c>
      <c r="N39" s="46"/>
      <c r="O39" s="36"/>
    </row>
    <row r="40" spans="1:17" x14ac:dyDescent="0.25">
      <c r="G40" s="35"/>
      <c r="H40" s="185" t="s">
        <v>41</v>
      </c>
      <c r="I40" s="185"/>
      <c r="J40" s="185"/>
      <c r="K40" s="185"/>
      <c r="L40" s="156">
        <f>J24</f>
        <v>3.95</v>
      </c>
      <c r="M40" s="156">
        <f>U24</f>
        <v>93</v>
      </c>
      <c r="N40" s="46"/>
      <c r="O40" s="36"/>
    </row>
    <row r="41" spans="1:17" x14ac:dyDescent="0.25">
      <c r="G41" s="35"/>
      <c r="H41" s="191" t="s">
        <v>42</v>
      </c>
      <c r="I41" s="191"/>
      <c r="J41" s="191"/>
      <c r="K41" s="191"/>
      <c r="L41" s="156">
        <f>K24</f>
        <v>3.75</v>
      </c>
      <c r="M41" s="156">
        <f>V24</f>
        <v>117.5</v>
      </c>
      <c r="N41" s="46"/>
      <c r="O41" s="36"/>
    </row>
    <row r="42" spans="1:17" x14ac:dyDescent="0.25">
      <c r="G42" s="35"/>
      <c r="H42" s="189" t="s">
        <v>43</v>
      </c>
      <c r="I42" s="189"/>
      <c r="J42" s="189"/>
      <c r="K42" s="189"/>
      <c r="L42" s="48"/>
      <c r="M42" s="156">
        <f>W24</f>
        <v>111.5</v>
      </c>
      <c r="N42" s="46"/>
      <c r="O42" s="36"/>
    </row>
    <row r="43" spans="1:17" x14ac:dyDescent="0.25">
      <c r="G43" s="35"/>
      <c r="H43" s="40"/>
      <c r="I43" s="40"/>
      <c r="J43" s="40"/>
      <c r="K43" s="40"/>
      <c r="L43" s="40"/>
      <c r="M43" s="48"/>
      <c r="N43" s="40"/>
      <c r="O43" s="36"/>
    </row>
    <row r="44" spans="1:17" x14ac:dyDescent="0.25">
      <c r="G44" s="35"/>
      <c r="H44" s="40"/>
      <c r="I44" s="40"/>
      <c r="J44" s="40"/>
      <c r="K44" s="40"/>
      <c r="L44" s="40"/>
      <c r="M44" s="40"/>
      <c r="N44" s="40"/>
      <c r="O44" s="36"/>
    </row>
    <row r="45" spans="1:17" ht="15.75" thickBot="1" x14ac:dyDescent="0.3">
      <c r="G45" s="37"/>
      <c r="H45" s="38"/>
      <c r="I45" s="38"/>
      <c r="J45" s="38"/>
      <c r="K45" s="38"/>
      <c r="L45" s="38"/>
      <c r="M45" s="40"/>
      <c r="N45" s="38"/>
      <c r="O45" s="39"/>
    </row>
    <row r="46" spans="1:17" ht="15.75" thickBot="1" x14ac:dyDescent="0.3">
      <c r="M46" s="38"/>
    </row>
  </sheetData>
  <mergeCells count="17">
    <mergeCell ref="H42:K42"/>
    <mergeCell ref="H37:K37"/>
    <mergeCell ref="H38:K38"/>
    <mergeCell ref="H39:K39"/>
    <mergeCell ref="H40:K40"/>
    <mergeCell ref="H41:K41"/>
    <mergeCell ref="H32:K32"/>
    <mergeCell ref="H33:K33"/>
    <mergeCell ref="H34:K34"/>
    <mergeCell ref="H35:K35"/>
    <mergeCell ref="H36:K36"/>
    <mergeCell ref="X2:X3"/>
    <mergeCell ref="B2:B3"/>
    <mergeCell ref="C2:K2"/>
    <mergeCell ref="L2:L3"/>
    <mergeCell ref="N2:N3"/>
    <mergeCell ref="O2:W2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6"/>
  <sheetViews>
    <sheetView topLeftCell="A21" zoomScale="90" zoomScaleNormal="90" workbookViewId="0">
      <selection activeCell="C34" sqref="C34"/>
    </sheetView>
  </sheetViews>
  <sheetFormatPr defaultRowHeight="15" x14ac:dyDescent="0.25"/>
  <cols>
    <col min="12" max="12" width="11.5703125" customWidth="1"/>
    <col min="13" max="13" width="15.28515625" customWidth="1"/>
    <col min="16" max="16" width="12" customWidth="1"/>
  </cols>
  <sheetData>
    <row r="1" spans="1:27" x14ac:dyDescent="0.25">
      <c r="A1" t="s">
        <v>19</v>
      </c>
      <c r="N1" s="7" t="s">
        <v>13</v>
      </c>
    </row>
    <row r="2" spans="1:27" x14ac:dyDescent="0.25">
      <c r="B2" s="188" t="s">
        <v>1</v>
      </c>
      <c r="C2" s="187" t="s">
        <v>2</v>
      </c>
      <c r="D2" s="187"/>
      <c r="E2" s="187"/>
      <c r="F2" s="187"/>
      <c r="G2" s="187"/>
      <c r="H2" s="187"/>
      <c r="I2" s="187"/>
      <c r="J2" s="187"/>
      <c r="K2" s="187"/>
      <c r="L2" s="188" t="s">
        <v>3</v>
      </c>
      <c r="N2" s="188" t="s">
        <v>1</v>
      </c>
      <c r="O2" s="187" t="s">
        <v>2</v>
      </c>
      <c r="P2" s="187"/>
      <c r="Q2" s="187"/>
      <c r="R2" s="187"/>
      <c r="S2" s="187"/>
      <c r="T2" s="187"/>
      <c r="U2" s="187"/>
      <c r="V2" s="187"/>
      <c r="W2" s="187"/>
      <c r="X2" s="188" t="s">
        <v>3</v>
      </c>
      <c r="Z2" s="15" t="s">
        <v>18</v>
      </c>
      <c r="AA2" s="3"/>
    </row>
    <row r="3" spans="1:27" x14ac:dyDescent="0.25">
      <c r="B3" s="188"/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6" t="s">
        <v>11</v>
      </c>
      <c r="K3" s="6" t="s">
        <v>12</v>
      </c>
      <c r="L3" s="188"/>
      <c r="N3" s="188"/>
      <c r="O3" s="6" t="s">
        <v>4</v>
      </c>
      <c r="P3" s="6" t="s">
        <v>5</v>
      </c>
      <c r="Q3" s="6" t="s">
        <v>6</v>
      </c>
      <c r="R3" s="6" t="s">
        <v>7</v>
      </c>
      <c r="S3" s="6" t="s">
        <v>8</v>
      </c>
      <c r="T3" s="6" t="s">
        <v>9</v>
      </c>
      <c r="U3" s="6" t="s">
        <v>10</v>
      </c>
      <c r="V3" s="6" t="s">
        <v>11</v>
      </c>
      <c r="W3" s="6" t="s">
        <v>12</v>
      </c>
      <c r="X3" s="188"/>
      <c r="Z3" s="2" t="s">
        <v>4</v>
      </c>
      <c r="AA3" s="10">
        <f>STDEV(O4:O23)</f>
        <v>2.1230253983655643</v>
      </c>
    </row>
    <row r="4" spans="1:27" x14ac:dyDescent="0.25">
      <c r="B4" s="14">
        <v>1</v>
      </c>
      <c r="C4" s="18">
        <v>3</v>
      </c>
      <c r="D4" s="18">
        <v>5</v>
      </c>
      <c r="E4" s="18">
        <v>4</v>
      </c>
      <c r="F4" s="18">
        <v>4</v>
      </c>
      <c r="G4" s="18">
        <v>5</v>
      </c>
      <c r="H4" s="18">
        <v>4</v>
      </c>
      <c r="I4" s="18">
        <v>5</v>
      </c>
      <c r="J4" s="18">
        <v>4</v>
      </c>
      <c r="K4" s="18">
        <v>4</v>
      </c>
      <c r="L4" s="1">
        <f t="shared" ref="L4:L23" si="0">SUM(C4:K4)</f>
        <v>38</v>
      </c>
      <c r="N4" s="14">
        <v>1</v>
      </c>
      <c r="O4" s="18">
        <v>1</v>
      </c>
      <c r="P4" s="18">
        <v>8</v>
      </c>
      <c r="Q4" s="18">
        <v>4</v>
      </c>
      <c r="R4" s="18">
        <v>4</v>
      </c>
      <c r="S4" s="18">
        <v>8</v>
      </c>
      <c r="T4" s="18">
        <v>4</v>
      </c>
      <c r="U4" s="18">
        <v>8</v>
      </c>
      <c r="V4" s="18">
        <v>4</v>
      </c>
      <c r="W4" s="18">
        <v>4</v>
      </c>
      <c r="X4" s="1">
        <f t="shared" ref="X4:X23" si="1">SUM(O4:W4)</f>
        <v>45</v>
      </c>
      <c r="Z4" s="12" t="s">
        <v>5</v>
      </c>
      <c r="AA4" s="10">
        <f>STDEV(P4:P23)</f>
        <v>1.9874606914351791</v>
      </c>
    </row>
    <row r="5" spans="1:27" x14ac:dyDescent="0.25">
      <c r="B5" s="14">
        <v>2</v>
      </c>
      <c r="C5" s="18">
        <v>5</v>
      </c>
      <c r="D5" s="18">
        <v>5</v>
      </c>
      <c r="E5" s="18">
        <v>5</v>
      </c>
      <c r="F5" s="18">
        <v>5</v>
      </c>
      <c r="G5" s="18">
        <v>5</v>
      </c>
      <c r="H5" s="18">
        <v>5</v>
      </c>
      <c r="I5" s="18">
        <v>5</v>
      </c>
      <c r="J5" s="18">
        <v>5</v>
      </c>
      <c r="K5" s="18">
        <v>5</v>
      </c>
      <c r="L5" s="1">
        <f t="shared" si="0"/>
        <v>45</v>
      </c>
      <c r="N5" s="14">
        <v>2</v>
      </c>
      <c r="O5" s="18">
        <v>5</v>
      </c>
      <c r="P5" s="18">
        <v>5</v>
      </c>
      <c r="Q5" s="18">
        <v>5</v>
      </c>
      <c r="R5" s="18">
        <v>5</v>
      </c>
      <c r="S5" s="18">
        <v>5</v>
      </c>
      <c r="T5" s="18">
        <v>5</v>
      </c>
      <c r="U5" s="18">
        <v>5</v>
      </c>
      <c r="V5" s="18">
        <v>5</v>
      </c>
      <c r="W5" s="18">
        <v>5</v>
      </c>
      <c r="X5" s="1">
        <f t="shared" si="1"/>
        <v>45</v>
      </c>
      <c r="Z5" s="2" t="s">
        <v>6</v>
      </c>
      <c r="AA5" s="10">
        <f>STDEV(Q4:Q23)</f>
        <v>2.079188860058045</v>
      </c>
    </row>
    <row r="6" spans="1:27" x14ac:dyDescent="0.25">
      <c r="B6" s="14">
        <v>3</v>
      </c>
      <c r="C6" s="18">
        <v>3</v>
      </c>
      <c r="D6" s="18">
        <v>3</v>
      </c>
      <c r="E6" s="18">
        <v>3</v>
      </c>
      <c r="F6" s="18">
        <v>3</v>
      </c>
      <c r="G6" s="18">
        <v>3</v>
      </c>
      <c r="H6" s="18">
        <v>3</v>
      </c>
      <c r="I6" s="18">
        <v>3</v>
      </c>
      <c r="J6" s="18">
        <v>3</v>
      </c>
      <c r="K6" s="18">
        <v>3</v>
      </c>
      <c r="L6" s="1">
        <f t="shared" si="0"/>
        <v>27</v>
      </c>
      <c r="N6" s="14">
        <v>3</v>
      </c>
      <c r="O6" s="18">
        <v>5</v>
      </c>
      <c r="P6" s="18">
        <v>5</v>
      </c>
      <c r="Q6" s="18">
        <v>5</v>
      </c>
      <c r="R6" s="18">
        <v>5</v>
      </c>
      <c r="S6" s="18">
        <v>5</v>
      </c>
      <c r="T6" s="18">
        <v>5</v>
      </c>
      <c r="U6" s="18">
        <v>5</v>
      </c>
      <c r="V6" s="18">
        <v>5</v>
      </c>
      <c r="W6" s="18">
        <v>5</v>
      </c>
      <c r="X6" s="1">
        <f t="shared" si="1"/>
        <v>45</v>
      </c>
      <c r="Z6" s="2" t="s">
        <v>7</v>
      </c>
      <c r="AA6" s="10">
        <f>STDEV(R4:R23)</f>
        <v>1.623025115737827</v>
      </c>
    </row>
    <row r="7" spans="1:27" x14ac:dyDescent="0.25">
      <c r="B7" s="14">
        <v>4</v>
      </c>
      <c r="C7" s="18">
        <v>3</v>
      </c>
      <c r="D7" s="18">
        <v>4</v>
      </c>
      <c r="E7" s="18">
        <v>4</v>
      </c>
      <c r="F7" s="18">
        <v>4</v>
      </c>
      <c r="G7" s="18">
        <v>3</v>
      </c>
      <c r="H7" s="18">
        <v>4</v>
      </c>
      <c r="I7" s="18">
        <v>3</v>
      </c>
      <c r="J7" s="18">
        <v>4</v>
      </c>
      <c r="K7" s="18">
        <v>4</v>
      </c>
      <c r="L7" s="1">
        <f t="shared" si="0"/>
        <v>33</v>
      </c>
      <c r="N7" s="14">
        <v>4</v>
      </c>
      <c r="O7" s="18">
        <v>2</v>
      </c>
      <c r="P7" s="18">
        <v>6.5</v>
      </c>
      <c r="Q7" s="18">
        <v>6.5</v>
      </c>
      <c r="R7" s="18">
        <v>6.5</v>
      </c>
      <c r="S7" s="18">
        <v>2</v>
      </c>
      <c r="T7" s="18">
        <v>6.5</v>
      </c>
      <c r="U7" s="18">
        <v>2</v>
      </c>
      <c r="V7" s="18">
        <v>6.5</v>
      </c>
      <c r="W7" s="18">
        <v>6.5</v>
      </c>
      <c r="X7" s="1">
        <f t="shared" si="1"/>
        <v>45</v>
      </c>
      <c r="Z7" s="2" t="s">
        <v>8</v>
      </c>
      <c r="AA7" s="10">
        <f>STDEV(S4:S23)</f>
        <v>1.9619740327698421</v>
      </c>
    </row>
    <row r="8" spans="1:27" x14ac:dyDescent="0.25">
      <c r="B8" s="14">
        <v>5</v>
      </c>
      <c r="C8" s="18">
        <v>4</v>
      </c>
      <c r="D8" s="18">
        <v>2</v>
      </c>
      <c r="E8" s="18">
        <v>5</v>
      </c>
      <c r="F8" s="18">
        <v>4</v>
      </c>
      <c r="G8" s="18">
        <v>2</v>
      </c>
      <c r="H8" s="18">
        <v>4</v>
      </c>
      <c r="I8" s="18">
        <v>5</v>
      </c>
      <c r="J8" s="18">
        <v>5</v>
      </c>
      <c r="K8" s="18">
        <v>5</v>
      </c>
      <c r="L8" s="1">
        <f t="shared" si="0"/>
        <v>36</v>
      </c>
      <c r="N8" s="14">
        <v>5</v>
      </c>
      <c r="O8" s="18">
        <v>4</v>
      </c>
      <c r="P8" s="18">
        <v>1.5</v>
      </c>
      <c r="Q8" s="18">
        <v>7.5</v>
      </c>
      <c r="R8" s="18">
        <v>4</v>
      </c>
      <c r="S8" s="18">
        <v>1.5</v>
      </c>
      <c r="T8" s="18">
        <v>4</v>
      </c>
      <c r="U8" s="18">
        <v>7.5</v>
      </c>
      <c r="V8" s="18">
        <v>7.5</v>
      </c>
      <c r="W8" s="18">
        <v>7.5</v>
      </c>
      <c r="X8" s="1">
        <f t="shared" si="1"/>
        <v>45</v>
      </c>
      <c r="Z8" s="2" t="s">
        <v>9</v>
      </c>
      <c r="AA8" s="10">
        <f>STDEV(T4:T23)</f>
        <v>1.9029063643750177</v>
      </c>
    </row>
    <row r="9" spans="1:27" x14ac:dyDescent="0.25">
      <c r="B9" s="14">
        <v>6</v>
      </c>
      <c r="C9" s="18">
        <v>5</v>
      </c>
      <c r="D9" s="18">
        <v>2</v>
      </c>
      <c r="E9" s="18">
        <v>5</v>
      </c>
      <c r="F9" s="18">
        <v>5</v>
      </c>
      <c r="G9" s="18">
        <v>2</v>
      </c>
      <c r="H9" s="18">
        <v>1</v>
      </c>
      <c r="I9" s="18">
        <v>4</v>
      </c>
      <c r="J9" s="18">
        <v>4</v>
      </c>
      <c r="K9" s="18">
        <v>5</v>
      </c>
      <c r="L9" s="1">
        <f t="shared" si="0"/>
        <v>33</v>
      </c>
      <c r="N9" s="14">
        <v>6</v>
      </c>
      <c r="O9" s="18">
        <v>7.5</v>
      </c>
      <c r="P9" s="18">
        <v>2.5</v>
      </c>
      <c r="Q9" s="18">
        <v>7.5</v>
      </c>
      <c r="R9" s="18">
        <v>7.5</v>
      </c>
      <c r="S9" s="18">
        <v>2.5</v>
      </c>
      <c r="T9" s="18">
        <v>1</v>
      </c>
      <c r="U9" s="18">
        <v>4.5</v>
      </c>
      <c r="V9" s="18">
        <v>4.5</v>
      </c>
      <c r="W9" s="18">
        <v>7.5</v>
      </c>
      <c r="X9" s="1">
        <f t="shared" si="1"/>
        <v>45</v>
      </c>
      <c r="Z9" s="2" t="s">
        <v>10</v>
      </c>
      <c r="AA9" s="10">
        <f>STDEV(U4:U23)</f>
        <v>1.7356554957709776</v>
      </c>
    </row>
    <row r="10" spans="1:27" x14ac:dyDescent="0.25">
      <c r="B10" s="14">
        <v>7</v>
      </c>
      <c r="C10" s="18">
        <v>2</v>
      </c>
      <c r="D10" s="18">
        <v>2</v>
      </c>
      <c r="E10" s="18">
        <v>2</v>
      </c>
      <c r="F10" s="18">
        <v>4</v>
      </c>
      <c r="G10" s="18">
        <v>2</v>
      </c>
      <c r="H10" s="18">
        <v>4</v>
      </c>
      <c r="I10" s="18">
        <v>4</v>
      </c>
      <c r="J10" s="18">
        <v>4</v>
      </c>
      <c r="K10" s="18">
        <v>4</v>
      </c>
      <c r="L10" s="1">
        <f t="shared" si="0"/>
        <v>28</v>
      </c>
      <c r="N10" s="14">
        <v>7</v>
      </c>
      <c r="O10" s="18">
        <v>2.5</v>
      </c>
      <c r="P10" s="18">
        <v>2.5</v>
      </c>
      <c r="Q10" s="18">
        <v>2.5</v>
      </c>
      <c r="R10" s="18">
        <v>7</v>
      </c>
      <c r="S10" s="18">
        <v>2.5</v>
      </c>
      <c r="T10" s="18">
        <v>7</v>
      </c>
      <c r="U10" s="18">
        <v>7</v>
      </c>
      <c r="V10" s="18">
        <v>7</v>
      </c>
      <c r="W10" s="18">
        <v>7</v>
      </c>
      <c r="X10" s="1">
        <f t="shared" si="1"/>
        <v>45</v>
      </c>
      <c r="Z10" s="2" t="s">
        <v>11</v>
      </c>
      <c r="AA10" s="10">
        <f>STDEV(V4:V23)</f>
        <v>1.7236741663025961</v>
      </c>
    </row>
    <row r="11" spans="1:27" x14ac:dyDescent="0.25">
      <c r="B11" s="14">
        <v>8</v>
      </c>
      <c r="C11" s="18">
        <v>2</v>
      </c>
      <c r="D11" s="18">
        <v>2</v>
      </c>
      <c r="E11" s="18">
        <v>2</v>
      </c>
      <c r="F11" s="18">
        <v>2</v>
      </c>
      <c r="G11" s="18">
        <v>2</v>
      </c>
      <c r="H11" s="18">
        <v>2</v>
      </c>
      <c r="I11" s="18">
        <v>2</v>
      </c>
      <c r="J11" s="18">
        <v>2</v>
      </c>
      <c r="K11" s="18">
        <v>2</v>
      </c>
      <c r="L11" s="1">
        <f t="shared" si="0"/>
        <v>18</v>
      </c>
      <c r="N11" s="14">
        <v>8</v>
      </c>
      <c r="O11" s="18">
        <v>5</v>
      </c>
      <c r="P11" s="18">
        <v>5</v>
      </c>
      <c r="Q11" s="18">
        <v>5</v>
      </c>
      <c r="R11" s="18">
        <v>5</v>
      </c>
      <c r="S11" s="18">
        <v>5</v>
      </c>
      <c r="T11" s="18">
        <v>5</v>
      </c>
      <c r="U11" s="18">
        <v>5</v>
      </c>
      <c r="V11" s="18">
        <v>5</v>
      </c>
      <c r="W11" s="18">
        <v>5</v>
      </c>
      <c r="X11" s="1">
        <f t="shared" si="1"/>
        <v>45</v>
      </c>
      <c r="Z11" s="2" t="s">
        <v>12</v>
      </c>
      <c r="AA11" s="10">
        <f>STDEV(W4:W23)</f>
        <v>1.5209069316486281</v>
      </c>
    </row>
    <row r="12" spans="1:27" x14ac:dyDescent="0.25">
      <c r="B12" s="14">
        <v>9</v>
      </c>
      <c r="C12" s="18">
        <v>4</v>
      </c>
      <c r="D12" s="18">
        <v>4</v>
      </c>
      <c r="E12" s="18">
        <v>4</v>
      </c>
      <c r="F12" s="18">
        <v>4</v>
      </c>
      <c r="G12" s="18">
        <v>4</v>
      </c>
      <c r="H12" s="18">
        <v>4</v>
      </c>
      <c r="I12" s="18">
        <v>4</v>
      </c>
      <c r="J12" s="18">
        <v>4</v>
      </c>
      <c r="K12" s="18">
        <v>5</v>
      </c>
      <c r="L12" s="1">
        <f t="shared" si="0"/>
        <v>37</v>
      </c>
      <c r="N12" s="14">
        <v>9</v>
      </c>
      <c r="O12" s="18">
        <v>4.5</v>
      </c>
      <c r="P12" s="18">
        <v>4.5</v>
      </c>
      <c r="Q12" s="18">
        <v>4.5</v>
      </c>
      <c r="R12" s="18">
        <v>4.5</v>
      </c>
      <c r="S12" s="18">
        <v>4.5</v>
      </c>
      <c r="T12" s="18">
        <v>4.5</v>
      </c>
      <c r="U12" s="18">
        <v>4.5</v>
      </c>
      <c r="V12" s="18">
        <v>4.5</v>
      </c>
      <c r="W12" s="18">
        <v>9</v>
      </c>
      <c r="X12" s="1">
        <f t="shared" si="1"/>
        <v>45</v>
      </c>
    </row>
    <row r="13" spans="1:27" x14ac:dyDescent="0.25">
      <c r="B13" s="14">
        <v>10</v>
      </c>
      <c r="C13" s="18">
        <v>3</v>
      </c>
      <c r="D13" s="18">
        <v>3</v>
      </c>
      <c r="E13" s="18">
        <v>1</v>
      </c>
      <c r="F13" s="18">
        <v>4</v>
      </c>
      <c r="G13" s="18">
        <v>4</v>
      </c>
      <c r="H13" s="18">
        <v>1</v>
      </c>
      <c r="I13" s="18">
        <v>4</v>
      </c>
      <c r="J13" s="18">
        <v>5</v>
      </c>
      <c r="K13" s="18">
        <v>3</v>
      </c>
      <c r="L13" s="1">
        <f t="shared" si="0"/>
        <v>28</v>
      </c>
      <c r="N13" s="14">
        <v>10</v>
      </c>
      <c r="O13" s="18">
        <v>4</v>
      </c>
      <c r="P13" s="18">
        <v>4</v>
      </c>
      <c r="Q13" s="18">
        <v>1.5</v>
      </c>
      <c r="R13" s="18">
        <v>7</v>
      </c>
      <c r="S13" s="18">
        <v>7</v>
      </c>
      <c r="T13" s="18">
        <v>1.5</v>
      </c>
      <c r="U13" s="18">
        <v>7</v>
      </c>
      <c r="V13" s="18">
        <v>9</v>
      </c>
      <c r="W13" s="18">
        <v>4</v>
      </c>
      <c r="X13" s="1">
        <f t="shared" si="1"/>
        <v>45</v>
      </c>
    </row>
    <row r="14" spans="1:27" x14ac:dyDescent="0.25">
      <c r="B14" s="14">
        <v>11</v>
      </c>
      <c r="C14" s="18">
        <v>4</v>
      </c>
      <c r="D14" s="18">
        <v>5</v>
      </c>
      <c r="E14" s="18">
        <v>4</v>
      </c>
      <c r="F14" s="18">
        <v>4</v>
      </c>
      <c r="G14" s="18">
        <v>5</v>
      </c>
      <c r="H14" s="18">
        <v>5</v>
      </c>
      <c r="I14" s="18">
        <v>5</v>
      </c>
      <c r="J14" s="18">
        <v>5</v>
      </c>
      <c r="K14" s="18">
        <v>5</v>
      </c>
      <c r="L14" s="1">
        <f t="shared" si="0"/>
        <v>42</v>
      </c>
      <c r="N14" s="14">
        <v>11</v>
      </c>
      <c r="O14" s="18">
        <v>2</v>
      </c>
      <c r="P14" s="18">
        <v>6.5</v>
      </c>
      <c r="Q14" s="18">
        <v>2</v>
      </c>
      <c r="R14" s="18">
        <v>2</v>
      </c>
      <c r="S14" s="18">
        <v>6.5</v>
      </c>
      <c r="T14" s="18">
        <v>6.5</v>
      </c>
      <c r="U14" s="18">
        <v>6.5</v>
      </c>
      <c r="V14" s="18">
        <v>6.5</v>
      </c>
      <c r="W14" s="18">
        <v>6.5</v>
      </c>
      <c r="X14" s="1">
        <f t="shared" si="1"/>
        <v>45</v>
      </c>
    </row>
    <row r="15" spans="1:27" x14ac:dyDescent="0.25">
      <c r="B15" s="14">
        <v>12</v>
      </c>
      <c r="C15" s="18">
        <v>5</v>
      </c>
      <c r="D15" s="18">
        <v>2</v>
      </c>
      <c r="E15" s="18">
        <v>2</v>
      </c>
      <c r="F15" s="18">
        <v>2</v>
      </c>
      <c r="G15" s="18">
        <v>2</v>
      </c>
      <c r="H15" s="18">
        <v>2</v>
      </c>
      <c r="I15" s="18">
        <v>4</v>
      </c>
      <c r="J15" s="18">
        <v>2</v>
      </c>
      <c r="K15" s="18">
        <v>4</v>
      </c>
      <c r="L15" s="1">
        <f t="shared" si="0"/>
        <v>25</v>
      </c>
      <c r="N15" s="14">
        <v>12</v>
      </c>
      <c r="O15" s="18">
        <v>9</v>
      </c>
      <c r="P15" s="18">
        <v>3.5</v>
      </c>
      <c r="Q15" s="18">
        <v>3.5</v>
      </c>
      <c r="R15" s="18">
        <v>3.5</v>
      </c>
      <c r="S15" s="18">
        <v>3.5</v>
      </c>
      <c r="T15" s="18">
        <v>3.5</v>
      </c>
      <c r="U15" s="18">
        <v>7.5</v>
      </c>
      <c r="V15" s="18">
        <v>3.5</v>
      </c>
      <c r="W15" s="18">
        <v>7.5</v>
      </c>
      <c r="X15" s="1">
        <f t="shared" si="1"/>
        <v>45</v>
      </c>
    </row>
    <row r="16" spans="1:27" x14ac:dyDescent="0.25">
      <c r="B16" s="14">
        <v>13</v>
      </c>
      <c r="C16" s="18">
        <v>2</v>
      </c>
      <c r="D16" s="18">
        <v>1</v>
      </c>
      <c r="E16" s="18">
        <v>2</v>
      </c>
      <c r="F16" s="18">
        <v>4</v>
      </c>
      <c r="G16" s="18">
        <v>2</v>
      </c>
      <c r="H16" s="18">
        <v>2</v>
      </c>
      <c r="I16" s="18">
        <v>4</v>
      </c>
      <c r="J16" s="18">
        <v>4</v>
      </c>
      <c r="K16" s="18">
        <v>4</v>
      </c>
      <c r="L16" s="1">
        <f t="shared" si="0"/>
        <v>25</v>
      </c>
      <c r="N16" s="14">
        <v>13</v>
      </c>
      <c r="O16" s="18">
        <v>3.5</v>
      </c>
      <c r="P16" s="18">
        <v>1</v>
      </c>
      <c r="Q16" s="18">
        <v>3.5</v>
      </c>
      <c r="R16" s="18">
        <v>7.5</v>
      </c>
      <c r="S16" s="18">
        <v>3.5</v>
      </c>
      <c r="T16" s="18">
        <v>3.5</v>
      </c>
      <c r="U16" s="18">
        <v>7.5</v>
      </c>
      <c r="V16" s="18">
        <v>7.5</v>
      </c>
      <c r="W16" s="18">
        <v>7.5</v>
      </c>
      <c r="X16" s="1">
        <f t="shared" si="1"/>
        <v>45</v>
      </c>
    </row>
    <row r="17" spans="1:28" x14ac:dyDescent="0.25">
      <c r="B17" s="14">
        <v>14</v>
      </c>
      <c r="C17" s="18">
        <v>4</v>
      </c>
      <c r="D17" s="18">
        <v>2</v>
      </c>
      <c r="E17" s="18">
        <v>2</v>
      </c>
      <c r="F17" s="18">
        <v>2</v>
      </c>
      <c r="G17" s="18">
        <v>2</v>
      </c>
      <c r="H17" s="18">
        <v>2</v>
      </c>
      <c r="I17" s="18">
        <v>4</v>
      </c>
      <c r="J17" s="18">
        <v>4</v>
      </c>
      <c r="K17" s="18">
        <v>4</v>
      </c>
      <c r="L17" s="1">
        <f t="shared" si="0"/>
        <v>26</v>
      </c>
      <c r="N17" s="14">
        <v>14</v>
      </c>
      <c r="O17" s="18">
        <v>7.5</v>
      </c>
      <c r="P17" s="18">
        <v>3</v>
      </c>
      <c r="Q17" s="18">
        <v>3</v>
      </c>
      <c r="R17" s="18">
        <v>3</v>
      </c>
      <c r="S17" s="18">
        <v>3</v>
      </c>
      <c r="T17" s="18">
        <v>3</v>
      </c>
      <c r="U17" s="18">
        <v>7.5</v>
      </c>
      <c r="V17" s="18">
        <v>7.5</v>
      </c>
      <c r="W17" s="18">
        <v>7.5</v>
      </c>
      <c r="X17" s="1">
        <f t="shared" si="1"/>
        <v>45</v>
      </c>
    </row>
    <row r="18" spans="1:28" x14ac:dyDescent="0.25">
      <c r="B18" s="14">
        <v>15</v>
      </c>
      <c r="C18" s="18">
        <v>4</v>
      </c>
      <c r="D18" s="18">
        <v>2</v>
      </c>
      <c r="E18" s="18">
        <v>2</v>
      </c>
      <c r="F18" s="18">
        <v>4</v>
      </c>
      <c r="G18" s="18">
        <v>4</v>
      </c>
      <c r="H18" s="18">
        <v>4</v>
      </c>
      <c r="I18" s="18">
        <v>2</v>
      </c>
      <c r="J18" s="18">
        <v>2</v>
      </c>
      <c r="K18" s="18">
        <v>4</v>
      </c>
      <c r="L18" s="1">
        <f t="shared" si="0"/>
        <v>28</v>
      </c>
      <c r="N18" s="14">
        <v>15</v>
      </c>
      <c r="O18" s="18">
        <v>7</v>
      </c>
      <c r="P18" s="18">
        <v>2.5</v>
      </c>
      <c r="Q18" s="18">
        <v>2.5</v>
      </c>
      <c r="R18" s="18">
        <v>7</v>
      </c>
      <c r="S18" s="18">
        <v>7</v>
      </c>
      <c r="T18" s="18">
        <v>7</v>
      </c>
      <c r="U18" s="18">
        <v>2.5</v>
      </c>
      <c r="V18" s="18">
        <v>2.5</v>
      </c>
      <c r="W18" s="18">
        <v>7</v>
      </c>
      <c r="X18" s="1">
        <f t="shared" si="1"/>
        <v>45</v>
      </c>
    </row>
    <row r="19" spans="1:28" x14ac:dyDescent="0.25">
      <c r="B19" s="14">
        <v>16</v>
      </c>
      <c r="C19" s="18">
        <v>4</v>
      </c>
      <c r="D19" s="18">
        <v>2</v>
      </c>
      <c r="E19" s="18">
        <v>5</v>
      </c>
      <c r="F19" s="18">
        <v>4</v>
      </c>
      <c r="G19" s="18">
        <v>4</v>
      </c>
      <c r="H19" s="18">
        <v>4</v>
      </c>
      <c r="I19" s="18">
        <v>5</v>
      </c>
      <c r="J19" s="18">
        <v>5</v>
      </c>
      <c r="K19" s="18">
        <v>4</v>
      </c>
      <c r="L19" s="1">
        <f t="shared" si="0"/>
        <v>37</v>
      </c>
      <c r="N19" s="14">
        <v>16</v>
      </c>
      <c r="O19" s="18">
        <v>4</v>
      </c>
      <c r="P19" s="18">
        <v>1</v>
      </c>
      <c r="Q19" s="18">
        <v>8</v>
      </c>
      <c r="R19" s="18">
        <v>4</v>
      </c>
      <c r="S19" s="18">
        <v>4</v>
      </c>
      <c r="T19" s="18">
        <v>4</v>
      </c>
      <c r="U19" s="18">
        <v>8</v>
      </c>
      <c r="V19" s="18">
        <v>8</v>
      </c>
      <c r="W19" s="18">
        <v>4</v>
      </c>
      <c r="X19" s="1">
        <f t="shared" si="1"/>
        <v>45</v>
      </c>
    </row>
    <row r="20" spans="1:28" x14ac:dyDescent="0.25">
      <c r="B20" s="14">
        <v>17</v>
      </c>
      <c r="C20" s="18">
        <v>4</v>
      </c>
      <c r="D20" s="18">
        <v>2</v>
      </c>
      <c r="E20" s="18">
        <v>2</v>
      </c>
      <c r="F20" s="18">
        <v>4</v>
      </c>
      <c r="G20" s="18">
        <v>2</v>
      </c>
      <c r="H20" s="18">
        <v>4</v>
      </c>
      <c r="I20" s="18">
        <v>4</v>
      </c>
      <c r="J20" s="18">
        <v>4</v>
      </c>
      <c r="K20" s="18">
        <v>4</v>
      </c>
      <c r="L20" s="1">
        <f t="shared" si="0"/>
        <v>30</v>
      </c>
      <c r="N20" s="14">
        <v>17</v>
      </c>
      <c r="O20" s="18">
        <v>6.5</v>
      </c>
      <c r="P20" s="18">
        <v>2</v>
      </c>
      <c r="Q20" s="18">
        <v>2</v>
      </c>
      <c r="R20" s="18">
        <v>6.5</v>
      </c>
      <c r="S20" s="18">
        <v>2</v>
      </c>
      <c r="T20" s="18">
        <v>6.5</v>
      </c>
      <c r="U20" s="18">
        <v>6.5</v>
      </c>
      <c r="V20" s="18">
        <v>6.5</v>
      </c>
      <c r="W20" s="18">
        <v>6.5</v>
      </c>
      <c r="X20" s="1">
        <f t="shared" si="1"/>
        <v>45</v>
      </c>
    </row>
    <row r="21" spans="1:28" x14ac:dyDescent="0.25">
      <c r="B21" s="14">
        <v>18</v>
      </c>
      <c r="C21" s="18">
        <v>2</v>
      </c>
      <c r="D21" s="18">
        <v>2</v>
      </c>
      <c r="E21" s="18">
        <v>1</v>
      </c>
      <c r="F21" s="18">
        <v>2</v>
      </c>
      <c r="G21" s="18">
        <v>2</v>
      </c>
      <c r="H21" s="18">
        <v>1</v>
      </c>
      <c r="I21" s="18">
        <v>2</v>
      </c>
      <c r="J21" s="18">
        <v>3</v>
      </c>
      <c r="K21" s="18">
        <v>4</v>
      </c>
      <c r="L21" s="1">
        <f t="shared" si="0"/>
        <v>19</v>
      </c>
      <c r="N21" s="14">
        <v>18</v>
      </c>
      <c r="O21" s="18">
        <v>5</v>
      </c>
      <c r="P21" s="18">
        <v>5</v>
      </c>
      <c r="Q21" s="18">
        <v>1.5</v>
      </c>
      <c r="R21" s="18">
        <v>5</v>
      </c>
      <c r="S21" s="18">
        <v>5</v>
      </c>
      <c r="T21" s="18">
        <v>1.5</v>
      </c>
      <c r="U21" s="18">
        <v>5</v>
      </c>
      <c r="V21" s="18">
        <v>8</v>
      </c>
      <c r="W21" s="18">
        <v>9</v>
      </c>
      <c r="X21" s="1">
        <f t="shared" si="1"/>
        <v>45</v>
      </c>
    </row>
    <row r="22" spans="1:28" x14ac:dyDescent="0.25">
      <c r="B22" s="14">
        <v>19</v>
      </c>
      <c r="C22" s="18">
        <v>2</v>
      </c>
      <c r="D22" s="18">
        <v>1</v>
      </c>
      <c r="E22" s="18">
        <v>2</v>
      </c>
      <c r="F22" s="18">
        <v>2</v>
      </c>
      <c r="G22" s="18">
        <v>1</v>
      </c>
      <c r="H22" s="18">
        <v>2</v>
      </c>
      <c r="I22" s="18">
        <v>2</v>
      </c>
      <c r="J22" s="18">
        <v>2</v>
      </c>
      <c r="K22" s="18">
        <v>2</v>
      </c>
      <c r="L22" s="1">
        <f t="shared" si="0"/>
        <v>16</v>
      </c>
      <c r="N22" s="14">
        <v>19</v>
      </c>
      <c r="O22" s="18">
        <v>6</v>
      </c>
      <c r="P22" s="18">
        <v>1.5</v>
      </c>
      <c r="Q22" s="18">
        <v>6</v>
      </c>
      <c r="R22" s="18">
        <v>6</v>
      </c>
      <c r="S22" s="18">
        <v>1.5</v>
      </c>
      <c r="T22" s="18">
        <v>6</v>
      </c>
      <c r="U22" s="18">
        <v>6</v>
      </c>
      <c r="V22" s="18">
        <v>6</v>
      </c>
      <c r="W22" s="18">
        <v>6</v>
      </c>
      <c r="X22" s="1">
        <f t="shared" si="1"/>
        <v>45</v>
      </c>
    </row>
    <row r="23" spans="1:28" x14ac:dyDescent="0.25">
      <c r="B23" s="14">
        <v>20</v>
      </c>
      <c r="C23" s="18">
        <v>2</v>
      </c>
      <c r="D23" s="18">
        <v>2</v>
      </c>
      <c r="E23" s="18">
        <v>2</v>
      </c>
      <c r="F23" s="18">
        <v>4</v>
      </c>
      <c r="G23" s="18">
        <v>2</v>
      </c>
      <c r="H23" s="18">
        <v>4</v>
      </c>
      <c r="I23" s="18">
        <v>4</v>
      </c>
      <c r="J23" s="18">
        <v>4</v>
      </c>
      <c r="K23" s="18">
        <v>4</v>
      </c>
      <c r="L23" s="1">
        <f t="shared" si="0"/>
        <v>28</v>
      </c>
      <c r="N23" s="14">
        <v>20</v>
      </c>
      <c r="O23" s="18">
        <v>2.5</v>
      </c>
      <c r="P23" s="18">
        <v>2.5</v>
      </c>
      <c r="Q23" s="18">
        <v>2.5</v>
      </c>
      <c r="R23" s="18">
        <v>7</v>
      </c>
      <c r="S23" s="18">
        <v>2.5</v>
      </c>
      <c r="T23" s="18">
        <v>7</v>
      </c>
      <c r="U23" s="18">
        <v>7</v>
      </c>
      <c r="V23" s="18">
        <v>7</v>
      </c>
      <c r="W23" s="18">
        <v>7</v>
      </c>
      <c r="X23" s="1">
        <f t="shared" si="1"/>
        <v>45</v>
      </c>
    </row>
    <row r="24" spans="1:28" x14ac:dyDescent="0.25">
      <c r="B24" s="1" t="s">
        <v>14</v>
      </c>
      <c r="C24" s="1">
        <f>SUM(C4:C23)</f>
        <v>67</v>
      </c>
      <c r="D24" s="1">
        <f t="shared" ref="D24:L24" si="2">SUM(D4:D23)</f>
        <v>53</v>
      </c>
      <c r="E24" s="1">
        <f t="shared" si="2"/>
        <v>59</v>
      </c>
      <c r="F24" s="1">
        <f t="shared" si="2"/>
        <v>71</v>
      </c>
      <c r="G24" s="1">
        <f t="shared" si="2"/>
        <v>58</v>
      </c>
      <c r="H24" s="1">
        <f t="shared" si="2"/>
        <v>62</v>
      </c>
      <c r="I24" s="1">
        <f t="shared" si="2"/>
        <v>75</v>
      </c>
      <c r="J24" s="1">
        <f t="shared" si="2"/>
        <v>75</v>
      </c>
      <c r="K24" s="1">
        <f t="shared" si="2"/>
        <v>79</v>
      </c>
      <c r="L24" s="8">
        <f t="shared" si="2"/>
        <v>599</v>
      </c>
      <c r="N24" s="1" t="s">
        <v>14</v>
      </c>
      <c r="O24" s="1">
        <f>SUM(O4:O23)</f>
        <v>93.5</v>
      </c>
      <c r="P24" s="1">
        <f t="shared" ref="P24:W24" si="3">SUM(P4:P23)</f>
        <v>73</v>
      </c>
      <c r="Q24" s="1">
        <f t="shared" si="3"/>
        <v>83.5</v>
      </c>
      <c r="R24" s="1">
        <f t="shared" si="3"/>
        <v>107</v>
      </c>
      <c r="S24" s="1">
        <f t="shared" si="3"/>
        <v>81.5</v>
      </c>
      <c r="T24" s="1">
        <f t="shared" si="3"/>
        <v>92</v>
      </c>
      <c r="U24" s="1">
        <f t="shared" si="3"/>
        <v>119.5</v>
      </c>
      <c r="V24" s="1">
        <f t="shared" si="3"/>
        <v>121</v>
      </c>
      <c r="W24" s="1">
        <f t="shared" si="3"/>
        <v>129</v>
      </c>
      <c r="X24" s="1"/>
    </row>
    <row r="25" spans="1:28" x14ac:dyDescent="0.25">
      <c r="B25" s="1" t="s">
        <v>15</v>
      </c>
      <c r="C25" s="12">
        <f>AVERAGE(C4:C23)</f>
        <v>3.35</v>
      </c>
      <c r="D25" s="12">
        <f t="shared" ref="D25:K25" si="4">AVERAGE(D4:D23)</f>
        <v>2.65</v>
      </c>
      <c r="E25" s="12">
        <f t="shared" si="4"/>
        <v>2.95</v>
      </c>
      <c r="F25" s="12">
        <f t="shared" si="4"/>
        <v>3.55</v>
      </c>
      <c r="G25" s="12">
        <f t="shared" si="4"/>
        <v>2.9</v>
      </c>
      <c r="H25" s="12">
        <f t="shared" si="4"/>
        <v>3.1</v>
      </c>
      <c r="I25" s="12">
        <f t="shared" si="4"/>
        <v>3.75</v>
      </c>
      <c r="J25" s="12">
        <f t="shared" si="4"/>
        <v>3.75</v>
      </c>
      <c r="K25" s="12">
        <f t="shared" si="4"/>
        <v>3.95</v>
      </c>
      <c r="L25" s="1"/>
      <c r="N25" s="9" t="s">
        <v>15</v>
      </c>
      <c r="O25" s="17">
        <f>AVERAGE(O4:O23)</f>
        <v>4.6749999999999998</v>
      </c>
      <c r="P25" s="17">
        <f t="shared" ref="P25:W25" si="5">AVERAGE(P4:P23)</f>
        <v>3.65</v>
      </c>
      <c r="Q25" s="17">
        <f t="shared" si="5"/>
        <v>4.1749999999999998</v>
      </c>
      <c r="R25" s="17">
        <f t="shared" si="5"/>
        <v>5.35</v>
      </c>
      <c r="S25" s="17">
        <f t="shared" si="5"/>
        <v>4.0750000000000002</v>
      </c>
      <c r="T25" s="17">
        <f t="shared" si="5"/>
        <v>4.5999999999999996</v>
      </c>
      <c r="U25" s="17">
        <f t="shared" si="5"/>
        <v>5.9749999999999996</v>
      </c>
      <c r="V25" s="17">
        <f t="shared" si="5"/>
        <v>6.05</v>
      </c>
      <c r="W25" s="17">
        <f t="shared" si="5"/>
        <v>6.45</v>
      </c>
      <c r="X25" s="1"/>
    </row>
    <row r="28" spans="1:28" x14ac:dyDescent="0.25">
      <c r="P28">
        <f>SUMSQ(O24:W24)</f>
        <v>93161</v>
      </c>
    </row>
    <row r="30" spans="1:28" ht="15.75" thickBot="1" x14ac:dyDescent="0.3">
      <c r="P30">
        <f>12/((20*9)*(9+1))*P28-600</f>
        <v>21.07333333333338</v>
      </c>
    </row>
    <row r="31" spans="1:28" ht="15.75" thickBot="1" x14ac:dyDescent="0.3">
      <c r="A31" s="32"/>
      <c r="B31" s="33"/>
      <c r="C31" s="33"/>
      <c r="D31" s="33"/>
      <c r="E31" s="34"/>
    </row>
    <row r="32" spans="1:28" ht="12" customHeight="1" x14ac:dyDescent="0.25">
      <c r="A32" s="35"/>
      <c r="B32" s="42" t="s">
        <v>29</v>
      </c>
      <c r="C32" s="42" t="s">
        <v>30</v>
      </c>
      <c r="D32" s="42"/>
      <c r="E32" s="36"/>
      <c r="G32" s="32"/>
      <c r="H32" s="43" t="s">
        <v>31</v>
      </c>
      <c r="I32" s="43"/>
      <c r="J32" s="43"/>
      <c r="K32" s="44"/>
      <c r="L32" s="44"/>
      <c r="M32" s="44"/>
      <c r="N32" s="44"/>
      <c r="O32" s="34"/>
      <c r="Q32" s="193" t="s">
        <v>2</v>
      </c>
      <c r="R32" s="193" t="s">
        <v>3</v>
      </c>
      <c r="S32" s="1" t="s">
        <v>5</v>
      </c>
      <c r="T32" s="1" t="s">
        <v>8</v>
      </c>
      <c r="U32" s="1" t="s">
        <v>6</v>
      </c>
      <c r="V32" s="1" t="s">
        <v>9</v>
      </c>
      <c r="W32" s="1" t="s">
        <v>4</v>
      </c>
      <c r="X32" s="1" t="s">
        <v>7</v>
      </c>
      <c r="Y32" s="1" t="s">
        <v>10</v>
      </c>
      <c r="Z32" s="1" t="s">
        <v>11</v>
      </c>
      <c r="AA32" s="1" t="s">
        <v>12</v>
      </c>
      <c r="AB32" s="193" t="s">
        <v>159</v>
      </c>
    </row>
    <row r="33" spans="1:28" ht="18" customHeight="1" x14ac:dyDescent="0.25">
      <c r="A33" s="35"/>
      <c r="B33" s="4" t="s">
        <v>25</v>
      </c>
      <c r="C33" s="10">
        <f>(12/((20*9)*(9+1))*SUMSQ(O24:W24)-3*(20)*(9+1))</f>
        <v>21.07333333333338</v>
      </c>
      <c r="D33" s="40"/>
      <c r="E33" s="36"/>
      <c r="G33" s="35"/>
      <c r="H33" s="185" t="s">
        <v>21</v>
      </c>
      <c r="I33" s="185"/>
      <c r="J33" s="185"/>
      <c r="K33" s="185"/>
      <c r="L33" s="45" t="s">
        <v>34</v>
      </c>
      <c r="M33" s="45" t="s">
        <v>33</v>
      </c>
      <c r="N33" s="46" t="s">
        <v>91</v>
      </c>
      <c r="O33" s="36"/>
      <c r="Q33" s="193"/>
      <c r="R33" s="193"/>
      <c r="S33" s="1">
        <v>73</v>
      </c>
      <c r="T33" s="1">
        <v>81.5</v>
      </c>
      <c r="U33" s="1">
        <v>83.5</v>
      </c>
      <c r="V33" s="1">
        <v>92</v>
      </c>
      <c r="W33" s="1">
        <v>93.5</v>
      </c>
      <c r="X33" s="1">
        <v>107</v>
      </c>
      <c r="Y33" s="1">
        <v>119.5</v>
      </c>
      <c r="Z33" s="1">
        <v>121</v>
      </c>
      <c r="AA33" s="1">
        <v>129</v>
      </c>
      <c r="AB33" s="193"/>
    </row>
    <row r="34" spans="1:28" x14ac:dyDescent="0.25">
      <c r="A34" s="35"/>
      <c r="B34" s="4" t="s">
        <v>26</v>
      </c>
      <c r="C34" s="10">
        <f>_xlfn.CHISQ.INV.RT(0.05,8)</f>
        <v>15.507313055865453</v>
      </c>
      <c r="D34" s="40"/>
      <c r="E34" s="36"/>
      <c r="G34" s="35"/>
      <c r="H34" s="185" t="s">
        <v>32</v>
      </c>
      <c r="I34" s="185"/>
      <c r="J34" s="185"/>
      <c r="K34" s="185"/>
      <c r="L34" s="47">
        <f>C25</f>
        <v>3.35</v>
      </c>
      <c r="M34" s="47">
        <f>O24</f>
        <v>93.5</v>
      </c>
      <c r="N34" s="46" t="s">
        <v>158</v>
      </c>
      <c r="O34" s="161">
        <f>M34+L$43</f>
        <v>121.99223578450804</v>
      </c>
      <c r="Q34" s="1" t="str">
        <f>S32</f>
        <v>G1A2</v>
      </c>
      <c r="R34" s="1">
        <f>S33</f>
        <v>73</v>
      </c>
      <c r="S34" s="31">
        <f>R34-S$33</f>
        <v>0</v>
      </c>
      <c r="T34" s="1"/>
      <c r="U34" s="1"/>
      <c r="V34" s="1"/>
      <c r="W34" s="1"/>
      <c r="X34" s="1"/>
      <c r="Y34" s="1"/>
      <c r="Z34" s="1"/>
      <c r="AA34" s="1"/>
      <c r="AB34" s="1" t="s">
        <v>102</v>
      </c>
    </row>
    <row r="35" spans="1:28" ht="15" customHeight="1" thickBot="1" x14ac:dyDescent="0.3">
      <c r="A35" s="37"/>
      <c r="B35" s="38"/>
      <c r="C35" s="38"/>
      <c r="D35" s="38"/>
      <c r="E35" s="39"/>
      <c r="G35" s="35"/>
      <c r="H35" s="185" t="s">
        <v>36</v>
      </c>
      <c r="I35" s="185"/>
      <c r="J35" s="185"/>
      <c r="K35" s="185"/>
      <c r="L35" s="47">
        <f>D25</f>
        <v>2.65</v>
      </c>
      <c r="M35" s="47">
        <f>P24</f>
        <v>73</v>
      </c>
      <c r="N35" s="46" t="s">
        <v>102</v>
      </c>
      <c r="O35" s="161">
        <f t="shared" ref="O35:O42" si="6">M35+L$43</f>
        <v>101.49223578450804</v>
      </c>
      <c r="Q35" s="1" t="str">
        <f>T32</f>
        <v>G2A2</v>
      </c>
      <c r="R35" s="1">
        <f>T33</f>
        <v>81.5</v>
      </c>
      <c r="S35" s="31">
        <f t="shared" ref="S35:S42" si="7">R35-S$33</f>
        <v>8.5</v>
      </c>
      <c r="T35" s="8">
        <f>R35-T$33</f>
        <v>0</v>
      </c>
      <c r="U35" s="1"/>
      <c r="V35" s="1"/>
      <c r="W35" s="1"/>
      <c r="X35" s="1"/>
      <c r="Y35" s="1"/>
      <c r="Z35" s="1"/>
      <c r="AA35" s="1"/>
      <c r="AB35" s="1" t="s">
        <v>130</v>
      </c>
    </row>
    <row r="36" spans="1:28" x14ac:dyDescent="0.25">
      <c r="G36" s="35"/>
      <c r="H36" s="185" t="s">
        <v>35</v>
      </c>
      <c r="I36" s="185"/>
      <c r="J36" s="185"/>
      <c r="K36" s="185"/>
      <c r="L36" s="47">
        <f>E25</f>
        <v>2.95</v>
      </c>
      <c r="M36" s="47">
        <f>Q24</f>
        <v>83.5</v>
      </c>
      <c r="N36" s="46" t="s">
        <v>130</v>
      </c>
      <c r="O36" s="161">
        <f t="shared" si="6"/>
        <v>111.99223578450804</v>
      </c>
      <c r="Q36" s="1" t="str">
        <f>U32</f>
        <v>G1A3</v>
      </c>
      <c r="R36" s="1">
        <f>U33</f>
        <v>83.5</v>
      </c>
      <c r="S36" s="31">
        <f t="shared" si="7"/>
        <v>10.5</v>
      </c>
      <c r="T36" s="8">
        <f t="shared" ref="T36:T42" si="8">R36-T$33</f>
        <v>2</v>
      </c>
      <c r="U36" s="8">
        <f>R36-U$33</f>
        <v>0</v>
      </c>
      <c r="V36" s="1"/>
      <c r="W36" s="1"/>
      <c r="X36" s="1"/>
      <c r="Y36" s="1"/>
      <c r="Z36" s="1"/>
      <c r="AA36" s="1"/>
      <c r="AB36" s="1" t="s">
        <v>130</v>
      </c>
    </row>
    <row r="37" spans="1:28" x14ac:dyDescent="0.25">
      <c r="G37" s="35"/>
      <c r="H37" s="185" t="s">
        <v>37</v>
      </c>
      <c r="I37" s="185"/>
      <c r="J37" s="185"/>
      <c r="K37" s="185"/>
      <c r="L37" s="47">
        <f>F25</f>
        <v>3.55</v>
      </c>
      <c r="M37" s="47">
        <f>R24</f>
        <v>107</v>
      </c>
      <c r="N37" s="46" t="s">
        <v>160</v>
      </c>
      <c r="O37" s="161">
        <f t="shared" si="6"/>
        <v>135.49223578450804</v>
      </c>
      <c r="Q37" s="1" t="str">
        <f>V32</f>
        <v>G2A3</v>
      </c>
      <c r="R37" s="1">
        <f>V33</f>
        <v>92</v>
      </c>
      <c r="S37" s="31">
        <f t="shared" si="7"/>
        <v>19</v>
      </c>
      <c r="T37" s="8">
        <f t="shared" si="8"/>
        <v>10.5</v>
      </c>
      <c r="U37" s="8">
        <f t="shared" ref="U37:U42" si="9">R37-U$33</f>
        <v>8.5</v>
      </c>
      <c r="V37" s="158">
        <f t="shared" ref="V37:V42" si="10">R37-V$33</f>
        <v>0</v>
      </c>
      <c r="W37" s="1"/>
      <c r="X37" s="1"/>
      <c r="Y37" s="1"/>
      <c r="Z37" s="1"/>
      <c r="AA37" s="1"/>
      <c r="AB37" s="1" t="s">
        <v>157</v>
      </c>
    </row>
    <row r="38" spans="1:28" x14ac:dyDescent="0.25">
      <c r="G38" s="35"/>
      <c r="H38" s="185" t="s">
        <v>38</v>
      </c>
      <c r="I38" s="185"/>
      <c r="J38" s="185"/>
      <c r="K38" s="185"/>
      <c r="L38" s="47">
        <f>G25</f>
        <v>2.9</v>
      </c>
      <c r="M38" s="47">
        <f>S24</f>
        <v>81.5</v>
      </c>
      <c r="N38" s="46" t="s">
        <v>130</v>
      </c>
      <c r="O38" s="161">
        <f t="shared" si="6"/>
        <v>109.99223578450804</v>
      </c>
      <c r="Q38" s="1" t="str">
        <f>W32</f>
        <v>G1A1</v>
      </c>
      <c r="R38" s="1">
        <f>W33</f>
        <v>93.5</v>
      </c>
      <c r="S38" s="31">
        <f t="shared" si="7"/>
        <v>20.5</v>
      </c>
      <c r="T38" s="8">
        <f t="shared" si="8"/>
        <v>12</v>
      </c>
      <c r="U38" s="8">
        <f t="shared" si="9"/>
        <v>10</v>
      </c>
      <c r="V38" s="158">
        <f t="shared" si="10"/>
        <v>1.5</v>
      </c>
      <c r="W38" s="159">
        <f>R38-W$33</f>
        <v>0</v>
      </c>
      <c r="X38" s="1"/>
      <c r="Y38" s="1"/>
      <c r="Z38" s="1"/>
      <c r="AA38" s="1"/>
      <c r="AB38" s="1" t="s">
        <v>158</v>
      </c>
    </row>
    <row r="39" spans="1:28" x14ac:dyDescent="0.25">
      <c r="G39" s="35"/>
      <c r="H39" s="185" t="s">
        <v>39</v>
      </c>
      <c r="I39" s="185"/>
      <c r="J39" s="185"/>
      <c r="K39" s="185"/>
      <c r="L39" s="47">
        <f>H25</f>
        <v>3.1</v>
      </c>
      <c r="M39" s="47">
        <f>T24</f>
        <v>92</v>
      </c>
      <c r="N39" s="46" t="s">
        <v>157</v>
      </c>
      <c r="O39" s="161">
        <f t="shared" si="6"/>
        <v>120.49223578450804</v>
      </c>
      <c r="Q39" s="1" t="str">
        <f>X32</f>
        <v>G2A1</v>
      </c>
      <c r="R39" s="1">
        <f>X33</f>
        <v>107</v>
      </c>
      <c r="S39" s="1">
        <f t="shared" si="7"/>
        <v>34</v>
      </c>
      <c r="T39" s="8">
        <f t="shared" si="8"/>
        <v>25.5</v>
      </c>
      <c r="U39" s="8">
        <f t="shared" si="9"/>
        <v>23.5</v>
      </c>
      <c r="V39" s="158">
        <f t="shared" si="10"/>
        <v>15</v>
      </c>
      <c r="W39" s="159">
        <f>R39-W$33</f>
        <v>13.5</v>
      </c>
      <c r="X39" s="160">
        <f>R39-X$33</f>
        <v>0</v>
      </c>
      <c r="Y39" s="1"/>
      <c r="Z39" s="1"/>
      <c r="AA39" s="1"/>
      <c r="AB39" s="1" t="s">
        <v>160</v>
      </c>
    </row>
    <row r="40" spans="1:28" x14ac:dyDescent="0.25">
      <c r="G40" s="35"/>
      <c r="H40" s="190" t="s">
        <v>40</v>
      </c>
      <c r="I40" s="190"/>
      <c r="J40" s="190"/>
      <c r="K40" s="190"/>
      <c r="L40" s="47">
        <f>I25</f>
        <v>3.75</v>
      </c>
      <c r="M40" s="47">
        <f>U24</f>
        <v>119.5</v>
      </c>
      <c r="N40" s="46" t="s">
        <v>161</v>
      </c>
      <c r="O40" s="161">
        <f t="shared" si="6"/>
        <v>147.99223578450804</v>
      </c>
      <c r="Q40" s="1" t="str">
        <f>Y32</f>
        <v>G3A1</v>
      </c>
      <c r="R40" s="1">
        <f>Y33</f>
        <v>119.5</v>
      </c>
      <c r="S40" s="1">
        <f t="shared" si="7"/>
        <v>46.5</v>
      </c>
      <c r="T40" s="1">
        <f t="shared" si="8"/>
        <v>38</v>
      </c>
      <c r="U40" s="1">
        <f t="shared" si="9"/>
        <v>36</v>
      </c>
      <c r="V40" s="158">
        <f t="shared" si="10"/>
        <v>27.5</v>
      </c>
      <c r="W40" s="159">
        <f>R40-W$33</f>
        <v>26</v>
      </c>
      <c r="X40" s="160">
        <f>R40-X$33</f>
        <v>12.5</v>
      </c>
      <c r="Y40" s="160">
        <f>R40-Y$33</f>
        <v>0</v>
      </c>
      <c r="Z40" s="1"/>
      <c r="AA40" s="1"/>
      <c r="AB40" s="1" t="s">
        <v>161</v>
      </c>
    </row>
    <row r="41" spans="1:28" x14ac:dyDescent="0.25">
      <c r="G41" s="35"/>
      <c r="H41" s="185" t="s">
        <v>41</v>
      </c>
      <c r="I41" s="185"/>
      <c r="J41" s="185"/>
      <c r="K41" s="185"/>
      <c r="L41" s="47">
        <f>J25</f>
        <v>3.75</v>
      </c>
      <c r="M41" s="47">
        <f>V24</f>
        <v>121</v>
      </c>
      <c r="N41" s="46" t="s">
        <v>134</v>
      </c>
      <c r="O41" s="161">
        <f t="shared" si="6"/>
        <v>149.49223578450804</v>
      </c>
      <c r="Q41" s="1" t="str">
        <f>Z32</f>
        <v>G3A2</v>
      </c>
      <c r="R41" s="1">
        <f>Z33</f>
        <v>121</v>
      </c>
      <c r="S41" s="1">
        <f t="shared" si="7"/>
        <v>48</v>
      </c>
      <c r="T41" s="1">
        <f t="shared" si="8"/>
        <v>39.5</v>
      </c>
      <c r="U41" s="1">
        <f t="shared" si="9"/>
        <v>37.5</v>
      </c>
      <c r="V41" s="1">
        <f t="shared" si="10"/>
        <v>29</v>
      </c>
      <c r="W41" s="159">
        <f>R41-W$33</f>
        <v>27.5</v>
      </c>
      <c r="X41" s="160">
        <f>R41-X$33</f>
        <v>14</v>
      </c>
      <c r="Y41" s="160">
        <f>R41-Y$33</f>
        <v>1.5</v>
      </c>
      <c r="Z41" s="160">
        <f>R41-Z$33</f>
        <v>0</v>
      </c>
      <c r="AA41" s="1"/>
      <c r="AB41" s="1" t="s">
        <v>134</v>
      </c>
    </row>
    <row r="42" spans="1:28" x14ac:dyDescent="0.25">
      <c r="G42" s="35"/>
      <c r="H42" s="191" t="s">
        <v>42</v>
      </c>
      <c r="I42" s="191"/>
      <c r="J42" s="191"/>
      <c r="K42" s="191"/>
      <c r="L42" s="47">
        <f>K25</f>
        <v>3.95</v>
      </c>
      <c r="M42" s="47">
        <f>W24</f>
        <v>129</v>
      </c>
      <c r="N42" s="46" t="s">
        <v>162</v>
      </c>
      <c r="O42" s="161">
        <f t="shared" si="6"/>
        <v>157.49223578450804</v>
      </c>
      <c r="Q42" s="1" t="str">
        <f>AA32</f>
        <v>G3A3</v>
      </c>
      <c r="R42" s="1">
        <f>AA33</f>
        <v>129</v>
      </c>
      <c r="S42" s="1">
        <f t="shared" si="7"/>
        <v>56</v>
      </c>
      <c r="T42" s="1">
        <f t="shared" si="8"/>
        <v>47.5</v>
      </c>
      <c r="U42" s="1">
        <f t="shared" si="9"/>
        <v>45.5</v>
      </c>
      <c r="V42" s="1">
        <f t="shared" si="10"/>
        <v>37</v>
      </c>
      <c r="W42" s="1">
        <f>R42-W$33</f>
        <v>35.5</v>
      </c>
      <c r="X42" s="160">
        <f>R42-X$33</f>
        <v>22</v>
      </c>
      <c r="Y42" s="160">
        <f>R42-Y$33</f>
        <v>9.5</v>
      </c>
      <c r="Z42" s="160">
        <f>R42-Z$33</f>
        <v>8</v>
      </c>
      <c r="AA42" s="160">
        <f>R42-AA33</f>
        <v>0</v>
      </c>
      <c r="AB42" s="1" t="s">
        <v>162</v>
      </c>
    </row>
    <row r="43" spans="1:28" x14ac:dyDescent="0.25">
      <c r="G43" s="35"/>
      <c r="H43" s="189" t="s">
        <v>43</v>
      </c>
      <c r="I43" s="189"/>
      <c r="J43" s="189"/>
      <c r="K43" s="189"/>
      <c r="L43" s="192">
        <f>1.645*SQRT(20*9*(9+1)/6)</f>
        <v>28.492235784508036</v>
      </c>
      <c r="M43" s="192"/>
      <c r="N43" s="46"/>
      <c r="O43" s="36"/>
    </row>
    <row r="44" spans="1:28" x14ac:dyDescent="0.25">
      <c r="G44" s="35"/>
      <c r="H44" s="40"/>
      <c r="I44" s="40"/>
      <c r="J44" s="40"/>
      <c r="K44" s="40"/>
      <c r="L44" s="40"/>
      <c r="M44" s="40"/>
      <c r="N44" s="40"/>
      <c r="O44" s="36"/>
    </row>
    <row r="45" spans="1:28" x14ac:dyDescent="0.25">
      <c r="G45" s="35"/>
      <c r="H45" s="40"/>
      <c r="I45" s="40"/>
      <c r="J45" s="40"/>
      <c r="K45" s="40"/>
      <c r="L45" s="40"/>
      <c r="M45" s="40"/>
      <c r="N45" s="40"/>
      <c r="O45" s="36"/>
    </row>
    <row r="46" spans="1:28" ht="15.75" thickBot="1" x14ac:dyDescent="0.3">
      <c r="G46" s="37"/>
      <c r="H46" s="38"/>
      <c r="I46" s="38"/>
      <c r="J46" s="38"/>
      <c r="K46" s="38"/>
      <c r="L46" s="38"/>
      <c r="M46" s="38"/>
      <c r="N46" s="38"/>
      <c r="O46" s="39"/>
    </row>
  </sheetData>
  <mergeCells count="21">
    <mergeCell ref="L43:M43"/>
    <mergeCell ref="Q32:Q33"/>
    <mergeCell ref="R32:R33"/>
    <mergeCell ref="AB32:AB33"/>
    <mergeCell ref="H34:K34"/>
    <mergeCell ref="H33:K33"/>
    <mergeCell ref="H35:K35"/>
    <mergeCell ref="H40:K40"/>
    <mergeCell ref="H41:K41"/>
    <mergeCell ref="H42:K42"/>
    <mergeCell ref="H43:K43"/>
    <mergeCell ref="H36:K36"/>
    <mergeCell ref="H37:K37"/>
    <mergeCell ref="H38:K38"/>
    <mergeCell ref="H39:K39"/>
    <mergeCell ref="X2:X3"/>
    <mergeCell ref="B2:B3"/>
    <mergeCell ref="C2:K2"/>
    <mergeCell ref="L2:L3"/>
    <mergeCell ref="N2:N3"/>
    <mergeCell ref="O2:W2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6"/>
  <sheetViews>
    <sheetView topLeftCell="A14" zoomScale="90" zoomScaleNormal="90" workbookViewId="0">
      <selection activeCell="Q34" sqref="Q34"/>
    </sheetView>
  </sheetViews>
  <sheetFormatPr defaultRowHeight="15" x14ac:dyDescent="0.25"/>
  <cols>
    <col min="12" max="12" width="11.85546875" customWidth="1"/>
    <col min="13" max="13" width="15.140625" customWidth="1"/>
  </cols>
  <sheetData>
    <row r="1" spans="1:27" x14ac:dyDescent="0.25">
      <c r="A1" t="s">
        <v>20</v>
      </c>
      <c r="N1" s="7" t="s">
        <v>13</v>
      </c>
    </row>
    <row r="2" spans="1:27" x14ac:dyDescent="0.25">
      <c r="B2" s="188" t="s">
        <v>1</v>
      </c>
      <c r="C2" s="187" t="s">
        <v>2</v>
      </c>
      <c r="D2" s="187"/>
      <c r="E2" s="187"/>
      <c r="F2" s="187"/>
      <c r="G2" s="187"/>
      <c r="H2" s="187"/>
      <c r="I2" s="187"/>
      <c r="J2" s="187"/>
      <c r="K2" s="187"/>
      <c r="L2" s="188" t="s">
        <v>3</v>
      </c>
      <c r="N2" s="188" t="s">
        <v>1</v>
      </c>
      <c r="O2" s="187" t="s">
        <v>2</v>
      </c>
      <c r="P2" s="187"/>
      <c r="Q2" s="187"/>
      <c r="R2" s="187"/>
      <c r="S2" s="187"/>
      <c r="T2" s="187"/>
      <c r="U2" s="187"/>
      <c r="V2" s="187"/>
      <c r="W2" s="187"/>
      <c r="X2" s="188" t="s">
        <v>3</v>
      </c>
      <c r="Z2" s="21" t="s">
        <v>18</v>
      </c>
      <c r="AA2" s="22"/>
    </row>
    <row r="3" spans="1:27" x14ac:dyDescent="0.25">
      <c r="B3" s="188"/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6" t="s">
        <v>11</v>
      </c>
      <c r="K3" s="6" t="s">
        <v>12</v>
      </c>
      <c r="L3" s="188"/>
      <c r="N3" s="188"/>
      <c r="O3" s="6" t="s">
        <v>4</v>
      </c>
      <c r="P3" s="6" t="s">
        <v>5</v>
      </c>
      <c r="Q3" s="6" t="s">
        <v>6</v>
      </c>
      <c r="R3" s="6" t="s">
        <v>7</v>
      </c>
      <c r="S3" s="6" t="s">
        <v>8</v>
      </c>
      <c r="T3" s="6" t="s">
        <v>9</v>
      </c>
      <c r="U3" s="6" t="s">
        <v>10</v>
      </c>
      <c r="V3" s="6" t="s">
        <v>11</v>
      </c>
      <c r="W3" s="6" t="s">
        <v>12</v>
      </c>
      <c r="X3" s="188"/>
      <c r="Z3" s="5" t="s">
        <v>4</v>
      </c>
      <c r="AA3" s="23">
        <f>STDEV(O4:O23)</f>
        <v>1.3695466018857645</v>
      </c>
    </row>
    <row r="4" spans="1:27" x14ac:dyDescent="0.25">
      <c r="B4" s="14">
        <v>1</v>
      </c>
      <c r="C4" s="18">
        <v>4</v>
      </c>
      <c r="D4" s="18">
        <v>5</v>
      </c>
      <c r="E4" s="18">
        <v>4</v>
      </c>
      <c r="F4" s="18">
        <v>5</v>
      </c>
      <c r="G4" s="18">
        <v>4</v>
      </c>
      <c r="H4" s="18">
        <v>3</v>
      </c>
      <c r="I4" s="18">
        <v>4</v>
      </c>
      <c r="J4" s="18">
        <v>4</v>
      </c>
      <c r="K4" s="18">
        <v>5</v>
      </c>
      <c r="L4" s="14">
        <f t="shared" ref="L4:L23" si="0">SUM(C4:K4)</f>
        <v>38</v>
      </c>
      <c r="N4" s="14">
        <v>1</v>
      </c>
      <c r="O4" s="18">
        <v>4</v>
      </c>
      <c r="P4" s="18">
        <v>8</v>
      </c>
      <c r="Q4" s="18">
        <v>4</v>
      </c>
      <c r="R4" s="18">
        <v>8</v>
      </c>
      <c r="S4" s="18">
        <v>4</v>
      </c>
      <c r="T4" s="18">
        <v>1</v>
      </c>
      <c r="U4" s="18">
        <v>4</v>
      </c>
      <c r="V4" s="18">
        <v>4</v>
      </c>
      <c r="W4" s="18">
        <v>8</v>
      </c>
      <c r="X4" s="14">
        <f t="shared" ref="X4:X23" si="1">SUM(O4:W4)</f>
        <v>45</v>
      </c>
      <c r="Z4" s="24" t="s">
        <v>5</v>
      </c>
      <c r="AA4" s="23">
        <f>STDEV(P4:P23)</f>
        <v>1.51657508881031</v>
      </c>
    </row>
    <row r="5" spans="1:27" x14ac:dyDescent="0.25">
      <c r="B5" s="14">
        <v>2</v>
      </c>
      <c r="C5" s="18">
        <v>4</v>
      </c>
      <c r="D5" s="18">
        <v>4</v>
      </c>
      <c r="E5" s="18">
        <v>4</v>
      </c>
      <c r="F5" s="18">
        <v>4</v>
      </c>
      <c r="G5" s="18">
        <v>4</v>
      </c>
      <c r="H5" s="18">
        <v>4</v>
      </c>
      <c r="I5" s="18">
        <v>4</v>
      </c>
      <c r="J5" s="18">
        <v>4</v>
      </c>
      <c r="K5" s="18">
        <v>4</v>
      </c>
      <c r="L5" s="14">
        <f t="shared" si="0"/>
        <v>36</v>
      </c>
      <c r="N5" s="14">
        <v>2</v>
      </c>
      <c r="O5" s="18">
        <v>5</v>
      </c>
      <c r="P5" s="18">
        <v>5</v>
      </c>
      <c r="Q5" s="18">
        <v>5</v>
      </c>
      <c r="R5" s="18">
        <v>5</v>
      </c>
      <c r="S5" s="18">
        <v>5</v>
      </c>
      <c r="T5" s="18">
        <v>5</v>
      </c>
      <c r="U5" s="18">
        <v>5</v>
      </c>
      <c r="V5" s="18">
        <v>5</v>
      </c>
      <c r="W5" s="18">
        <v>5</v>
      </c>
      <c r="X5" s="14">
        <f t="shared" si="1"/>
        <v>45</v>
      </c>
      <c r="Z5" s="5" t="s">
        <v>6</v>
      </c>
      <c r="AA5" s="23">
        <f>STDEV(Q4:Q23)</f>
        <v>1.6081617488692852</v>
      </c>
    </row>
    <row r="6" spans="1:27" x14ac:dyDescent="0.25">
      <c r="B6" s="14">
        <v>3</v>
      </c>
      <c r="C6" s="18">
        <v>4</v>
      </c>
      <c r="D6" s="18">
        <v>4</v>
      </c>
      <c r="E6" s="18">
        <v>4</v>
      </c>
      <c r="F6" s="18">
        <v>4</v>
      </c>
      <c r="G6" s="18">
        <v>4</v>
      </c>
      <c r="H6" s="18">
        <v>4</v>
      </c>
      <c r="I6" s="18">
        <v>4</v>
      </c>
      <c r="J6" s="18">
        <v>4</v>
      </c>
      <c r="K6" s="18">
        <v>4</v>
      </c>
      <c r="L6" s="14">
        <f t="shared" si="0"/>
        <v>36</v>
      </c>
      <c r="N6" s="14">
        <v>3</v>
      </c>
      <c r="O6" s="18">
        <v>5</v>
      </c>
      <c r="P6" s="18">
        <v>5</v>
      </c>
      <c r="Q6" s="18">
        <v>5</v>
      </c>
      <c r="R6" s="18">
        <v>5</v>
      </c>
      <c r="S6" s="18">
        <v>5</v>
      </c>
      <c r="T6" s="18">
        <v>5</v>
      </c>
      <c r="U6" s="18">
        <v>5</v>
      </c>
      <c r="V6" s="18">
        <v>5</v>
      </c>
      <c r="W6" s="18">
        <v>5</v>
      </c>
      <c r="X6" s="14">
        <f t="shared" si="1"/>
        <v>45</v>
      </c>
      <c r="Z6" s="5" t="s">
        <v>7</v>
      </c>
      <c r="AA6" s="23">
        <f>STDEV(R4:R23)</f>
        <v>1.4197850096701994</v>
      </c>
    </row>
    <row r="7" spans="1:27" x14ac:dyDescent="0.25">
      <c r="B7" s="14">
        <v>4</v>
      </c>
      <c r="C7" s="18">
        <v>2</v>
      </c>
      <c r="D7" s="18">
        <v>2</v>
      </c>
      <c r="E7" s="18">
        <v>2</v>
      </c>
      <c r="F7" s="18">
        <v>2</v>
      </c>
      <c r="G7" s="18">
        <v>2</v>
      </c>
      <c r="H7" s="18">
        <v>3</v>
      </c>
      <c r="I7" s="18">
        <v>2</v>
      </c>
      <c r="J7" s="18">
        <v>3</v>
      </c>
      <c r="K7" s="18">
        <v>3</v>
      </c>
      <c r="L7" s="14">
        <f t="shared" si="0"/>
        <v>21</v>
      </c>
      <c r="N7" s="14">
        <v>4</v>
      </c>
      <c r="O7" s="18">
        <v>3.5</v>
      </c>
      <c r="P7" s="18">
        <v>3.5</v>
      </c>
      <c r="Q7" s="18">
        <v>3.5</v>
      </c>
      <c r="R7" s="18">
        <v>3.5</v>
      </c>
      <c r="S7" s="18">
        <v>3.5</v>
      </c>
      <c r="T7" s="18">
        <v>8</v>
      </c>
      <c r="U7" s="18">
        <v>3.5</v>
      </c>
      <c r="V7" s="18">
        <v>8</v>
      </c>
      <c r="W7" s="18">
        <v>8</v>
      </c>
      <c r="X7" s="14">
        <f t="shared" si="1"/>
        <v>45</v>
      </c>
      <c r="Z7" s="5" t="s">
        <v>8</v>
      </c>
      <c r="AA7" s="23">
        <f>STDEV(S4:S23)</f>
        <v>1.5269508660623035</v>
      </c>
    </row>
    <row r="8" spans="1:27" x14ac:dyDescent="0.25">
      <c r="B8" s="14">
        <v>5</v>
      </c>
      <c r="C8" s="18">
        <v>2</v>
      </c>
      <c r="D8" s="18">
        <v>2</v>
      </c>
      <c r="E8" s="18">
        <v>2</v>
      </c>
      <c r="F8" s="18">
        <v>2</v>
      </c>
      <c r="G8" s="18">
        <v>2</v>
      </c>
      <c r="H8" s="18">
        <v>2</v>
      </c>
      <c r="I8" s="18">
        <v>2</v>
      </c>
      <c r="J8" s="18">
        <v>2</v>
      </c>
      <c r="K8" s="18">
        <v>2</v>
      </c>
      <c r="L8" s="14">
        <f t="shared" si="0"/>
        <v>18</v>
      </c>
      <c r="N8" s="14">
        <v>5</v>
      </c>
      <c r="O8" s="18">
        <v>5</v>
      </c>
      <c r="P8" s="18">
        <v>5</v>
      </c>
      <c r="Q8" s="18">
        <v>5</v>
      </c>
      <c r="R8" s="18">
        <v>5</v>
      </c>
      <c r="S8" s="18">
        <v>5</v>
      </c>
      <c r="T8" s="18">
        <v>5</v>
      </c>
      <c r="U8" s="18">
        <v>5</v>
      </c>
      <c r="V8" s="18">
        <v>5</v>
      </c>
      <c r="W8" s="18">
        <v>5</v>
      </c>
      <c r="X8" s="14">
        <f t="shared" si="1"/>
        <v>45</v>
      </c>
      <c r="Z8" s="5" t="s">
        <v>9</v>
      </c>
      <c r="AA8" s="23">
        <f>STDEV(T4:T23)</f>
        <v>2.1188378145130704</v>
      </c>
    </row>
    <row r="9" spans="1:27" x14ac:dyDescent="0.25">
      <c r="B9" s="14">
        <v>6</v>
      </c>
      <c r="C9" s="18">
        <v>3</v>
      </c>
      <c r="D9" s="18">
        <v>3</v>
      </c>
      <c r="E9" s="18">
        <v>3</v>
      </c>
      <c r="F9" s="18">
        <v>3</v>
      </c>
      <c r="G9" s="18">
        <v>4</v>
      </c>
      <c r="H9" s="18">
        <v>5</v>
      </c>
      <c r="I9" s="18">
        <v>2</v>
      </c>
      <c r="J9" s="18">
        <v>2</v>
      </c>
      <c r="K9" s="18">
        <v>3</v>
      </c>
      <c r="L9" s="14">
        <f t="shared" si="0"/>
        <v>28</v>
      </c>
      <c r="N9" s="14">
        <v>6</v>
      </c>
      <c r="O9" s="18">
        <v>5</v>
      </c>
      <c r="P9" s="18">
        <v>5</v>
      </c>
      <c r="Q9" s="18">
        <v>5</v>
      </c>
      <c r="R9" s="18">
        <v>5</v>
      </c>
      <c r="S9" s="18">
        <v>8</v>
      </c>
      <c r="T9" s="18">
        <v>9</v>
      </c>
      <c r="U9" s="18">
        <v>1.5</v>
      </c>
      <c r="V9" s="18">
        <v>1.5</v>
      </c>
      <c r="W9" s="18">
        <v>5</v>
      </c>
      <c r="X9" s="14">
        <f t="shared" si="1"/>
        <v>45</v>
      </c>
      <c r="Z9" s="5" t="s">
        <v>10</v>
      </c>
      <c r="AA9" s="23">
        <f>STDEV(U4:U23)</f>
        <v>1.864488077053239</v>
      </c>
    </row>
    <row r="10" spans="1:27" x14ac:dyDescent="0.25">
      <c r="B10" s="14">
        <v>7</v>
      </c>
      <c r="C10" s="18">
        <v>2</v>
      </c>
      <c r="D10" s="18">
        <v>2</v>
      </c>
      <c r="E10" s="18">
        <v>2</v>
      </c>
      <c r="F10" s="18">
        <v>2</v>
      </c>
      <c r="G10" s="18">
        <v>2</v>
      </c>
      <c r="H10" s="18">
        <v>2</v>
      </c>
      <c r="I10" s="18">
        <v>4</v>
      </c>
      <c r="J10" s="18">
        <v>2</v>
      </c>
      <c r="K10" s="18">
        <v>1</v>
      </c>
      <c r="L10" s="14">
        <f t="shared" si="0"/>
        <v>19</v>
      </c>
      <c r="N10" s="14">
        <v>7</v>
      </c>
      <c r="O10" s="18">
        <v>5</v>
      </c>
      <c r="P10" s="18">
        <v>5</v>
      </c>
      <c r="Q10" s="18">
        <v>5</v>
      </c>
      <c r="R10" s="18">
        <v>5</v>
      </c>
      <c r="S10" s="18">
        <v>5</v>
      </c>
      <c r="T10" s="18">
        <v>5</v>
      </c>
      <c r="U10" s="18">
        <v>9</v>
      </c>
      <c r="V10" s="18">
        <v>5</v>
      </c>
      <c r="W10" s="18">
        <v>1</v>
      </c>
      <c r="X10" s="14">
        <f t="shared" si="1"/>
        <v>45</v>
      </c>
      <c r="Z10" s="5" t="s">
        <v>11</v>
      </c>
      <c r="AA10" s="23">
        <f>STDEV(V4:V23)</f>
        <v>1.8715318802914818</v>
      </c>
    </row>
    <row r="11" spans="1:27" x14ac:dyDescent="0.25">
      <c r="B11" s="14">
        <v>8</v>
      </c>
      <c r="C11" s="18">
        <v>5</v>
      </c>
      <c r="D11" s="18">
        <v>5</v>
      </c>
      <c r="E11" s="18">
        <v>5</v>
      </c>
      <c r="F11" s="18">
        <v>5</v>
      </c>
      <c r="G11" s="18">
        <v>5</v>
      </c>
      <c r="H11" s="18">
        <v>5</v>
      </c>
      <c r="I11" s="18">
        <v>5</v>
      </c>
      <c r="J11" s="18">
        <v>5</v>
      </c>
      <c r="K11" s="18">
        <v>5</v>
      </c>
      <c r="L11" s="14">
        <f t="shared" si="0"/>
        <v>45</v>
      </c>
      <c r="N11" s="14">
        <v>8</v>
      </c>
      <c r="O11" s="18">
        <v>5</v>
      </c>
      <c r="P11" s="18">
        <v>5</v>
      </c>
      <c r="Q11" s="18">
        <v>5</v>
      </c>
      <c r="R11" s="18">
        <v>5</v>
      </c>
      <c r="S11" s="18">
        <v>5</v>
      </c>
      <c r="T11" s="18">
        <v>5</v>
      </c>
      <c r="U11" s="18">
        <v>5</v>
      </c>
      <c r="V11" s="18">
        <v>5</v>
      </c>
      <c r="W11" s="18">
        <v>5</v>
      </c>
      <c r="X11" s="14">
        <f t="shared" si="1"/>
        <v>45</v>
      </c>
      <c r="Z11" s="5" t="s">
        <v>12</v>
      </c>
      <c r="AA11" s="23">
        <f>STDEV(W4:W23)</f>
        <v>2.0228952674713279</v>
      </c>
    </row>
    <row r="12" spans="1:27" x14ac:dyDescent="0.25">
      <c r="B12" s="14">
        <v>9</v>
      </c>
      <c r="C12" s="18">
        <v>3</v>
      </c>
      <c r="D12" s="18">
        <v>3</v>
      </c>
      <c r="E12" s="18">
        <v>3</v>
      </c>
      <c r="F12" s="18">
        <v>3</v>
      </c>
      <c r="G12" s="18">
        <v>3</v>
      </c>
      <c r="H12" s="18">
        <v>3</v>
      </c>
      <c r="I12" s="18">
        <v>3</v>
      </c>
      <c r="J12" s="18">
        <v>3</v>
      </c>
      <c r="K12" s="18">
        <v>3</v>
      </c>
      <c r="L12" s="14">
        <f t="shared" si="0"/>
        <v>27</v>
      </c>
      <c r="N12" s="14">
        <v>9</v>
      </c>
      <c r="O12" s="18">
        <v>5</v>
      </c>
      <c r="P12" s="18">
        <v>5</v>
      </c>
      <c r="Q12" s="18">
        <v>5</v>
      </c>
      <c r="R12" s="18">
        <v>5</v>
      </c>
      <c r="S12" s="18">
        <v>5</v>
      </c>
      <c r="T12" s="18">
        <v>5</v>
      </c>
      <c r="U12" s="18">
        <v>5</v>
      </c>
      <c r="V12" s="18">
        <v>5</v>
      </c>
      <c r="W12" s="18">
        <v>5</v>
      </c>
      <c r="X12" s="14">
        <f t="shared" si="1"/>
        <v>45</v>
      </c>
    </row>
    <row r="13" spans="1:27" x14ac:dyDescent="0.25">
      <c r="B13" s="14">
        <v>10</v>
      </c>
      <c r="C13" s="18">
        <v>3</v>
      </c>
      <c r="D13" s="18">
        <v>3</v>
      </c>
      <c r="E13" s="18">
        <v>4</v>
      </c>
      <c r="F13" s="18">
        <v>3</v>
      </c>
      <c r="G13" s="18">
        <v>4</v>
      </c>
      <c r="H13" s="18">
        <v>3</v>
      </c>
      <c r="I13" s="18">
        <v>4</v>
      </c>
      <c r="J13" s="18">
        <v>4</v>
      </c>
      <c r="K13" s="18">
        <v>4</v>
      </c>
      <c r="L13" s="14">
        <f t="shared" si="0"/>
        <v>32</v>
      </c>
      <c r="N13" s="14">
        <v>10</v>
      </c>
      <c r="O13" s="18">
        <v>2.5</v>
      </c>
      <c r="P13" s="18">
        <v>2.5</v>
      </c>
      <c r="Q13" s="18">
        <v>7</v>
      </c>
      <c r="R13" s="18">
        <v>2.5</v>
      </c>
      <c r="S13" s="18">
        <v>7</v>
      </c>
      <c r="T13" s="18">
        <v>2.5</v>
      </c>
      <c r="U13" s="18">
        <v>7</v>
      </c>
      <c r="V13" s="18">
        <v>7</v>
      </c>
      <c r="W13" s="18">
        <v>7</v>
      </c>
      <c r="X13" s="14">
        <f t="shared" si="1"/>
        <v>45</v>
      </c>
    </row>
    <row r="14" spans="1:27" x14ac:dyDescent="0.25">
      <c r="B14" s="14">
        <v>11</v>
      </c>
      <c r="C14" s="18">
        <v>5</v>
      </c>
      <c r="D14" s="18">
        <v>5</v>
      </c>
      <c r="E14" s="18">
        <v>5</v>
      </c>
      <c r="F14" s="18">
        <v>5</v>
      </c>
      <c r="G14" s="18">
        <v>5</v>
      </c>
      <c r="H14" s="18">
        <v>5</v>
      </c>
      <c r="I14" s="18">
        <v>5</v>
      </c>
      <c r="J14" s="18">
        <v>3</v>
      </c>
      <c r="K14" s="18">
        <v>5</v>
      </c>
      <c r="L14" s="14">
        <f t="shared" si="0"/>
        <v>43</v>
      </c>
      <c r="N14" s="14">
        <v>11</v>
      </c>
      <c r="O14" s="18">
        <v>5.5</v>
      </c>
      <c r="P14" s="18">
        <v>5.5</v>
      </c>
      <c r="Q14" s="18">
        <v>5.5</v>
      </c>
      <c r="R14" s="18">
        <v>5.5</v>
      </c>
      <c r="S14" s="18">
        <v>5.5</v>
      </c>
      <c r="T14" s="18">
        <v>5.5</v>
      </c>
      <c r="U14" s="18">
        <v>5.5</v>
      </c>
      <c r="V14" s="18">
        <v>1</v>
      </c>
      <c r="W14" s="18">
        <v>5.5</v>
      </c>
      <c r="X14" s="14">
        <f t="shared" si="1"/>
        <v>45</v>
      </c>
    </row>
    <row r="15" spans="1:27" x14ac:dyDescent="0.25">
      <c r="B15" s="14">
        <v>12</v>
      </c>
      <c r="C15" s="18">
        <v>4</v>
      </c>
      <c r="D15" s="18">
        <v>2</v>
      </c>
      <c r="E15" s="18">
        <v>2</v>
      </c>
      <c r="F15" s="18">
        <v>4</v>
      </c>
      <c r="G15" s="18">
        <v>4</v>
      </c>
      <c r="H15" s="18">
        <v>4</v>
      </c>
      <c r="I15" s="18">
        <v>2</v>
      </c>
      <c r="J15" s="18">
        <v>2</v>
      </c>
      <c r="K15" s="18">
        <v>4</v>
      </c>
      <c r="L15" s="14">
        <f t="shared" si="0"/>
        <v>28</v>
      </c>
      <c r="N15" s="14">
        <v>12</v>
      </c>
      <c r="O15" s="18">
        <v>7</v>
      </c>
      <c r="P15" s="18">
        <v>2.5</v>
      </c>
      <c r="Q15" s="18">
        <v>2.5</v>
      </c>
      <c r="R15" s="18">
        <v>7</v>
      </c>
      <c r="S15" s="18">
        <v>7</v>
      </c>
      <c r="T15" s="18">
        <v>7</v>
      </c>
      <c r="U15" s="18">
        <v>2.5</v>
      </c>
      <c r="V15" s="18">
        <v>2.5</v>
      </c>
      <c r="W15" s="18">
        <v>7</v>
      </c>
      <c r="X15" s="14">
        <f t="shared" si="1"/>
        <v>45</v>
      </c>
    </row>
    <row r="16" spans="1:27" x14ac:dyDescent="0.25">
      <c r="B16" s="14">
        <v>13</v>
      </c>
      <c r="C16" s="18">
        <v>4</v>
      </c>
      <c r="D16" s="18">
        <v>2</v>
      </c>
      <c r="E16" s="18">
        <v>2</v>
      </c>
      <c r="F16" s="18">
        <v>4</v>
      </c>
      <c r="G16" s="18">
        <v>4</v>
      </c>
      <c r="H16" s="18">
        <v>4</v>
      </c>
      <c r="I16" s="18">
        <v>2</v>
      </c>
      <c r="J16" s="18">
        <v>2</v>
      </c>
      <c r="K16" s="18">
        <v>4</v>
      </c>
      <c r="L16" s="14">
        <f t="shared" si="0"/>
        <v>28</v>
      </c>
      <c r="N16" s="14">
        <v>13</v>
      </c>
      <c r="O16" s="18">
        <v>7</v>
      </c>
      <c r="P16" s="18">
        <v>2.5</v>
      </c>
      <c r="Q16" s="18">
        <v>2.5</v>
      </c>
      <c r="R16" s="18">
        <v>7</v>
      </c>
      <c r="S16" s="18">
        <v>7</v>
      </c>
      <c r="T16" s="18">
        <v>7</v>
      </c>
      <c r="U16" s="18">
        <v>2.5</v>
      </c>
      <c r="V16" s="18">
        <v>2.5</v>
      </c>
      <c r="W16" s="18">
        <v>7</v>
      </c>
      <c r="X16" s="14">
        <f t="shared" si="1"/>
        <v>45</v>
      </c>
    </row>
    <row r="17" spans="2:24" x14ac:dyDescent="0.25">
      <c r="B17" s="14">
        <v>14</v>
      </c>
      <c r="C17" s="18">
        <v>4</v>
      </c>
      <c r="D17" s="18">
        <v>2</v>
      </c>
      <c r="E17" s="18">
        <v>2</v>
      </c>
      <c r="F17" s="18">
        <v>4</v>
      </c>
      <c r="G17" s="18">
        <v>4</v>
      </c>
      <c r="H17" s="18">
        <v>4</v>
      </c>
      <c r="I17" s="18">
        <v>2</v>
      </c>
      <c r="J17" s="18">
        <v>2</v>
      </c>
      <c r="K17" s="18">
        <v>4</v>
      </c>
      <c r="L17" s="14">
        <f t="shared" si="0"/>
        <v>28</v>
      </c>
      <c r="N17" s="14">
        <v>14</v>
      </c>
      <c r="O17" s="18">
        <v>7</v>
      </c>
      <c r="P17" s="18">
        <v>2.5</v>
      </c>
      <c r="Q17" s="18">
        <v>2.5</v>
      </c>
      <c r="R17" s="18">
        <v>7</v>
      </c>
      <c r="S17" s="18">
        <v>7</v>
      </c>
      <c r="T17" s="18">
        <v>7</v>
      </c>
      <c r="U17" s="18">
        <v>2.5</v>
      </c>
      <c r="V17" s="18">
        <v>2.5</v>
      </c>
      <c r="W17" s="18">
        <v>7</v>
      </c>
      <c r="X17" s="14">
        <f t="shared" si="1"/>
        <v>45</v>
      </c>
    </row>
    <row r="18" spans="2:24" x14ac:dyDescent="0.25">
      <c r="B18" s="14">
        <v>15</v>
      </c>
      <c r="C18" s="18">
        <v>4</v>
      </c>
      <c r="D18" s="18">
        <v>2</v>
      </c>
      <c r="E18" s="18">
        <v>4</v>
      </c>
      <c r="F18" s="18">
        <v>4</v>
      </c>
      <c r="G18" s="18">
        <v>4</v>
      </c>
      <c r="H18" s="18">
        <v>2</v>
      </c>
      <c r="I18" s="18">
        <v>4</v>
      </c>
      <c r="J18" s="18">
        <v>4</v>
      </c>
      <c r="K18" s="18">
        <v>4</v>
      </c>
      <c r="L18" s="14">
        <f t="shared" si="0"/>
        <v>32</v>
      </c>
      <c r="N18" s="14">
        <v>15</v>
      </c>
      <c r="O18" s="18">
        <v>6</v>
      </c>
      <c r="P18" s="18">
        <v>1.5</v>
      </c>
      <c r="Q18" s="18">
        <v>6</v>
      </c>
      <c r="R18" s="18">
        <v>6</v>
      </c>
      <c r="S18" s="18">
        <v>6</v>
      </c>
      <c r="T18" s="18">
        <v>1.5</v>
      </c>
      <c r="U18" s="18">
        <v>6</v>
      </c>
      <c r="V18" s="18">
        <v>6</v>
      </c>
      <c r="W18" s="18">
        <v>6</v>
      </c>
      <c r="X18" s="14">
        <f t="shared" si="1"/>
        <v>45</v>
      </c>
    </row>
    <row r="19" spans="2:24" x14ac:dyDescent="0.25">
      <c r="B19" s="14">
        <v>16</v>
      </c>
      <c r="C19" s="18">
        <v>4</v>
      </c>
      <c r="D19" s="18">
        <v>4</v>
      </c>
      <c r="E19" s="18">
        <v>4</v>
      </c>
      <c r="F19" s="18">
        <v>4</v>
      </c>
      <c r="G19" s="18">
        <v>5</v>
      </c>
      <c r="H19" s="18">
        <v>4</v>
      </c>
      <c r="I19" s="18">
        <v>4</v>
      </c>
      <c r="J19" s="18">
        <v>4</v>
      </c>
      <c r="K19" s="18">
        <v>4</v>
      </c>
      <c r="L19" s="14">
        <f t="shared" si="0"/>
        <v>37</v>
      </c>
      <c r="N19" s="14">
        <v>16</v>
      </c>
      <c r="O19" s="18">
        <v>4.5</v>
      </c>
      <c r="P19" s="18">
        <v>4.5</v>
      </c>
      <c r="Q19" s="18">
        <v>4.5</v>
      </c>
      <c r="R19" s="18">
        <v>4.5</v>
      </c>
      <c r="S19" s="18">
        <v>9</v>
      </c>
      <c r="T19" s="18">
        <v>4.5</v>
      </c>
      <c r="U19" s="18">
        <v>4.5</v>
      </c>
      <c r="V19" s="18">
        <v>4.5</v>
      </c>
      <c r="W19" s="18">
        <v>4.5</v>
      </c>
      <c r="X19" s="14">
        <f t="shared" si="1"/>
        <v>45</v>
      </c>
    </row>
    <row r="20" spans="2:24" x14ac:dyDescent="0.25">
      <c r="B20" s="14">
        <v>17</v>
      </c>
      <c r="C20" s="18">
        <v>5</v>
      </c>
      <c r="D20" s="18">
        <v>4</v>
      </c>
      <c r="E20" s="18">
        <v>5</v>
      </c>
      <c r="F20" s="18">
        <v>4</v>
      </c>
      <c r="G20" s="18">
        <v>5</v>
      </c>
      <c r="H20" s="18">
        <v>4</v>
      </c>
      <c r="I20" s="18">
        <v>2</v>
      </c>
      <c r="J20" s="18">
        <v>2</v>
      </c>
      <c r="K20" s="18">
        <v>5</v>
      </c>
      <c r="L20" s="14">
        <f t="shared" si="0"/>
        <v>36</v>
      </c>
      <c r="N20" s="14">
        <v>17</v>
      </c>
      <c r="O20" s="18">
        <v>7.5</v>
      </c>
      <c r="P20" s="18">
        <v>4</v>
      </c>
      <c r="Q20" s="18">
        <v>7.5</v>
      </c>
      <c r="R20" s="18">
        <v>4</v>
      </c>
      <c r="S20" s="18">
        <v>7.5</v>
      </c>
      <c r="T20" s="18">
        <v>4</v>
      </c>
      <c r="U20" s="18">
        <v>1.5</v>
      </c>
      <c r="V20" s="18">
        <v>1.5</v>
      </c>
      <c r="W20" s="18">
        <v>7.5</v>
      </c>
      <c r="X20" s="14">
        <f t="shared" si="1"/>
        <v>45</v>
      </c>
    </row>
    <row r="21" spans="2:24" x14ac:dyDescent="0.25">
      <c r="B21" s="14">
        <v>18</v>
      </c>
      <c r="C21" s="18">
        <v>3</v>
      </c>
      <c r="D21" s="18">
        <v>3</v>
      </c>
      <c r="E21" s="18">
        <v>5</v>
      </c>
      <c r="F21" s="18">
        <v>3</v>
      </c>
      <c r="G21" s="18">
        <v>3</v>
      </c>
      <c r="H21" s="18">
        <v>5</v>
      </c>
      <c r="I21" s="18">
        <v>3</v>
      </c>
      <c r="J21" s="18">
        <v>3</v>
      </c>
      <c r="K21" s="18">
        <v>5</v>
      </c>
      <c r="L21" s="14">
        <f t="shared" si="0"/>
        <v>33</v>
      </c>
      <c r="N21" s="14">
        <v>18</v>
      </c>
      <c r="O21" s="18">
        <v>3.5</v>
      </c>
      <c r="P21" s="18">
        <v>3.5</v>
      </c>
      <c r="Q21" s="18">
        <v>8</v>
      </c>
      <c r="R21" s="18">
        <v>3.5</v>
      </c>
      <c r="S21" s="18">
        <v>3.5</v>
      </c>
      <c r="T21" s="18">
        <v>8</v>
      </c>
      <c r="U21" s="18">
        <v>3.5</v>
      </c>
      <c r="V21" s="18">
        <v>3.5</v>
      </c>
      <c r="W21" s="18">
        <v>8</v>
      </c>
      <c r="X21" s="14">
        <f t="shared" si="1"/>
        <v>45</v>
      </c>
    </row>
    <row r="22" spans="2:24" x14ac:dyDescent="0.25">
      <c r="B22" s="14">
        <v>19</v>
      </c>
      <c r="C22" s="18">
        <v>4</v>
      </c>
      <c r="D22" s="18">
        <v>4</v>
      </c>
      <c r="E22" s="18">
        <v>4</v>
      </c>
      <c r="F22" s="18">
        <v>4</v>
      </c>
      <c r="G22" s="18">
        <v>4</v>
      </c>
      <c r="H22" s="18">
        <v>4</v>
      </c>
      <c r="I22" s="18">
        <v>4</v>
      </c>
      <c r="J22" s="18">
        <v>4</v>
      </c>
      <c r="K22" s="18">
        <v>1</v>
      </c>
      <c r="L22" s="14">
        <f t="shared" si="0"/>
        <v>33</v>
      </c>
      <c r="N22" s="14">
        <v>19</v>
      </c>
      <c r="O22" s="18">
        <v>5.5</v>
      </c>
      <c r="P22" s="18">
        <v>5.5</v>
      </c>
      <c r="Q22" s="18">
        <v>5.5</v>
      </c>
      <c r="R22" s="18">
        <v>5.5</v>
      </c>
      <c r="S22" s="18">
        <v>5.5</v>
      </c>
      <c r="T22" s="18">
        <v>5.5</v>
      </c>
      <c r="U22" s="18">
        <v>5.5</v>
      </c>
      <c r="V22" s="18">
        <v>5.5</v>
      </c>
      <c r="W22" s="18">
        <v>1</v>
      </c>
      <c r="X22" s="14">
        <f t="shared" si="1"/>
        <v>45</v>
      </c>
    </row>
    <row r="23" spans="2:24" x14ac:dyDescent="0.25">
      <c r="B23" s="14">
        <v>20</v>
      </c>
      <c r="C23" s="18">
        <v>3</v>
      </c>
      <c r="D23" s="18">
        <v>3</v>
      </c>
      <c r="E23" s="18">
        <v>4</v>
      </c>
      <c r="F23" s="18">
        <v>3</v>
      </c>
      <c r="G23" s="18">
        <v>4</v>
      </c>
      <c r="H23" s="18">
        <v>4</v>
      </c>
      <c r="I23" s="18">
        <v>3</v>
      </c>
      <c r="J23" s="18">
        <v>3</v>
      </c>
      <c r="K23" s="18">
        <v>4</v>
      </c>
      <c r="L23" s="14">
        <f t="shared" si="0"/>
        <v>31</v>
      </c>
      <c r="N23" s="14">
        <v>20</v>
      </c>
      <c r="O23" s="18">
        <v>3</v>
      </c>
      <c r="P23" s="18">
        <v>3</v>
      </c>
      <c r="Q23" s="18">
        <v>7.5</v>
      </c>
      <c r="R23" s="18">
        <v>3</v>
      </c>
      <c r="S23" s="18">
        <v>7.5</v>
      </c>
      <c r="T23" s="18">
        <v>7.5</v>
      </c>
      <c r="U23" s="18">
        <v>3</v>
      </c>
      <c r="V23" s="18">
        <v>3</v>
      </c>
      <c r="W23" s="18">
        <v>7.5</v>
      </c>
      <c r="X23" s="14">
        <f t="shared" si="1"/>
        <v>45</v>
      </c>
    </row>
    <row r="24" spans="2:24" x14ac:dyDescent="0.25">
      <c r="B24" s="1" t="s">
        <v>14</v>
      </c>
      <c r="C24" s="18">
        <f>SUM(C4:C23)</f>
        <v>72</v>
      </c>
      <c r="D24" s="18">
        <f t="shared" ref="D24:L24" si="2">SUM(D4:D23)</f>
        <v>64</v>
      </c>
      <c r="E24" s="18">
        <f t="shared" si="2"/>
        <v>70</v>
      </c>
      <c r="F24" s="18">
        <f t="shared" si="2"/>
        <v>72</v>
      </c>
      <c r="G24" s="18">
        <f t="shared" si="2"/>
        <v>76</v>
      </c>
      <c r="H24" s="18">
        <f t="shared" si="2"/>
        <v>74</v>
      </c>
      <c r="I24" s="18">
        <f t="shared" si="2"/>
        <v>65</v>
      </c>
      <c r="J24" s="18">
        <f t="shared" si="2"/>
        <v>62</v>
      </c>
      <c r="K24" s="18">
        <f t="shared" si="2"/>
        <v>74</v>
      </c>
      <c r="L24" s="19">
        <f t="shared" si="2"/>
        <v>629</v>
      </c>
      <c r="N24" s="1" t="s">
        <v>14</v>
      </c>
      <c r="O24" s="14">
        <f>SUM(O4:O23)</f>
        <v>101.5</v>
      </c>
      <c r="P24" s="14">
        <f t="shared" ref="P24:W24" si="3">SUM(P4:P23)</f>
        <v>84</v>
      </c>
      <c r="Q24" s="14">
        <f t="shared" si="3"/>
        <v>101.5</v>
      </c>
      <c r="R24" s="14">
        <f t="shared" si="3"/>
        <v>102</v>
      </c>
      <c r="S24" s="14">
        <f t="shared" si="3"/>
        <v>118</v>
      </c>
      <c r="T24" s="14">
        <f t="shared" si="3"/>
        <v>108</v>
      </c>
      <c r="U24" s="14">
        <f t="shared" si="3"/>
        <v>87</v>
      </c>
      <c r="V24" s="14">
        <f t="shared" si="3"/>
        <v>83</v>
      </c>
      <c r="W24" s="14">
        <f t="shared" si="3"/>
        <v>115</v>
      </c>
      <c r="X24" s="14"/>
    </row>
    <row r="25" spans="2:24" x14ac:dyDescent="0.25">
      <c r="B25" s="1" t="s">
        <v>15</v>
      </c>
      <c r="C25" s="167">
        <f>AVERAGE(C4:C23)</f>
        <v>3.6</v>
      </c>
      <c r="D25" s="167">
        <f t="shared" ref="D25:K25" si="4">AVERAGE(D4:D23)</f>
        <v>3.2</v>
      </c>
      <c r="E25" s="167">
        <f t="shared" si="4"/>
        <v>3.5</v>
      </c>
      <c r="F25" s="167">
        <f t="shared" si="4"/>
        <v>3.6</v>
      </c>
      <c r="G25" s="167">
        <f t="shared" si="4"/>
        <v>3.8</v>
      </c>
      <c r="H25" s="167">
        <f t="shared" si="4"/>
        <v>3.7</v>
      </c>
      <c r="I25" s="167">
        <f t="shared" si="4"/>
        <v>3.25</v>
      </c>
      <c r="J25" s="167">
        <f t="shared" si="4"/>
        <v>3.1</v>
      </c>
      <c r="K25" s="167">
        <f t="shared" si="4"/>
        <v>3.7</v>
      </c>
      <c r="L25" s="14"/>
      <c r="N25" s="9" t="s">
        <v>15</v>
      </c>
      <c r="O25" s="20">
        <f>AVERAGE(O4:O23)</f>
        <v>5.0750000000000002</v>
      </c>
      <c r="P25" s="20">
        <f>AVERAGE(P4:P23)</f>
        <v>4.2</v>
      </c>
      <c r="Q25" s="20">
        <f>AVERAGE(Q4:Q23)</f>
        <v>5.0750000000000002</v>
      </c>
      <c r="R25" s="20">
        <f t="shared" ref="R25:W25" si="5">AVERAGE(R4:R23)</f>
        <v>5.0999999999999996</v>
      </c>
      <c r="S25" s="20">
        <f t="shared" si="5"/>
        <v>5.9</v>
      </c>
      <c r="T25" s="20">
        <f t="shared" si="5"/>
        <v>5.4</v>
      </c>
      <c r="U25" s="20">
        <f t="shared" si="5"/>
        <v>4.3499999999999996</v>
      </c>
      <c r="V25" s="20">
        <f t="shared" si="5"/>
        <v>4.1500000000000004</v>
      </c>
      <c r="W25" s="20">
        <f t="shared" si="5"/>
        <v>5.75</v>
      </c>
      <c r="X25" s="14"/>
    </row>
    <row r="28" spans="2:24" x14ac:dyDescent="0.25">
      <c r="P28" t="s">
        <v>190</v>
      </c>
      <c r="Q28">
        <f>SUMSQ(O24:W24)</f>
        <v>91335.5</v>
      </c>
    </row>
    <row r="31" spans="2:24" ht="15.75" thickBot="1" x14ac:dyDescent="0.3">
      <c r="Q31">
        <f>12/((20*9)*(9+1))</f>
        <v>6.6666666666666671E-3</v>
      </c>
    </row>
    <row r="32" spans="2:24" x14ac:dyDescent="0.25">
      <c r="B32" s="41" t="s">
        <v>44</v>
      </c>
      <c r="C32" s="41" t="s">
        <v>45</v>
      </c>
      <c r="D32" s="41"/>
      <c r="G32" s="32"/>
      <c r="H32" s="43" t="s">
        <v>148</v>
      </c>
      <c r="I32" s="43"/>
      <c r="J32" s="43"/>
      <c r="K32" s="44"/>
      <c r="L32" s="44"/>
      <c r="M32" s="44"/>
      <c r="N32" s="44"/>
      <c r="O32" s="34"/>
    </row>
    <row r="33" spans="2:17" x14ac:dyDescent="0.25">
      <c r="B33" s="4" t="s">
        <v>25</v>
      </c>
      <c r="C33" s="79">
        <f>(12/((20*9)*(9+1))*SUMSQ(O24:W24)-3*(20)*(9+1))</f>
        <v>8.9033333333334213</v>
      </c>
      <c r="G33" s="35"/>
      <c r="H33" s="185" t="s">
        <v>21</v>
      </c>
      <c r="I33" s="185"/>
      <c r="J33" s="185"/>
      <c r="K33" s="185"/>
      <c r="L33" s="45" t="s">
        <v>34</v>
      </c>
      <c r="M33" s="45" t="s">
        <v>33</v>
      </c>
      <c r="N33" s="46"/>
      <c r="O33" s="36"/>
      <c r="Q33">
        <f>Q28*Q31-600</f>
        <v>8.9033333333334213</v>
      </c>
    </row>
    <row r="34" spans="2:17" x14ac:dyDescent="0.25">
      <c r="B34" s="4" t="s">
        <v>26</v>
      </c>
      <c r="C34" s="10">
        <f>_xlfn.CHISQ.INV.RT(0.05,8)</f>
        <v>15.507313055865453</v>
      </c>
      <c r="G34" s="35"/>
      <c r="H34" s="185" t="s">
        <v>32</v>
      </c>
      <c r="I34" s="185"/>
      <c r="J34" s="185"/>
      <c r="K34" s="185"/>
      <c r="L34" s="156">
        <f>C25</f>
        <v>3.6</v>
      </c>
      <c r="M34" s="156">
        <f>O24</f>
        <v>101.5</v>
      </c>
      <c r="N34" s="46"/>
      <c r="O34" s="36"/>
    </row>
    <row r="35" spans="2:17" x14ac:dyDescent="0.25">
      <c r="G35" s="35"/>
      <c r="H35" s="185" t="s">
        <v>36</v>
      </c>
      <c r="I35" s="185"/>
      <c r="J35" s="185"/>
      <c r="K35" s="185"/>
      <c r="L35" s="156">
        <f>D25</f>
        <v>3.2</v>
      </c>
      <c r="M35" s="156">
        <f>P24</f>
        <v>84</v>
      </c>
      <c r="N35" s="46"/>
      <c r="O35" s="36"/>
    </row>
    <row r="36" spans="2:17" x14ac:dyDescent="0.25">
      <c r="G36" s="35"/>
      <c r="H36" s="185" t="s">
        <v>35</v>
      </c>
      <c r="I36" s="185"/>
      <c r="J36" s="185"/>
      <c r="K36" s="185"/>
      <c r="L36" s="156">
        <f>E25</f>
        <v>3.5</v>
      </c>
      <c r="M36" s="156">
        <f>Q24</f>
        <v>101.5</v>
      </c>
      <c r="N36" s="46"/>
      <c r="O36" s="36"/>
    </row>
    <row r="37" spans="2:17" x14ac:dyDescent="0.25">
      <c r="G37" s="35"/>
      <c r="H37" s="185" t="s">
        <v>37</v>
      </c>
      <c r="I37" s="185"/>
      <c r="J37" s="185"/>
      <c r="K37" s="185"/>
      <c r="L37" s="156">
        <f>F25</f>
        <v>3.6</v>
      </c>
      <c r="M37" s="156">
        <f>R24</f>
        <v>102</v>
      </c>
      <c r="N37" s="46"/>
      <c r="O37" s="36"/>
    </row>
    <row r="38" spans="2:17" x14ac:dyDescent="0.25">
      <c r="G38" s="35"/>
      <c r="H38" s="185" t="s">
        <v>38</v>
      </c>
      <c r="I38" s="185"/>
      <c r="J38" s="185"/>
      <c r="K38" s="185"/>
      <c r="L38" s="156">
        <f>G25</f>
        <v>3.8</v>
      </c>
      <c r="M38" s="156">
        <f>S24</f>
        <v>118</v>
      </c>
      <c r="N38" s="46"/>
      <c r="O38" s="36"/>
    </row>
    <row r="39" spans="2:17" x14ac:dyDescent="0.25">
      <c r="G39" s="35"/>
      <c r="H39" s="185" t="s">
        <v>39</v>
      </c>
      <c r="I39" s="185"/>
      <c r="J39" s="185"/>
      <c r="K39" s="185"/>
      <c r="L39" s="156">
        <f>H25</f>
        <v>3.7</v>
      </c>
      <c r="M39" s="156">
        <f>T24</f>
        <v>108</v>
      </c>
      <c r="N39" s="46"/>
      <c r="O39" s="36"/>
    </row>
    <row r="40" spans="2:17" x14ac:dyDescent="0.25">
      <c r="G40" s="35"/>
      <c r="H40" s="190" t="s">
        <v>40</v>
      </c>
      <c r="I40" s="190"/>
      <c r="J40" s="190"/>
      <c r="K40" s="190"/>
      <c r="L40" s="156">
        <f>I25</f>
        <v>3.25</v>
      </c>
      <c r="M40" s="156">
        <f>U24</f>
        <v>87</v>
      </c>
      <c r="N40" s="46"/>
      <c r="O40" s="36"/>
    </row>
    <row r="41" spans="2:17" x14ac:dyDescent="0.25">
      <c r="G41" s="35"/>
      <c r="H41" s="185" t="s">
        <v>41</v>
      </c>
      <c r="I41" s="185"/>
      <c r="J41" s="185"/>
      <c r="K41" s="185"/>
      <c r="L41" s="156">
        <f>J25</f>
        <v>3.1</v>
      </c>
      <c r="M41" s="156">
        <f>V24</f>
        <v>83</v>
      </c>
      <c r="N41" s="46"/>
      <c r="O41" s="36"/>
    </row>
    <row r="42" spans="2:17" x14ac:dyDescent="0.25">
      <c r="G42" s="35"/>
      <c r="H42" s="191" t="s">
        <v>42</v>
      </c>
      <c r="I42" s="191"/>
      <c r="J42" s="191"/>
      <c r="K42" s="191"/>
      <c r="L42" s="156">
        <f>K25</f>
        <v>3.7</v>
      </c>
      <c r="M42" s="156">
        <f>W24</f>
        <v>115</v>
      </c>
      <c r="N42" s="46"/>
      <c r="O42" s="36"/>
    </row>
    <row r="43" spans="2:17" x14ac:dyDescent="0.25">
      <c r="G43" s="35"/>
      <c r="H43" s="189" t="s">
        <v>43</v>
      </c>
      <c r="I43" s="189"/>
      <c r="J43" s="189"/>
      <c r="K43" s="189"/>
      <c r="L43" s="48"/>
      <c r="M43" s="48"/>
      <c r="N43" s="46"/>
      <c r="O43" s="36"/>
    </row>
    <row r="44" spans="2:17" x14ac:dyDescent="0.25">
      <c r="G44" s="35"/>
      <c r="H44" s="40"/>
      <c r="I44" s="40"/>
      <c r="J44" s="40"/>
      <c r="K44" s="40"/>
      <c r="L44" s="40"/>
      <c r="M44" s="40"/>
      <c r="N44" s="40"/>
      <c r="O44" s="36"/>
    </row>
    <row r="45" spans="2:17" x14ac:dyDescent="0.25">
      <c r="G45" s="35"/>
      <c r="H45" s="40"/>
      <c r="I45" s="40"/>
      <c r="J45" s="40"/>
      <c r="K45" s="40"/>
      <c r="L45" s="40"/>
      <c r="M45" s="40"/>
      <c r="N45" s="40"/>
      <c r="O45" s="36"/>
    </row>
    <row r="46" spans="2:17" ht="15.75" thickBot="1" x14ac:dyDescent="0.3">
      <c r="G46" s="37"/>
      <c r="H46" s="38"/>
      <c r="I46" s="38"/>
      <c r="J46" s="38"/>
      <c r="K46" s="38"/>
      <c r="L46" s="38"/>
      <c r="M46" s="38"/>
      <c r="N46" s="38"/>
      <c r="O46" s="39"/>
    </row>
  </sheetData>
  <mergeCells count="17">
    <mergeCell ref="H43:K43"/>
    <mergeCell ref="H38:K38"/>
    <mergeCell ref="H39:K39"/>
    <mergeCell ref="H40:K40"/>
    <mergeCell ref="H41:K41"/>
    <mergeCell ref="H42:K42"/>
    <mergeCell ref="H33:K33"/>
    <mergeCell ref="H34:K34"/>
    <mergeCell ref="H35:K35"/>
    <mergeCell ref="H36:K36"/>
    <mergeCell ref="H37:K37"/>
    <mergeCell ref="X2:X3"/>
    <mergeCell ref="B2:B3"/>
    <mergeCell ref="C2:K2"/>
    <mergeCell ref="L2:L3"/>
    <mergeCell ref="N2:N3"/>
    <mergeCell ref="O2:W2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S32"/>
  <sheetViews>
    <sheetView workbookViewId="0">
      <selection activeCell="N16" sqref="N16"/>
    </sheetView>
  </sheetViews>
  <sheetFormatPr defaultRowHeight="15" x14ac:dyDescent="0.25"/>
  <cols>
    <col min="2" max="2" width="11" customWidth="1"/>
    <col min="9" max="9" width="12.5703125" customWidth="1"/>
  </cols>
  <sheetData>
    <row r="3" spans="2:14" x14ac:dyDescent="0.25">
      <c r="B3" s="194" t="s">
        <v>21</v>
      </c>
      <c r="C3" s="196" t="s">
        <v>22</v>
      </c>
      <c r="D3" s="197"/>
      <c r="E3" s="198"/>
      <c r="F3" s="194" t="s">
        <v>14</v>
      </c>
      <c r="G3" s="194" t="s">
        <v>23</v>
      </c>
      <c r="I3" s="199" t="s">
        <v>46</v>
      </c>
      <c r="J3" s="199"/>
      <c r="K3" s="199"/>
      <c r="L3" s="199"/>
      <c r="M3" s="199"/>
      <c r="N3" s="199"/>
    </row>
    <row r="4" spans="2:14" x14ac:dyDescent="0.25">
      <c r="B4" s="195"/>
      <c r="C4" s="171">
        <v>1</v>
      </c>
      <c r="D4" s="171">
        <v>2</v>
      </c>
      <c r="E4" s="171">
        <v>3</v>
      </c>
      <c r="F4" s="195"/>
      <c r="G4" s="195"/>
      <c r="I4" s="200" t="s">
        <v>48</v>
      </c>
      <c r="J4" s="187" t="s">
        <v>47</v>
      </c>
      <c r="K4" s="187"/>
      <c r="L4" s="187"/>
      <c r="M4" s="188" t="s">
        <v>14</v>
      </c>
      <c r="N4" s="188" t="s">
        <v>34</v>
      </c>
    </row>
    <row r="5" spans="2:14" x14ac:dyDescent="0.25">
      <c r="B5" s="169" t="s">
        <v>4</v>
      </c>
      <c r="C5" s="53">
        <v>32.04</v>
      </c>
      <c r="D5" s="53">
        <v>31.57</v>
      </c>
      <c r="E5" s="53">
        <v>33.01</v>
      </c>
      <c r="F5" s="54">
        <f>SUM(C5:E5)</f>
        <v>96.62</v>
      </c>
      <c r="G5" s="53">
        <f>AVERAGE(C5:E5)</f>
        <v>32.206666666666671</v>
      </c>
      <c r="I5" s="200"/>
      <c r="J5" s="168" t="s">
        <v>49</v>
      </c>
      <c r="K5" s="168" t="s">
        <v>50</v>
      </c>
      <c r="L5" s="168" t="s">
        <v>51</v>
      </c>
      <c r="M5" s="188"/>
      <c r="N5" s="188"/>
    </row>
    <row r="6" spans="2:14" x14ac:dyDescent="0.25">
      <c r="B6" s="169" t="s">
        <v>5</v>
      </c>
      <c r="C6" s="53">
        <v>33.01</v>
      </c>
      <c r="D6" s="53">
        <v>32.69</v>
      </c>
      <c r="E6" s="53">
        <v>32.79</v>
      </c>
      <c r="F6" s="54">
        <f t="shared" ref="F6:F13" si="0">SUM(C6:E6)</f>
        <v>98.489999999999981</v>
      </c>
      <c r="G6" s="53">
        <f t="shared" ref="G6:G13" si="1">AVERAGE(C6:E6)</f>
        <v>32.829999999999991</v>
      </c>
      <c r="I6" s="168" t="s">
        <v>52</v>
      </c>
      <c r="J6" s="13">
        <f>F5</f>
        <v>96.62</v>
      </c>
      <c r="K6" s="13">
        <f>F6</f>
        <v>98.489999999999981</v>
      </c>
      <c r="L6" s="13">
        <f>F7</f>
        <v>104.17</v>
      </c>
      <c r="M6" s="13">
        <f>SUM(J6:L6)</f>
        <v>299.27999999999997</v>
      </c>
      <c r="N6" s="13">
        <f>M6/9</f>
        <v>33.25333333333333</v>
      </c>
    </row>
    <row r="7" spans="2:14" x14ac:dyDescent="0.25">
      <c r="B7" s="169" t="s">
        <v>6</v>
      </c>
      <c r="C7" s="53">
        <v>35.75</v>
      </c>
      <c r="D7" s="53">
        <v>34.06</v>
      </c>
      <c r="E7" s="53">
        <v>34.36</v>
      </c>
      <c r="F7" s="54">
        <f t="shared" si="0"/>
        <v>104.17</v>
      </c>
      <c r="G7" s="53">
        <f t="shared" si="1"/>
        <v>34.723333333333336</v>
      </c>
      <c r="I7" s="168" t="s">
        <v>53</v>
      </c>
      <c r="J7" s="13">
        <f>F8</f>
        <v>111.98999999999998</v>
      </c>
      <c r="K7" s="13">
        <f>F9</f>
        <v>111.27</v>
      </c>
      <c r="L7" s="13">
        <f>F10</f>
        <v>111.57000000000001</v>
      </c>
      <c r="M7" s="13">
        <f>SUM(J7:L7)</f>
        <v>334.83</v>
      </c>
      <c r="N7" s="13">
        <f>M7/9</f>
        <v>37.203333333333333</v>
      </c>
    </row>
    <row r="8" spans="2:14" x14ac:dyDescent="0.25">
      <c r="B8" s="169" t="s">
        <v>7</v>
      </c>
      <c r="C8" s="53">
        <v>36.9</v>
      </c>
      <c r="D8" s="53">
        <v>37.799999999999997</v>
      </c>
      <c r="E8" s="53">
        <v>37.29</v>
      </c>
      <c r="F8" s="54">
        <f t="shared" si="0"/>
        <v>111.98999999999998</v>
      </c>
      <c r="G8" s="53">
        <f t="shared" si="1"/>
        <v>37.329999999999991</v>
      </c>
      <c r="I8" s="168" t="s">
        <v>54</v>
      </c>
      <c r="J8" s="13">
        <f>F11</f>
        <v>115.64000000000001</v>
      </c>
      <c r="K8" s="13">
        <f>F12</f>
        <v>115.89</v>
      </c>
      <c r="L8" s="13">
        <f>F13</f>
        <v>117.94</v>
      </c>
      <c r="M8" s="13">
        <f>SUM(J8:L8)</f>
        <v>349.47</v>
      </c>
      <c r="N8" s="13">
        <f>M8/9</f>
        <v>38.830000000000005</v>
      </c>
    </row>
    <row r="9" spans="2:14" x14ac:dyDescent="0.25">
      <c r="B9" s="169" t="s">
        <v>8</v>
      </c>
      <c r="C9" s="53">
        <v>36.96</v>
      </c>
      <c r="D9" s="53">
        <v>37.67</v>
      </c>
      <c r="E9" s="53">
        <v>36.64</v>
      </c>
      <c r="F9" s="54">
        <f t="shared" si="0"/>
        <v>111.27</v>
      </c>
      <c r="G9" s="53">
        <f t="shared" si="1"/>
        <v>37.089999999999996</v>
      </c>
      <c r="I9" s="168" t="s">
        <v>14</v>
      </c>
      <c r="J9" s="13">
        <f>SUM(J6:J8)</f>
        <v>324.25</v>
      </c>
      <c r="K9" s="13">
        <f>SUM(K6:K8)</f>
        <v>325.64999999999998</v>
      </c>
      <c r="L9" s="13">
        <f>SUM(L6:L8)</f>
        <v>333.68</v>
      </c>
      <c r="M9" s="57">
        <f>SUM(M6:M8)</f>
        <v>983.57999999999993</v>
      </c>
      <c r="N9" s="202"/>
    </row>
    <row r="10" spans="2:14" x14ac:dyDescent="0.25">
      <c r="B10" s="169" t="s">
        <v>9</v>
      </c>
      <c r="C10" s="53">
        <v>37.270000000000003</v>
      </c>
      <c r="D10" s="53">
        <v>36.97</v>
      </c>
      <c r="E10" s="53">
        <v>37.33</v>
      </c>
      <c r="F10" s="54">
        <f>SUM(C10:E10)</f>
        <v>111.57000000000001</v>
      </c>
      <c r="G10" s="53">
        <f t="shared" si="1"/>
        <v>37.190000000000005</v>
      </c>
      <c r="I10" s="168" t="s">
        <v>15</v>
      </c>
      <c r="J10" s="13">
        <f>J9/9</f>
        <v>36.027777777777779</v>
      </c>
      <c r="K10" s="13">
        <f>K9/9</f>
        <v>36.18333333333333</v>
      </c>
      <c r="L10" s="13">
        <f>L9/9</f>
        <v>37.075555555555553</v>
      </c>
      <c r="M10" s="121"/>
      <c r="N10" s="203"/>
    </row>
    <row r="11" spans="2:14" x14ac:dyDescent="0.25">
      <c r="B11" s="169" t="s">
        <v>10</v>
      </c>
      <c r="C11" s="53">
        <v>38.380000000000003</v>
      </c>
      <c r="D11" s="53">
        <v>38.24</v>
      </c>
      <c r="E11" s="53">
        <v>39.020000000000003</v>
      </c>
      <c r="F11" s="54">
        <f t="shared" si="0"/>
        <v>115.64000000000001</v>
      </c>
      <c r="G11" s="53">
        <f t="shared" si="1"/>
        <v>38.546666666666674</v>
      </c>
    </row>
    <row r="12" spans="2:14" x14ac:dyDescent="0.25">
      <c r="B12" s="169" t="s">
        <v>11</v>
      </c>
      <c r="C12" s="53">
        <v>38.47</v>
      </c>
      <c r="D12" s="53">
        <v>39.200000000000003</v>
      </c>
      <c r="E12" s="53">
        <v>38.22</v>
      </c>
      <c r="F12" s="54">
        <f t="shared" si="0"/>
        <v>115.89</v>
      </c>
      <c r="G12" s="53">
        <f t="shared" si="1"/>
        <v>38.630000000000003</v>
      </c>
      <c r="I12" s="59" t="s">
        <v>55</v>
      </c>
      <c r="J12" s="60">
        <f>F14^2/(J15*J16*J14)</f>
        <v>35830.726533333327</v>
      </c>
    </row>
    <row r="13" spans="2:14" x14ac:dyDescent="0.25">
      <c r="B13" s="169" t="s">
        <v>12</v>
      </c>
      <c r="C13" s="53">
        <v>39.28</v>
      </c>
      <c r="D13" s="53">
        <v>39.299999999999997</v>
      </c>
      <c r="E13" s="53">
        <v>39.36</v>
      </c>
      <c r="F13" s="54">
        <f t="shared" si="0"/>
        <v>117.94</v>
      </c>
      <c r="G13" s="53">
        <f t="shared" si="1"/>
        <v>39.313333333333333</v>
      </c>
      <c r="I13" s="61" t="s">
        <v>56</v>
      </c>
      <c r="J13" s="2">
        <v>9</v>
      </c>
    </row>
    <row r="14" spans="2:14" x14ac:dyDescent="0.25">
      <c r="B14" s="170" t="s">
        <v>14</v>
      </c>
      <c r="C14" s="53">
        <f>SUM(C5:C13)</f>
        <v>328.05999999999995</v>
      </c>
      <c r="D14" s="53">
        <f>SUM(D5:D13)</f>
        <v>327.50000000000006</v>
      </c>
      <c r="E14" s="53">
        <f>SUM(E5:E13)</f>
        <v>328.02</v>
      </c>
      <c r="F14" s="55">
        <f>SUM(F5:F13)</f>
        <v>983.57999999999993</v>
      </c>
      <c r="G14" s="169"/>
      <c r="I14" s="61" t="s">
        <v>57</v>
      </c>
      <c r="J14" s="2">
        <v>3</v>
      </c>
    </row>
    <row r="15" spans="2:14" x14ac:dyDescent="0.25">
      <c r="I15" s="61" t="s">
        <v>58</v>
      </c>
      <c r="J15" s="2">
        <v>3</v>
      </c>
    </row>
    <row r="16" spans="2:14" x14ac:dyDescent="0.25">
      <c r="I16" s="61" t="s">
        <v>59</v>
      </c>
      <c r="J16" s="2">
        <v>3</v>
      </c>
    </row>
    <row r="18" spans="2:19" ht="15.75" x14ac:dyDescent="0.25">
      <c r="B18" s="201" t="s">
        <v>60</v>
      </c>
      <c r="C18" s="201"/>
      <c r="D18" s="201"/>
      <c r="E18" s="201"/>
      <c r="F18" s="201"/>
      <c r="G18" s="201"/>
      <c r="H18" s="201"/>
      <c r="I18" s="201"/>
      <c r="K18" s="62" t="s">
        <v>71</v>
      </c>
      <c r="L18" s="62" t="s">
        <v>72</v>
      </c>
      <c r="M18" s="62" t="s">
        <v>73</v>
      </c>
      <c r="P18" s="92" t="s">
        <v>90</v>
      </c>
      <c r="Q18" s="92" t="s">
        <v>74</v>
      </c>
      <c r="R18" s="92" t="s">
        <v>73</v>
      </c>
    </row>
    <row r="19" spans="2:19" ht="15.75" x14ac:dyDescent="0.25">
      <c r="B19" s="188" t="s">
        <v>61</v>
      </c>
      <c r="C19" s="188" t="s">
        <v>62</v>
      </c>
      <c r="D19" s="188" t="s">
        <v>63</v>
      </c>
      <c r="E19" s="188" t="s">
        <v>64</v>
      </c>
      <c r="F19" s="188" t="s">
        <v>65</v>
      </c>
      <c r="G19" s="187" t="s">
        <v>66</v>
      </c>
      <c r="H19" s="187"/>
      <c r="I19" s="213" t="s">
        <v>67</v>
      </c>
      <c r="K19" s="56">
        <f>SQRT(E26/J13)</f>
        <v>0.1795437461736554</v>
      </c>
      <c r="L19">
        <v>3.65</v>
      </c>
      <c r="M19" s="56">
        <f>K19*L19</f>
        <v>0.65533467353384223</v>
      </c>
      <c r="P19" s="93">
        <f>SQRT(E26/3)</f>
        <v>0.31097889055402139</v>
      </c>
      <c r="Q19" s="94">
        <f>5.031</f>
        <v>5.0309999999999997</v>
      </c>
      <c r="R19" s="93">
        <f>P19*Q19</f>
        <v>1.5645347983772815</v>
      </c>
    </row>
    <row r="20" spans="2:19" ht="15.75" x14ac:dyDescent="0.25">
      <c r="B20" s="188"/>
      <c r="C20" s="188"/>
      <c r="D20" s="188"/>
      <c r="E20" s="188"/>
      <c r="F20" s="188"/>
      <c r="G20" s="168">
        <v>0.05</v>
      </c>
      <c r="H20" s="168">
        <v>0.01</v>
      </c>
      <c r="I20" s="214"/>
      <c r="K20" s="58" t="s">
        <v>74</v>
      </c>
      <c r="L20" s="63">
        <f>M19</f>
        <v>0.65533467353384223</v>
      </c>
      <c r="P20" s="95" t="s">
        <v>74</v>
      </c>
      <c r="Q20" s="96">
        <f>R19</f>
        <v>1.5645347983772815</v>
      </c>
      <c r="R20" s="97"/>
    </row>
    <row r="21" spans="2:19" x14ac:dyDescent="0.25">
      <c r="B21" s="2" t="s">
        <v>68</v>
      </c>
      <c r="C21" s="168">
        <f>J14-1</f>
        <v>2</v>
      </c>
      <c r="D21" s="51">
        <f>(SUMSQ(C14:E14)/(J13))-J12</f>
        <v>2.1688888897188008E-2</v>
      </c>
      <c r="E21" s="51">
        <f t="shared" ref="E21:E27" si="2">D21/C21</f>
        <v>1.0844444448594004E-2</v>
      </c>
      <c r="F21" s="51">
        <f>E21/E26</f>
        <v>3.7378703536330923E-2</v>
      </c>
      <c r="G21" s="53">
        <f>FINV(G20,C21,C26)</f>
        <v>3.6337234675916301</v>
      </c>
      <c r="H21" s="51">
        <f>FINV(H20,C21,C26)</f>
        <v>6.2262352803113821</v>
      </c>
      <c r="I21" s="2" t="str">
        <f>IF(F21&lt;G21,"tn",IF(F21&lt;H21,"*","**"))</f>
        <v>tn</v>
      </c>
    </row>
    <row r="22" spans="2:19" x14ac:dyDescent="0.25">
      <c r="B22" s="2" t="s">
        <v>2</v>
      </c>
      <c r="C22" s="168">
        <f>(J15*J16)-1</f>
        <v>8</v>
      </c>
      <c r="D22" s="51">
        <f>(SUMSQ(F5:F13)/J14)-J12</f>
        <v>159.49900000001071</v>
      </c>
      <c r="E22" s="51">
        <f t="shared" si="2"/>
        <v>19.937375000001339</v>
      </c>
      <c r="F22" s="51">
        <f>E22/E26</f>
        <v>68.720277276566833</v>
      </c>
      <c r="G22" s="53">
        <f>FINV(G20,C22,C26)</f>
        <v>2.5910961798744014</v>
      </c>
      <c r="H22" s="51">
        <f>FINV(H20,C22,C26)</f>
        <v>3.8895721399261927</v>
      </c>
      <c r="I22" s="2" t="str">
        <f>IF(F22&lt;G22,"tn",IF(F22&lt;H22,"*","**"))</f>
        <v>**</v>
      </c>
      <c r="K22" s="65" t="s">
        <v>2</v>
      </c>
      <c r="L22" s="65" t="s">
        <v>75</v>
      </c>
      <c r="M22" s="65" t="s">
        <v>76</v>
      </c>
      <c r="P22" s="101" t="s">
        <v>2</v>
      </c>
      <c r="Q22" s="101" t="s">
        <v>75</v>
      </c>
      <c r="R22" s="101" t="s">
        <v>91</v>
      </c>
    </row>
    <row r="23" spans="2:19" x14ac:dyDescent="0.25">
      <c r="B23" s="2" t="s">
        <v>58</v>
      </c>
      <c r="C23" s="168">
        <f>J15-1</f>
        <v>2</v>
      </c>
      <c r="D23" s="74">
        <f>(SUMSQ(M6:M8)/9)-J12</f>
        <v>148.04326666666748</v>
      </c>
      <c r="E23" s="74">
        <f t="shared" si="2"/>
        <v>74.021633333333739</v>
      </c>
      <c r="F23" s="51">
        <f>E23/E26</f>
        <v>255.13826003326488</v>
      </c>
      <c r="G23" s="53">
        <f>FINV(G20,C23,C26)</f>
        <v>3.6337234675916301</v>
      </c>
      <c r="H23" s="51">
        <f>FINV(H20,C23,C26)</f>
        <v>6.2262352803113821</v>
      </c>
      <c r="I23" s="2" t="str">
        <f>IF(F23&lt;G23,"tn",IF(F23&lt;H23,"*","**"))</f>
        <v>**</v>
      </c>
      <c r="K23" s="244" t="s">
        <v>52</v>
      </c>
      <c r="L23" s="245">
        <f>N6</f>
        <v>33.25333333333333</v>
      </c>
      <c r="M23" s="246" t="s">
        <v>102</v>
      </c>
      <c r="N23" s="56">
        <f>L23+L$26</f>
        <v>33.908668006867174</v>
      </c>
      <c r="P23" s="169" t="s">
        <v>4</v>
      </c>
      <c r="Q23" s="10">
        <f>G5</f>
        <v>32.206666666666671</v>
      </c>
      <c r="R23" s="169" t="s">
        <v>102</v>
      </c>
      <c r="S23" s="56">
        <f>Q23+Q$32</f>
        <v>33.771201465043951</v>
      </c>
    </row>
    <row r="24" spans="2:19" x14ac:dyDescent="0.25">
      <c r="B24" s="2" t="s">
        <v>59</v>
      </c>
      <c r="C24" s="168">
        <f>J16-1</f>
        <v>2</v>
      </c>
      <c r="D24" s="51">
        <f>(SUMSQ(J9:L9)/9)-J12</f>
        <v>5.7542888888929156</v>
      </c>
      <c r="E24" s="51">
        <f t="shared" si="2"/>
        <v>2.8771444444464578</v>
      </c>
      <c r="F24" s="51">
        <f>E24/E26</f>
        <v>9.9169606824911067</v>
      </c>
      <c r="G24" s="53">
        <f>FINV(G20,C24,C26)</f>
        <v>3.6337234675916301</v>
      </c>
      <c r="H24" s="51">
        <f>FINV(H20,C24,C26)</f>
        <v>6.2262352803113821</v>
      </c>
      <c r="I24" s="2" t="str">
        <f>IF(F24&lt;G24,"tn",IF(F24&lt;H24,"*","**"))</f>
        <v>**</v>
      </c>
      <c r="K24" s="244" t="s">
        <v>53</v>
      </c>
      <c r="L24" s="245">
        <f>N7</f>
        <v>37.203333333333333</v>
      </c>
      <c r="M24" s="246" t="s">
        <v>103</v>
      </c>
      <c r="N24" s="56">
        <f t="shared" ref="N24:N25" si="3">L24+L$26</f>
        <v>37.858668006867177</v>
      </c>
      <c r="P24" s="169" t="s">
        <v>5</v>
      </c>
      <c r="Q24" s="10">
        <f t="shared" ref="Q24:Q31" si="4">G6</f>
        <v>32.829999999999991</v>
      </c>
      <c r="R24" s="169" t="s">
        <v>102</v>
      </c>
      <c r="S24" s="56">
        <f t="shared" ref="S24:S31" si="5">Q24+Q$32</f>
        <v>34.394534798377272</v>
      </c>
    </row>
    <row r="25" spans="2:19" x14ac:dyDescent="0.25">
      <c r="B25" s="140" t="s">
        <v>69</v>
      </c>
      <c r="C25" s="143">
        <f>C23*C24</f>
        <v>4</v>
      </c>
      <c r="D25" s="52">
        <f>D22-D23-D24</f>
        <v>5.701444444450317</v>
      </c>
      <c r="E25" s="52">
        <f t="shared" si="2"/>
        <v>1.4253611111125792</v>
      </c>
      <c r="F25" s="52">
        <f>E25/E26</f>
        <v>4.9129441952556565</v>
      </c>
      <c r="G25" s="54">
        <f>FINV(G20,C25,C26)</f>
        <v>3.0069172799243447</v>
      </c>
      <c r="H25" s="52">
        <f>FINV(H20,C25,C26)</f>
        <v>4.772577999723211</v>
      </c>
      <c r="I25" s="140" t="str">
        <f>IF(F25&lt;G25,"tn",IF(F25&lt;H25,"*","**"))</f>
        <v>**</v>
      </c>
      <c r="K25" s="244" t="s">
        <v>54</v>
      </c>
      <c r="L25" s="245">
        <f>N8</f>
        <v>38.830000000000005</v>
      </c>
      <c r="M25" s="246" t="s">
        <v>133</v>
      </c>
      <c r="N25" s="56">
        <f t="shared" si="3"/>
        <v>39.485334673533849</v>
      </c>
      <c r="P25" s="169" t="s">
        <v>6</v>
      </c>
      <c r="Q25" s="10">
        <f t="shared" si="4"/>
        <v>34.723333333333336</v>
      </c>
      <c r="R25" s="169" t="s">
        <v>103</v>
      </c>
      <c r="S25" s="56">
        <f t="shared" si="5"/>
        <v>36.287868131710617</v>
      </c>
    </row>
    <row r="26" spans="2:19" x14ac:dyDescent="0.25">
      <c r="B26" s="2" t="s">
        <v>70</v>
      </c>
      <c r="C26" s="168">
        <f>C27-C21-C22</f>
        <v>16</v>
      </c>
      <c r="D26" s="51">
        <f>D27-D21-D22</f>
        <v>4.6419777777700801</v>
      </c>
      <c r="E26" s="51">
        <f t="shared" si="2"/>
        <v>0.29012361111063001</v>
      </c>
      <c r="F26" s="207"/>
      <c r="G26" s="208"/>
      <c r="H26" s="208"/>
      <c r="I26" s="209"/>
      <c r="K26" s="247" t="s">
        <v>74</v>
      </c>
      <c r="L26" s="248">
        <f>L20</f>
        <v>0.65533467353384223</v>
      </c>
      <c r="M26" s="248"/>
      <c r="P26" s="169" t="s">
        <v>7</v>
      </c>
      <c r="Q26" s="10">
        <f t="shared" si="4"/>
        <v>37.329999999999991</v>
      </c>
      <c r="R26" s="169" t="s">
        <v>133</v>
      </c>
      <c r="S26" s="56">
        <f t="shared" si="5"/>
        <v>38.894534798377272</v>
      </c>
    </row>
    <row r="27" spans="2:19" x14ac:dyDescent="0.25">
      <c r="B27" s="2" t="s">
        <v>3</v>
      </c>
      <c r="C27" s="168">
        <f>(J15*J16*J14)-1</f>
        <v>26</v>
      </c>
      <c r="D27" s="51">
        <f>SUMSQ(C5:E13)-J12</f>
        <v>164.16266666667798</v>
      </c>
      <c r="E27" s="51">
        <f t="shared" si="2"/>
        <v>6.3139487179491534</v>
      </c>
      <c r="F27" s="210"/>
      <c r="G27" s="211"/>
      <c r="H27" s="211"/>
      <c r="I27" s="212"/>
      <c r="K27" s="244" t="s">
        <v>77</v>
      </c>
      <c r="L27" s="245">
        <f>J10</f>
        <v>36.027777777777779</v>
      </c>
      <c r="M27" s="246" t="s">
        <v>102</v>
      </c>
      <c r="N27" s="56">
        <f>L27+L$30</f>
        <v>36.683112451311622</v>
      </c>
      <c r="P27" s="169" t="s">
        <v>8</v>
      </c>
      <c r="Q27" s="10">
        <f t="shared" si="4"/>
        <v>37.089999999999996</v>
      </c>
      <c r="R27" s="169" t="s">
        <v>133</v>
      </c>
      <c r="S27" s="56">
        <f t="shared" si="5"/>
        <v>38.654534798377277</v>
      </c>
    </row>
    <row r="28" spans="2:19" x14ac:dyDescent="0.25">
      <c r="K28" s="244" t="s">
        <v>50</v>
      </c>
      <c r="L28" s="245">
        <f>K10</f>
        <v>36.18333333333333</v>
      </c>
      <c r="M28" s="246" t="s">
        <v>102</v>
      </c>
      <c r="N28" s="56">
        <f t="shared" ref="N28:N29" si="6">L28+L$30</f>
        <v>36.838668006867174</v>
      </c>
      <c r="P28" s="169" t="s">
        <v>9</v>
      </c>
      <c r="Q28" s="10">
        <f t="shared" si="4"/>
        <v>37.190000000000005</v>
      </c>
      <c r="R28" s="169" t="s">
        <v>133</v>
      </c>
      <c r="S28" s="56">
        <f t="shared" si="5"/>
        <v>38.754534798377286</v>
      </c>
    </row>
    <row r="29" spans="2:19" x14ac:dyDescent="0.25">
      <c r="K29" s="244" t="s">
        <v>51</v>
      </c>
      <c r="L29" s="245">
        <f>L10</f>
        <v>37.075555555555553</v>
      </c>
      <c r="M29" s="246" t="s">
        <v>103</v>
      </c>
      <c r="N29" s="56">
        <f t="shared" si="6"/>
        <v>37.730890229089397</v>
      </c>
      <c r="P29" s="169" t="s">
        <v>10</v>
      </c>
      <c r="Q29" s="10">
        <f t="shared" si="4"/>
        <v>38.546666666666674</v>
      </c>
      <c r="R29" s="169" t="s">
        <v>129</v>
      </c>
      <c r="S29" s="56">
        <f t="shared" si="5"/>
        <v>40.111201465043955</v>
      </c>
    </row>
    <row r="30" spans="2:19" ht="15.75" x14ac:dyDescent="0.25">
      <c r="K30" s="249" t="s">
        <v>74</v>
      </c>
      <c r="L30" s="250">
        <f>L20</f>
        <v>0.65533467353384223</v>
      </c>
      <c r="M30" s="251"/>
      <c r="P30" s="169" t="s">
        <v>11</v>
      </c>
      <c r="Q30" s="10">
        <f t="shared" si="4"/>
        <v>38.630000000000003</v>
      </c>
      <c r="R30" s="169" t="s">
        <v>129</v>
      </c>
      <c r="S30" s="56">
        <f t="shared" si="5"/>
        <v>40.194534798377283</v>
      </c>
    </row>
    <row r="31" spans="2:19" x14ac:dyDescent="0.25">
      <c r="P31" s="169" t="s">
        <v>12</v>
      </c>
      <c r="Q31" s="10">
        <f t="shared" si="4"/>
        <v>39.313333333333333</v>
      </c>
      <c r="R31" s="169" t="s">
        <v>132</v>
      </c>
      <c r="S31" s="56">
        <f t="shared" si="5"/>
        <v>40.877868131710613</v>
      </c>
    </row>
    <row r="32" spans="2:19" ht="15.75" x14ac:dyDescent="0.25">
      <c r="P32" s="95" t="s">
        <v>74</v>
      </c>
      <c r="Q32" s="96">
        <f>Q20</f>
        <v>1.5645347983772815</v>
      </c>
    </row>
  </sheetData>
  <mergeCells count="21">
    <mergeCell ref="F26:I27"/>
    <mergeCell ref="L26:M26"/>
    <mergeCell ref="L30:M30"/>
    <mergeCell ref="N9:N10"/>
    <mergeCell ref="B18:I18"/>
    <mergeCell ref="B19:B20"/>
    <mergeCell ref="C19:C20"/>
    <mergeCell ref="D19:D20"/>
    <mergeCell ref="E19:E20"/>
    <mergeCell ref="F19:F20"/>
    <mergeCell ref="G19:H19"/>
    <mergeCell ref="I19:I20"/>
    <mergeCell ref="B3:B4"/>
    <mergeCell ref="C3:E3"/>
    <mergeCell ref="F3:F4"/>
    <mergeCell ref="G3:G4"/>
    <mergeCell ref="I3:N3"/>
    <mergeCell ref="I4:I5"/>
    <mergeCell ref="J4:L4"/>
    <mergeCell ref="M4:M5"/>
    <mergeCell ref="N4:N5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N30"/>
  <sheetViews>
    <sheetView topLeftCell="A10" workbookViewId="0">
      <selection activeCell="P23" sqref="P23"/>
    </sheetView>
  </sheetViews>
  <sheetFormatPr defaultRowHeight="15" x14ac:dyDescent="0.25"/>
  <cols>
    <col min="9" max="9" width="12.5703125" customWidth="1"/>
  </cols>
  <sheetData>
    <row r="3" spans="2:14" x14ac:dyDescent="0.25">
      <c r="B3" s="199" t="s">
        <v>21</v>
      </c>
      <c r="C3" s="199" t="s">
        <v>22</v>
      </c>
      <c r="D3" s="199"/>
      <c r="E3" s="199"/>
      <c r="F3" s="199" t="s">
        <v>14</v>
      </c>
      <c r="G3" s="199" t="s">
        <v>23</v>
      </c>
      <c r="I3" s="199" t="s">
        <v>46</v>
      </c>
      <c r="J3" s="199"/>
      <c r="K3" s="199"/>
      <c r="L3" s="199"/>
      <c r="M3" s="199"/>
      <c r="N3" s="199"/>
    </row>
    <row r="4" spans="2:14" x14ac:dyDescent="0.25">
      <c r="B4" s="199"/>
      <c r="C4" s="171">
        <v>1</v>
      </c>
      <c r="D4" s="171">
        <v>2</v>
      </c>
      <c r="E4" s="171">
        <v>3</v>
      </c>
      <c r="F4" s="199"/>
      <c r="G4" s="199"/>
      <c r="I4" s="200" t="s">
        <v>48</v>
      </c>
      <c r="J4" s="187" t="s">
        <v>47</v>
      </c>
      <c r="K4" s="187"/>
      <c r="L4" s="187"/>
      <c r="M4" s="188" t="s">
        <v>14</v>
      </c>
      <c r="N4" s="188" t="s">
        <v>34</v>
      </c>
    </row>
    <row r="5" spans="2:14" x14ac:dyDescent="0.25">
      <c r="B5" s="169" t="s">
        <v>4</v>
      </c>
      <c r="C5" s="13">
        <v>0.33</v>
      </c>
      <c r="D5" s="13">
        <v>0.33</v>
      </c>
      <c r="E5" s="13">
        <v>0.3</v>
      </c>
      <c r="F5" s="50">
        <f>SUM(C5:E5)</f>
        <v>0.96</v>
      </c>
      <c r="G5" s="13">
        <f>AVERAGE(C5:E5)</f>
        <v>0.32</v>
      </c>
      <c r="I5" s="200"/>
      <c r="J5" s="168" t="s">
        <v>49</v>
      </c>
      <c r="K5" s="168" t="s">
        <v>50</v>
      </c>
      <c r="L5" s="168" t="s">
        <v>51</v>
      </c>
      <c r="M5" s="188"/>
      <c r="N5" s="188"/>
    </row>
    <row r="6" spans="2:14" x14ac:dyDescent="0.25">
      <c r="B6" s="169" t="s">
        <v>5</v>
      </c>
      <c r="C6" s="13">
        <v>0.31</v>
      </c>
      <c r="D6" s="13">
        <v>0.33</v>
      </c>
      <c r="E6" s="13">
        <v>0.32</v>
      </c>
      <c r="F6" s="50">
        <f t="shared" ref="F6:F13" si="0">SUM(C6:E6)</f>
        <v>0.96</v>
      </c>
      <c r="G6" s="13">
        <f t="shared" ref="G6:G13" si="1">AVERAGE(C6:E6)</f>
        <v>0.32</v>
      </c>
      <c r="I6" s="168" t="s">
        <v>52</v>
      </c>
      <c r="J6" s="53">
        <f>F5</f>
        <v>0.96</v>
      </c>
      <c r="K6" s="53">
        <f>F6</f>
        <v>0.96</v>
      </c>
      <c r="L6" s="53">
        <f>F7</f>
        <v>0.91999999999999993</v>
      </c>
      <c r="M6" s="51">
        <f>SUM(J6:L6)</f>
        <v>2.84</v>
      </c>
      <c r="N6" s="13">
        <f>M6/9</f>
        <v>0.31555555555555553</v>
      </c>
    </row>
    <row r="7" spans="2:14" x14ac:dyDescent="0.25">
      <c r="B7" s="169" t="s">
        <v>6</v>
      </c>
      <c r="C7" s="13">
        <v>0.28999999999999998</v>
      </c>
      <c r="D7" s="13">
        <v>0.31</v>
      </c>
      <c r="E7" s="13">
        <v>0.32</v>
      </c>
      <c r="F7" s="50">
        <f t="shared" si="0"/>
        <v>0.91999999999999993</v>
      </c>
      <c r="G7" s="13">
        <f t="shared" si="1"/>
        <v>0.30666666666666664</v>
      </c>
      <c r="I7" s="168" t="s">
        <v>53</v>
      </c>
      <c r="J7" s="53">
        <f>F8</f>
        <v>1.02</v>
      </c>
      <c r="K7" s="53">
        <f>F9</f>
        <v>1.02</v>
      </c>
      <c r="L7" s="53">
        <f>F10</f>
        <v>0.96</v>
      </c>
      <c r="M7" s="51">
        <f>SUM(J7:L7)</f>
        <v>3</v>
      </c>
      <c r="N7" s="13">
        <f>M7/9</f>
        <v>0.33333333333333331</v>
      </c>
    </row>
    <row r="8" spans="2:14" x14ac:dyDescent="0.25">
      <c r="B8" s="169" t="s">
        <v>7</v>
      </c>
      <c r="C8" s="13">
        <v>0.36</v>
      </c>
      <c r="D8" s="13">
        <v>0.35</v>
      </c>
      <c r="E8" s="13">
        <v>0.31</v>
      </c>
      <c r="F8" s="50">
        <f t="shared" si="0"/>
        <v>1.02</v>
      </c>
      <c r="G8" s="13">
        <f t="shared" si="1"/>
        <v>0.34</v>
      </c>
      <c r="I8" s="168" t="s">
        <v>54</v>
      </c>
      <c r="J8" s="53">
        <f>F11</f>
        <v>1.04</v>
      </c>
      <c r="K8" s="53">
        <f>F12</f>
        <v>1.05</v>
      </c>
      <c r="L8" s="53">
        <f>F13</f>
        <v>1.0699999999999998</v>
      </c>
      <c r="M8" s="51">
        <f>SUM(J8:L8)</f>
        <v>3.1599999999999997</v>
      </c>
      <c r="N8" s="13">
        <f>M8/9</f>
        <v>0.3511111111111111</v>
      </c>
    </row>
    <row r="9" spans="2:14" x14ac:dyDescent="0.25">
      <c r="B9" s="169" t="s">
        <v>8</v>
      </c>
      <c r="C9" s="13">
        <v>0.33</v>
      </c>
      <c r="D9" s="13">
        <v>0.35</v>
      </c>
      <c r="E9" s="13">
        <v>0.34</v>
      </c>
      <c r="F9" s="50">
        <f t="shared" si="0"/>
        <v>1.02</v>
      </c>
      <c r="G9" s="13">
        <f t="shared" si="1"/>
        <v>0.34</v>
      </c>
      <c r="I9" s="168" t="s">
        <v>14</v>
      </c>
      <c r="J9" s="51">
        <f>SUM(J6:J8)</f>
        <v>3.02</v>
      </c>
      <c r="K9" s="51">
        <f>SUM(K6:K8)</f>
        <v>3.0300000000000002</v>
      </c>
      <c r="L9" s="51">
        <f>SUM(L6:L8)</f>
        <v>2.9499999999999997</v>
      </c>
      <c r="M9" s="52">
        <f>SUM(M6:M8)</f>
        <v>9</v>
      </c>
      <c r="N9" s="217"/>
    </row>
    <row r="10" spans="2:14" x14ac:dyDescent="0.25">
      <c r="B10" s="169" t="s">
        <v>9</v>
      </c>
      <c r="C10" s="13">
        <v>0.33</v>
      </c>
      <c r="D10" s="13">
        <v>0.32</v>
      </c>
      <c r="E10" s="13">
        <f>0.31</f>
        <v>0.31</v>
      </c>
      <c r="F10" s="50">
        <f t="shared" si="0"/>
        <v>0.96</v>
      </c>
      <c r="G10" s="13">
        <f t="shared" si="1"/>
        <v>0.32</v>
      </c>
      <c r="I10" s="168" t="s">
        <v>15</v>
      </c>
      <c r="J10" s="51">
        <f>J9/9</f>
        <v>0.33555555555555555</v>
      </c>
      <c r="K10" s="51">
        <f>K9/9</f>
        <v>0.33666666666666667</v>
      </c>
      <c r="L10" s="51">
        <f>L9/9</f>
        <v>0.32777777777777772</v>
      </c>
      <c r="M10" s="68"/>
      <c r="N10" s="218"/>
    </row>
    <row r="11" spans="2:14" x14ac:dyDescent="0.25">
      <c r="B11" s="169" t="s">
        <v>10</v>
      </c>
      <c r="C11" s="13">
        <v>0.37</v>
      </c>
      <c r="D11" s="13">
        <v>0.34</v>
      </c>
      <c r="E11" s="13">
        <v>0.33</v>
      </c>
      <c r="F11" s="50">
        <f t="shared" si="0"/>
        <v>1.04</v>
      </c>
      <c r="G11" s="13">
        <f t="shared" si="1"/>
        <v>0.34666666666666668</v>
      </c>
    </row>
    <row r="12" spans="2:14" x14ac:dyDescent="0.25">
      <c r="B12" s="169" t="s">
        <v>11</v>
      </c>
      <c r="C12" s="13">
        <v>0.35</v>
      </c>
      <c r="D12" s="13">
        <v>0.36</v>
      </c>
      <c r="E12" s="13">
        <v>0.34</v>
      </c>
      <c r="F12" s="50">
        <f t="shared" si="0"/>
        <v>1.05</v>
      </c>
      <c r="G12" s="13">
        <f t="shared" si="1"/>
        <v>0.35000000000000003</v>
      </c>
      <c r="I12" s="59" t="s">
        <v>55</v>
      </c>
      <c r="J12" s="69">
        <f>F14^2/(J15*J16*J14)</f>
        <v>3</v>
      </c>
    </row>
    <row r="13" spans="2:14" x14ac:dyDescent="0.25">
      <c r="B13" s="169" t="s">
        <v>12</v>
      </c>
      <c r="C13" s="13">
        <v>0.36</v>
      </c>
      <c r="D13" s="13">
        <v>0.35</v>
      </c>
      <c r="E13" s="13">
        <v>0.36</v>
      </c>
      <c r="F13" s="50">
        <f t="shared" si="0"/>
        <v>1.0699999999999998</v>
      </c>
      <c r="G13" s="13">
        <f t="shared" si="1"/>
        <v>0.35666666666666663</v>
      </c>
      <c r="I13" s="61" t="s">
        <v>56</v>
      </c>
      <c r="J13" s="2">
        <v>9</v>
      </c>
    </row>
    <row r="14" spans="2:14" x14ac:dyDescent="0.25">
      <c r="B14" s="170" t="s">
        <v>14</v>
      </c>
      <c r="C14" s="13">
        <f>SUM(C5:C13)</f>
        <v>3.0300000000000002</v>
      </c>
      <c r="D14" s="13">
        <f>SUM(D5:D13)</f>
        <v>3.04</v>
      </c>
      <c r="E14" s="13">
        <f>SUM(E5:E13)</f>
        <v>2.9299999999999997</v>
      </c>
      <c r="F14" s="57">
        <f>SUM(F5:F13)</f>
        <v>9</v>
      </c>
      <c r="G14" s="2"/>
      <c r="I14" s="61" t="s">
        <v>57</v>
      </c>
      <c r="J14" s="2">
        <v>3</v>
      </c>
    </row>
    <row r="15" spans="2:14" x14ac:dyDescent="0.25">
      <c r="I15" s="61" t="s">
        <v>58</v>
      </c>
      <c r="J15" s="2">
        <v>3</v>
      </c>
    </row>
    <row r="16" spans="2:14" x14ac:dyDescent="0.25">
      <c r="I16" s="61" t="s">
        <v>59</v>
      </c>
      <c r="J16" s="2">
        <v>3</v>
      </c>
    </row>
    <row r="18" spans="2:14" x14ac:dyDescent="0.25">
      <c r="B18" s="201" t="s">
        <v>83</v>
      </c>
      <c r="C18" s="201"/>
      <c r="D18" s="201"/>
      <c r="E18" s="201"/>
      <c r="F18" s="201"/>
      <c r="G18" s="201"/>
      <c r="H18" s="201"/>
      <c r="I18" s="201"/>
      <c r="K18" s="62" t="s">
        <v>71</v>
      </c>
      <c r="L18" s="62" t="s">
        <v>72</v>
      </c>
      <c r="M18" s="62" t="s">
        <v>73</v>
      </c>
    </row>
    <row r="19" spans="2:14" x14ac:dyDescent="0.25">
      <c r="B19" s="188" t="s">
        <v>61</v>
      </c>
      <c r="C19" s="188" t="s">
        <v>62</v>
      </c>
      <c r="D19" s="188" t="s">
        <v>63</v>
      </c>
      <c r="E19" s="188" t="s">
        <v>64</v>
      </c>
      <c r="F19" s="188" t="s">
        <v>65</v>
      </c>
      <c r="G19" s="187" t="s">
        <v>66</v>
      </c>
      <c r="H19" s="187"/>
      <c r="I19" s="219" t="s">
        <v>67</v>
      </c>
      <c r="K19" s="90">
        <f>SQRT(E26/J13)</f>
        <v>4.8432210483794272E-3</v>
      </c>
      <c r="L19">
        <v>3.65</v>
      </c>
      <c r="M19" s="56">
        <f>K19*L19</f>
        <v>1.7677756826584907E-2</v>
      </c>
    </row>
    <row r="20" spans="2:14" x14ac:dyDescent="0.25">
      <c r="B20" s="188"/>
      <c r="C20" s="188"/>
      <c r="D20" s="188"/>
      <c r="E20" s="188"/>
      <c r="F20" s="188"/>
      <c r="G20" s="168">
        <v>0.05</v>
      </c>
      <c r="H20" s="168">
        <v>0.01</v>
      </c>
      <c r="I20" s="219"/>
      <c r="K20" s="58" t="s">
        <v>74</v>
      </c>
      <c r="L20" s="63">
        <f>M19</f>
        <v>1.7677756826584907E-2</v>
      </c>
    </row>
    <row r="21" spans="2:14" x14ac:dyDescent="0.25">
      <c r="B21" s="2" t="s">
        <v>68</v>
      </c>
      <c r="C21" s="2">
        <f>J14-1</f>
        <v>2</v>
      </c>
      <c r="D21" s="81">
        <f>(SUMSQ(C14:E14)/(J13))-J12</f>
        <v>8.2222222222183561E-4</v>
      </c>
      <c r="E21" s="127">
        <f t="shared" ref="E21:E27" si="2">D21/C21</f>
        <v>4.111111111109178E-4</v>
      </c>
      <c r="F21" s="81">
        <f>E21/E26</f>
        <v>1.9473684210509916</v>
      </c>
      <c r="G21" s="81">
        <f>FINV(G20,C21,C26)</f>
        <v>3.6337234675916301</v>
      </c>
      <c r="H21" s="81">
        <f>FINV(H20,C21,C26)</f>
        <v>6.2262352803113821</v>
      </c>
      <c r="I21" s="2" t="str">
        <f>IF(F21&lt;G21,"tn",IF(F21&lt;H21,"*","**"))</f>
        <v>tn</v>
      </c>
    </row>
    <row r="22" spans="2:14" x14ac:dyDescent="0.25">
      <c r="B22" s="2" t="s">
        <v>2</v>
      </c>
      <c r="C22" s="2">
        <f>(J15*J16)-1</f>
        <v>8</v>
      </c>
      <c r="D22" s="81">
        <f>(SUMSQ(F5:F13)/3)-J12</f>
        <v>6.9999999999996732E-3</v>
      </c>
      <c r="E22" s="127">
        <f t="shared" si="2"/>
        <v>8.7499999999995914E-4</v>
      </c>
      <c r="F22" s="81">
        <f>E22/E26</f>
        <v>4.1447368421035282</v>
      </c>
      <c r="G22" s="81">
        <f>FINV(G20,C22,C26)</f>
        <v>2.5910961798744014</v>
      </c>
      <c r="H22" s="81">
        <f>FINV(H20,C22,C26)</f>
        <v>3.8895721399261927</v>
      </c>
      <c r="I22" s="2" t="str">
        <f>IF(F22&lt;G22,"tn",IF(F22&lt;H22,"*","**"))</f>
        <v>**</v>
      </c>
      <c r="K22" s="65" t="s">
        <v>2</v>
      </c>
      <c r="L22" s="65" t="s">
        <v>75</v>
      </c>
      <c r="M22" s="65" t="s">
        <v>76</v>
      </c>
    </row>
    <row r="23" spans="2:14" x14ac:dyDescent="0.25">
      <c r="B23" s="2" t="s">
        <v>58</v>
      </c>
      <c r="C23" s="2">
        <f>J15-1</f>
        <v>2</v>
      </c>
      <c r="D23" s="127">
        <f>(SUMSQ(M6:M8)/9)-J12</f>
        <v>5.6888888888888545E-3</v>
      </c>
      <c r="E23" s="127">
        <f t="shared" si="2"/>
        <v>2.8444444444444272E-3</v>
      </c>
      <c r="F23" s="81">
        <f>E23/E26</f>
        <v>13.473684210521222</v>
      </c>
      <c r="G23" s="81">
        <f>FINV(G20,C23,C26)</f>
        <v>3.6337234675916301</v>
      </c>
      <c r="H23" s="81">
        <f>FINV(H20,C23,C26)</f>
        <v>6.2262352803113821</v>
      </c>
      <c r="I23" s="2" t="str">
        <f>IF(F23&lt;G23,"tn",IF(F23&lt;H23,"*","**"))</f>
        <v>**</v>
      </c>
      <c r="K23" s="65" t="s">
        <v>52</v>
      </c>
      <c r="L23" s="66">
        <f>N6</f>
        <v>0.31555555555555553</v>
      </c>
      <c r="M23" s="65" t="s">
        <v>102</v>
      </c>
      <c r="N23" s="56">
        <f>L23+L$26</f>
        <v>0.33323331238214043</v>
      </c>
    </row>
    <row r="24" spans="2:14" x14ac:dyDescent="0.25">
      <c r="B24" s="2" t="s">
        <v>59</v>
      </c>
      <c r="C24" s="2">
        <f>J16-1</f>
        <v>2</v>
      </c>
      <c r="D24" s="127">
        <f>(SUMSQ(J9:L9)/9)-J12</f>
        <v>4.2222222222187966E-4</v>
      </c>
      <c r="E24" s="127">
        <f t="shared" si="2"/>
        <v>2.1111111111093983E-4</v>
      </c>
      <c r="F24" s="81">
        <f>E24/E26</f>
        <v>0.99999999999881672</v>
      </c>
      <c r="G24" s="81">
        <f>FINV(G20,C24,C26)</f>
        <v>3.6337234675916301</v>
      </c>
      <c r="H24" s="81">
        <f>FINV(H20,C24,C26)</f>
        <v>6.2262352803113821</v>
      </c>
      <c r="I24" s="2" t="str">
        <f>IF(F24&lt;G24,"tn",IF(F24&lt;H24,"*","**"))</f>
        <v>tn</v>
      </c>
      <c r="K24" s="65" t="s">
        <v>53</v>
      </c>
      <c r="L24" s="66">
        <f>N7</f>
        <v>0.33333333333333331</v>
      </c>
      <c r="M24" s="65" t="s">
        <v>130</v>
      </c>
      <c r="N24" s="56">
        <f t="shared" ref="N24:N25" si="3">L24+L$26</f>
        <v>0.35101109015991822</v>
      </c>
    </row>
    <row r="25" spans="2:14" x14ac:dyDescent="0.25">
      <c r="B25" s="12" t="s">
        <v>69</v>
      </c>
      <c r="C25" s="12">
        <f>C23*C24</f>
        <v>4</v>
      </c>
      <c r="D25" s="150">
        <f>D22-D23-D24</f>
        <v>8.8888888888893902E-4</v>
      </c>
      <c r="E25" s="151">
        <f t="shared" si="2"/>
        <v>2.2222222222223476E-4</v>
      </c>
      <c r="F25" s="150">
        <f>E25/E26</f>
        <v>1.0526315789470362</v>
      </c>
      <c r="G25" s="150">
        <f>FINV(G20,C25,C26)</f>
        <v>3.0069172799243447</v>
      </c>
      <c r="H25" s="150">
        <f>FINV(H20,C25,C26)</f>
        <v>4.772577999723211</v>
      </c>
      <c r="I25" s="12" t="str">
        <f>IF(F25&lt;G25,"tn",IF(F25&lt;H25,"*","**"))</f>
        <v>tn</v>
      </c>
      <c r="K25" s="101" t="s">
        <v>54</v>
      </c>
      <c r="L25" s="153">
        <f>N8</f>
        <v>0.3511111111111111</v>
      </c>
      <c r="M25" s="101" t="s">
        <v>103</v>
      </c>
      <c r="N25" s="56">
        <f t="shared" si="3"/>
        <v>0.368788867937696</v>
      </c>
    </row>
    <row r="26" spans="2:14" x14ac:dyDescent="0.25">
      <c r="B26" s="2" t="s">
        <v>70</v>
      </c>
      <c r="C26" s="2">
        <f>C27-C21-C22</f>
        <v>16</v>
      </c>
      <c r="D26" s="81">
        <f>D27-D21-D22</f>
        <v>3.3777777777790341E-3</v>
      </c>
      <c r="E26" s="127">
        <f t="shared" si="2"/>
        <v>2.1111111111118963E-4</v>
      </c>
      <c r="F26" s="207"/>
      <c r="G26" s="208"/>
      <c r="H26" s="208"/>
      <c r="I26" s="209"/>
      <c r="K26" s="67" t="s">
        <v>74</v>
      </c>
      <c r="L26" s="204">
        <f>L20</f>
        <v>1.7677756826584907E-2</v>
      </c>
      <c r="M26" s="204"/>
    </row>
    <row r="27" spans="2:14" x14ac:dyDescent="0.25">
      <c r="B27" s="2" t="s">
        <v>3</v>
      </c>
      <c r="C27" s="2">
        <f>(J15*J16*J14)-1</f>
        <v>26</v>
      </c>
      <c r="D27" s="81">
        <f>SUMSQ(C5:E13)-J12</f>
        <v>1.1200000000000543E-2</v>
      </c>
      <c r="E27" s="127">
        <f t="shared" si="2"/>
        <v>4.3076923076925164E-4</v>
      </c>
      <c r="F27" s="210"/>
      <c r="G27" s="211"/>
      <c r="H27" s="211"/>
      <c r="I27" s="212"/>
      <c r="K27" s="65" t="s">
        <v>77</v>
      </c>
      <c r="L27" s="66">
        <f>J10</f>
        <v>0.33555555555555555</v>
      </c>
      <c r="M27" s="65" t="s">
        <v>78</v>
      </c>
    </row>
    <row r="28" spans="2:14" x14ac:dyDescent="0.25">
      <c r="K28" s="65" t="s">
        <v>50</v>
      </c>
      <c r="L28" s="66">
        <f>K10</f>
        <v>0.33666666666666667</v>
      </c>
      <c r="M28" s="65" t="s">
        <v>78</v>
      </c>
    </row>
    <row r="29" spans="2:14" x14ac:dyDescent="0.25">
      <c r="K29" s="65" t="s">
        <v>51</v>
      </c>
      <c r="L29" s="66">
        <f>L10</f>
        <v>0.32777777777777772</v>
      </c>
      <c r="M29" s="65" t="s">
        <v>78</v>
      </c>
    </row>
    <row r="30" spans="2:14" ht="15.75" x14ac:dyDescent="0.25">
      <c r="K30" s="64" t="s">
        <v>74</v>
      </c>
      <c r="L30" s="215" t="s">
        <v>78</v>
      </c>
      <c r="M30" s="216"/>
    </row>
  </sheetData>
  <mergeCells count="21">
    <mergeCell ref="F26:I27"/>
    <mergeCell ref="L26:M26"/>
    <mergeCell ref="L30:M30"/>
    <mergeCell ref="N9:N10"/>
    <mergeCell ref="B18:I18"/>
    <mergeCell ref="B19:B20"/>
    <mergeCell ref="C19:C20"/>
    <mergeCell ref="D19:D20"/>
    <mergeCell ref="E19:E20"/>
    <mergeCell ref="F19:F20"/>
    <mergeCell ref="G19:H19"/>
    <mergeCell ref="I19:I20"/>
    <mergeCell ref="B3:B4"/>
    <mergeCell ref="C3:E3"/>
    <mergeCell ref="F3:F4"/>
    <mergeCell ref="G3:G4"/>
    <mergeCell ref="I3:N3"/>
    <mergeCell ref="I4:I5"/>
    <mergeCell ref="J4:L4"/>
    <mergeCell ref="M4:M5"/>
    <mergeCell ref="N4:N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N30"/>
  <sheetViews>
    <sheetView workbookViewId="0">
      <selection activeCell="P19" sqref="P19"/>
    </sheetView>
  </sheetViews>
  <sheetFormatPr defaultRowHeight="15" x14ac:dyDescent="0.25"/>
  <cols>
    <col min="1" max="1" width="7.5703125" customWidth="1"/>
    <col min="2" max="2" width="11.85546875" customWidth="1"/>
    <col min="9" max="9" width="12.5703125" customWidth="1"/>
    <col min="10" max="10" width="12.140625" customWidth="1"/>
    <col min="11" max="11" width="10.42578125" customWidth="1"/>
    <col min="14" max="14" width="11.28515625" customWidth="1"/>
  </cols>
  <sheetData>
    <row r="3" spans="2:14" x14ac:dyDescent="0.25">
      <c r="B3" s="199" t="s">
        <v>21</v>
      </c>
      <c r="C3" s="199" t="s">
        <v>22</v>
      </c>
      <c r="D3" s="199"/>
      <c r="E3" s="199"/>
      <c r="F3" s="199" t="s">
        <v>14</v>
      </c>
      <c r="G3" s="199" t="s">
        <v>23</v>
      </c>
      <c r="I3" s="199" t="s">
        <v>46</v>
      </c>
      <c r="J3" s="199"/>
      <c r="K3" s="199"/>
      <c r="L3" s="199"/>
      <c r="M3" s="199"/>
      <c r="N3" s="199"/>
    </row>
    <row r="4" spans="2:14" x14ac:dyDescent="0.25">
      <c r="B4" s="199"/>
      <c r="C4" s="73">
        <v>1</v>
      </c>
      <c r="D4" s="73">
        <v>2</v>
      </c>
      <c r="E4" s="73">
        <v>3</v>
      </c>
      <c r="F4" s="199"/>
      <c r="G4" s="199"/>
      <c r="I4" s="200" t="s">
        <v>48</v>
      </c>
      <c r="J4" s="187" t="s">
        <v>47</v>
      </c>
      <c r="K4" s="187"/>
      <c r="L4" s="187"/>
      <c r="M4" s="188" t="s">
        <v>14</v>
      </c>
      <c r="N4" s="188" t="s">
        <v>34</v>
      </c>
    </row>
    <row r="5" spans="2:14" x14ac:dyDescent="0.25">
      <c r="B5" s="71" t="s">
        <v>4</v>
      </c>
      <c r="C5" s="1">
        <v>4.2</v>
      </c>
      <c r="D5" s="1">
        <v>4.3</v>
      </c>
      <c r="E5" s="1">
        <v>4.0999999999999996</v>
      </c>
      <c r="F5" s="80">
        <f>SUM(C5:E5)</f>
        <v>12.6</v>
      </c>
      <c r="G5" s="79">
        <f>AVERAGE(C5:E5)</f>
        <v>4.2</v>
      </c>
      <c r="I5" s="200"/>
      <c r="J5" s="70" t="s">
        <v>49</v>
      </c>
      <c r="K5" s="70" t="s">
        <v>50</v>
      </c>
      <c r="L5" s="70" t="s">
        <v>51</v>
      </c>
      <c r="M5" s="188"/>
      <c r="N5" s="188"/>
    </row>
    <row r="6" spans="2:14" x14ac:dyDescent="0.25">
      <c r="B6" s="71" t="s">
        <v>5</v>
      </c>
      <c r="C6" s="1">
        <v>3.9</v>
      </c>
      <c r="D6" s="1">
        <v>3.8</v>
      </c>
      <c r="E6" s="1">
        <v>3.8</v>
      </c>
      <c r="F6" s="80">
        <f t="shared" ref="F6:F13" si="0">SUM(C6:E6)</f>
        <v>11.5</v>
      </c>
      <c r="G6" s="79">
        <f t="shared" ref="G6:G13" si="1">AVERAGE(C6:E6)</f>
        <v>3.8333333333333335</v>
      </c>
      <c r="I6" s="70" t="s">
        <v>52</v>
      </c>
      <c r="J6" s="53">
        <f>F5</f>
        <v>12.6</v>
      </c>
      <c r="K6" s="53">
        <f>F6</f>
        <v>11.5</v>
      </c>
      <c r="L6" s="53">
        <f>F7</f>
        <v>10.8</v>
      </c>
      <c r="M6" s="51">
        <f>SUM(J6:L6)</f>
        <v>34.900000000000006</v>
      </c>
      <c r="N6" s="13">
        <f>M6/9</f>
        <v>3.8777777777777782</v>
      </c>
    </row>
    <row r="7" spans="2:14" x14ac:dyDescent="0.25">
      <c r="B7" s="71" t="s">
        <v>6</v>
      </c>
      <c r="C7" s="1">
        <v>3.6</v>
      </c>
      <c r="D7" s="1">
        <v>3.6</v>
      </c>
      <c r="E7" s="1">
        <v>3.6</v>
      </c>
      <c r="F7" s="80">
        <f t="shared" si="0"/>
        <v>10.8</v>
      </c>
      <c r="G7" s="79">
        <f t="shared" si="1"/>
        <v>3.6</v>
      </c>
      <c r="I7" s="70" t="s">
        <v>53</v>
      </c>
      <c r="J7" s="53">
        <f>F8</f>
        <v>12.899999999999999</v>
      </c>
      <c r="K7" s="53">
        <f>F9</f>
        <v>11.7</v>
      </c>
      <c r="L7" s="53">
        <f>F10</f>
        <v>11.2</v>
      </c>
      <c r="M7" s="51">
        <f>SUM(J7:L7)</f>
        <v>35.799999999999997</v>
      </c>
      <c r="N7" s="13">
        <f>M7/9</f>
        <v>3.9777777777777774</v>
      </c>
    </row>
    <row r="8" spans="2:14" x14ac:dyDescent="0.25">
      <c r="B8" s="71" t="s">
        <v>7</v>
      </c>
      <c r="C8" s="1">
        <v>4.3</v>
      </c>
      <c r="D8" s="1">
        <v>4.3</v>
      </c>
      <c r="E8" s="1">
        <v>4.3</v>
      </c>
      <c r="F8" s="80">
        <f t="shared" si="0"/>
        <v>12.899999999999999</v>
      </c>
      <c r="G8" s="79">
        <f t="shared" si="1"/>
        <v>4.3</v>
      </c>
      <c r="I8" s="70" t="s">
        <v>54</v>
      </c>
      <c r="J8" s="53">
        <f>F11</f>
        <v>13.200000000000001</v>
      </c>
      <c r="K8" s="53">
        <f>F12</f>
        <v>12.1</v>
      </c>
      <c r="L8" s="53">
        <f>F13</f>
        <v>11.5</v>
      </c>
      <c r="M8" s="51">
        <f>SUM(J8:L8)</f>
        <v>36.799999999999997</v>
      </c>
      <c r="N8" s="13">
        <f>M8/9</f>
        <v>4.0888888888888886</v>
      </c>
    </row>
    <row r="9" spans="2:14" x14ac:dyDescent="0.25">
      <c r="B9" s="71" t="s">
        <v>8</v>
      </c>
      <c r="C9" s="1">
        <v>3.9</v>
      </c>
      <c r="D9" s="1">
        <v>3.9</v>
      </c>
      <c r="E9" s="1">
        <v>3.9</v>
      </c>
      <c r="F9" s="80">
        <f t="shared" si="0"/>
        <v>11.7</v>
      </c>
      <c r="G9" s="79">
        <f t="shared" si="1"/>
        <v>3.9</v>
      </c>
      <c r="I9" s="70" t="s">
        <v>14</v>
      </c>
      <c r="J9" s="51">
        <f>SUM(J6:J8)</f>
        <v>38.700000000000003</v>
      </c>
      <c r="K9" s="51">
        <f>SUM(K6:K8)</f>
        <v>35.299999999999997</v>
      </c>
      <c r="L9" s="51">
        <f>SUM(L6:L8)</f>
        <v>33.5</v>
      </c>
      <c r="M9" s="52">
        <f>SUM(M6:M8)</f>
        <v>107.5</v>
      </c>
      <c r="N9" s="217"/>
    </row>
    <row r="10" spans="2:14" x14ac:dyDescent="0.25">
      <c r="B10" s="71" t="s">
        <v>9</v>
      </c>
      <c r="C10" s="1">
        <v>3.8</v>
      </c>
      <c r="D10" s="1">
        <v>3.7</v>
      </c>
      <c r="E10" s="1">
        <v>3.7</v>
      </c>
      <c r="F10" s="80">
        <f t="shared" si="0"/>
        <v>11.2</v>
      </c>
      <c r="G10" s="79">
        <f t="shared" si="1"/>
        <v>3.7333333333333329</v>
      </c>
      <c r="I10" s="70" t="s">
        <v>15</v>
      </c>
      <c r="J10" s="51">
        <f>J9/9</f>
        <v>4.3000000000000007</v>
      </c>
      <c r="K10" s="51">
        <f>K9/9</f>
        <v>3.9222222222222221</v>
      </c>
      <c r="L10" s="51">
        <f>L9/9</f>
        <v>3.7222222222222223</v>
      </c>
      <c r="M10" s="68"/>
      <c r="N10" s="218"/>
    </row>
    <row r="11" spans="2:14" x14ac:dyDescent="0.25">
      <c r="B11" s="71" t="s">
        <v>10</v>
      </c>
      <c r="C11" s="1">
        <v>4.4000000000000004</v>
      </c>
      <c r="D11" s="1">
        <v>4.4000000000000004</v>
      </c>
      <c r="E11" s="1">
        <v>4.4000000000000004</v>
      </c>
      <c r="F11" s="80">
        <f t="shared" si="0"/>
        <v>13.200000000000001</v>
      </c>
      <c r="G11" s="79">
        <f t="shared" si="1"/>
        <v>4.4000000000000004</v>
      </c>
    </row>
    <row r="12" spans="2:14" x14ac:dyDescent="0.25">
      <c r="B12" s="71" t="s">
        <v>11</v>
      </c>
      <c r="C12" s="1">
        <v>4.0999999999999996</v>
      </c>
      <c r="D12" s="1">
        <v>4</v>
      </c>
      <c r="E12" s="1">
        <v>4</v>
      </c>
      <c r="F12" s="80">
        <f t="shared" si="0"/>
        <v>12.1</v>
      </c>
      <c r="G12" s="79">
        <f>AVERAGE(C12:E12)</f>
        <v>4.0333333333333332</v>
      </c>
      <c r="I12" s="59" t="s">
        <v>55</v>
      </c>
      <c r="J12" s="69">
        <f>F14^2/(J15*J16*J14)</f>
        <v>428.00925925925924</v>
      </c>
    </row>
    <row r="13" spans="2:14" x14ac:dyDescent="0.25">
      <c r="B13" s="71" t="s">
        <v>12</v>
      </c>
      <c r="C13" s="1">
        <v>3.9</v>
      </c>
      <c r="D13" s="1">
        <v>3.8</v>
      </c>
      <c r="E13" s="1">
        <v>3.8</v>
      </c>
      <c r="F13" s="80">
        <f t="shared" si="0"/>
        <v>11.5</v>
      </c>
      <c r="G13" s="79">
        <f t="shared" si="1"/>
        <v>3.8333333333333335</v>
      </c>
      <c r="I13" s="61" t="s">
        <v>56</v>
      </c>
      <c r="J13" s="2">
        <v>9</v>
      </c>
    </row>
    <row r="14" spans="2:14" x14ac:dyDescent="0.25">
      <c r="B14" s="72" t="s">
        <v>14</v>
      </c>
      <c r="C14" s="1">
        <f>SUM(C5:C13)</f>
        <v>36.1</v>
      </c>
      <c r="D14" s="1">
        <f>SUM(D5:D13)</f>
        <v>35.799999999999997</v>
      </c>
      <c r="E14" s="1">
        <f>SUM(E5:E13)</f>
        <v>35.599999999999994</v>
      </c>
      <c r="F14" s="4">
        <f>SUM(F5:F13)</f>
        <v>107.5</v>
      </c>
      <c r="G14" s="1"/>
      <c r="I14" s="61" t="s">
        <v>57</v>
      </c>
      <c r="J14" s="2">
        <v>3</v>
      </c>
    </row>
    <row r="15" spans="2:14" x14ac:dyDescent="0.25">
      <c r="I15" s="61" t="s">
        <v>58</v>
      </c>
      <c r="J15" s="2">
        <v>3</v>
      </c>
    </row>
    <row r="16" spans="2:14" x14ac:dyDescent="0.25">
      <c r="I16" s="61" t="s">
        <v>59</v>
      </c>
      <c r="J16" s="2">
        <v>3</v>
      </c>
    </row>
    <row r="18" spans="2:14" x14ac:dyDescent="0.25">
      <c r="B18" s="201" t="s">
        <v>82</v>
      </c>
      <c r="C18" s="201"/>
      <c r="D18" s="201"/>
      <c r="E18" s="201"/>
      <c r="F18" s="201"/>
      <c r="G18" s="201"/>
      <c r="H18" s="201"/>
      <c r="I18" s="201"/>
      <c r="K18" s="62" t="s">
        <v>71</v>
      </c>
      <c r="L18" s="62" t="s">
        <v>72</v>
      </c>
      <c r="M18" s="62" t="s">
        <v>73</v>
      </c>
    </row>
    <row r="19" spans="2:14" x14ac:dyDescent="0.25">
      <c r="B19" s="188" t="s">
        <v>61</v>
      </c>
      <c r="C19" s="188" t="s">
        <v>62</v>
      </c>
      <c r="D19" s="188" t="s">
        <v>63</v>
      </c>
      <c r="E19" s="188" t="s">
        <v>64</v>
      </c>
      <c r="F19" s="188" t="s">
        <v>65</v>
      </c>
      <c r="G19" s="187" t="s">
        <v>66</v>
      </c>
      <c r="H19" s="187"/>
      <c r="I19" s="219" t="s">
        <v>67</v>
      </c>
      <c r="K19" s="56">
        <f>SQRT(E26/J13)</f>
        <v>1.5044515564157149E-2</v>
      </c>
      <c r="L19">
        <v>3.65</v>
      </c>
      <c r="M19" s="56">
        <f>K19*L19</f>
        <v>5.4912481809173595E-2</v>
      </c>
    </row>
    <row r="20" spans="2:14" x14ac:dyDescent="0.25">
      <c r="B20" s="188"/>
      <c r="C20" s="188"/>
      <c r="D20" s="188"/>
      <c r="E20" s="188"/>
      <c r="F20" s="188"/>
      <c r="G20" s="70">
        <v>0.05</v>
      </c>
      <c r="H20" s="70">
        <v>0.01</v>
      </c>
      <c r="I20" s="219"/>
      <c r="K20" s="58" t="s">
        <v>74</v>
      </c>
      <c r="L20" s="63">
        <f>M19</f>
        <v>5.4912481809173595E-2</v>
      </c>
    </row>
    <row r="21" spans="2:14" x14ac:dyDescent="0.25">
      <c r="B21" s="2" t="s">
        <v>68</v>
      </c>
      <c r="C21" s="2">
        <f>J14-1</f>
        <v>2</v>
      </c>
      <c r="D21" s="81">
        <f>(SUMSQ(C14:E14)/(J13))-J12</f>
        <v>1.4074074074073906E-2</v>
      </c>
      <c r="E21" s="81">
        <f t="shared" ref="E21:E27" si="2">D21/C21</f>
        <v>7.0370370370369528E-3</v>
      </c>
      <c r="F21" s="81">
        <f>E21/E26</f>
        <v>3.4545454545378442</v>
      </c>
      <c r="G21" s="81">
        <f>FINV(G20,C21,C26)</f>
        <v>3.6337234675916301</v>
      </c>
      <c r="H21" s="81">
        <f>FINV(H20,C21,C26)</f>
        <v>6.2262352803113821</v>
      </c>
      <c r="I21" s="2" t="str">
        <f>IF(F21&lt;G21,"tn",IF(F21&lt;H21,"*","**"))</f>
        <v>tn</v>
      </c>
    </row>
    <row r="22" spans="2:14" x14ac:dyDescent="0.25">
      <c r="B22" s="2" t="s">
        <v>2</v>
      </c>
      <c r="C22" s="2">
        <f>(J15*J16)-1</f>
        <v>8</v>
      </c>
      <c r="D22" s="81">
        <f>(SUMSQ(F5:F13)/3)-J12</f>
        <v>1.754074074074083</v>
      </c>
      <c r="E22" s="81">
        <f t="shared" si="2"/>
        <v>0.21925925925926038</v>
      </c>
      <c r="F22" s="81">
        <f>E22/E26</f>
        <v>107.63636363612835</v>
      </c>
      <c r="G22" s="81">
        <f>FINV(G20,C22,C26)</f>
        <v>2.5910961798744014</v>
      </c>
      <c r="H22" s="81">
        <f>FINV(H20,C22,C26)</f>
        <v>3.8895721399261927</v>
      </c>
      <c r="I22" s="2" t="str">
        <f>IF(F22&lt;G22,"tn",IF(F22&lt;H22,"*","**"))</f>
        <v>**</v>
      </c>
      <c r="J22" t="s">
        <v>81</v>
      </c>
      <c r="K22" s="65" t="s">
        <v>2</v>
      </c>
      <c r="L22" s="65" t="s">
        <v>75</v>
      </c>
      <c r="M22" s="65" t="s">
        <v>76</v>
      </c>
    </row>
    <row r="23" spans="2:14" x14ac:dyDescent="0.25">
      <c r="B23" s="2" t="s">
        <v>58</v>
      </c>
      <c r="C23" s="2">
        <f>J15-1</f>
        <v>2</v>
      </c>
      <c r="D23" s="13">
        <f>(SUMSQ(M6:M8)/9)-J12</f>
        <v>0.20074074074079817</v>
      </c>
      <c r="E23" s="81">
        <f t="shared" si="2"/>
        <v>0.10037037037039909</v>
      </c>
      <c r="F23" s="81">
        <f>E23/E26</f>
        <v>49.272727272633411</v>
      </c>
      <c r="G23" s="81">
        <f>FINV(G20,C23,C26)</f>
        <v>3.6337234675916301</v>
      </c>
      <c r="H23" s="81">
        <f>FINV(H20,C23,C26)</f>
        <v>6.2262352803113821</v>
      </c>
      <c r="I23" s="2" t="str">
        <f>IF(F23&lt;G23,"tn",IF(F23&lt;H23,"*","**"))</f>
        <v>**</v>
      </c>
      <c r="J23" t="s">
        <v>81</v>
      </c>
      <c r="K23" s="65" t="s">
        <v>52</v>
      </c>
      <c r="L23" s="66">
        <f>N6</f>
        <v>3.8777777777777782</v>
      </c>
      <c r="M23" s="65" t="s">
        <v>59</v>
      </c>
      <c r="N23" s="56">
        <f>L23+L$26</f>
        <v>3.932690259586952</v>
      </c>
    </row>
    <row r="24" spans="2:14" x14ac:dyDescent="0.25">
      <c r="B24" s="2" t="s">
        <v>59</v>
      </c>
      <c r="C24" s="2">
        <f>J16-1</f>
        <v>2</v>
      </c>
      <c r="D24" s="81">
        <f>(SUMSQ(J9:L9)/9)-J12</f>
        <v>1.549629629629635</v>
      </c>
      <c r="E24" s="81">
        <f t="shared" si="2"/>
        <v>0.77481481481481751</v>
      </c>
      <c r="F24" s="81">
        <f>E24/E26</f>
        <v>380.3636363628043</v>
      </c>
      <c r="G24" s="81">
        <f>FINV(G20,C24,C26)</f>
        <v>3.6337234675916301</v>
      </c>
      <c r="H24" s="81">
        <f>FINV(H20,C24,C26)</f>
        <v>6.2262352803113821</v>
      </c>
      <c r="I24" s="2" t="str">
        <f>IF(F24&lt;G24,"tn",IF(F24&lt;H24,"*","**"))</f>
        <v>**</v>
      </c>
      <c r="J24" t="s">
        <v>81</v>
      </c>
      <c r="K24" s="65" t="s">
        <v>53</v>
      </c>
      <c r="L24" s="66">
        <f>N7</f>
        <v>3.9777777777777774</v>
      </c>
      <c r="M24" s="65" t="s">
        <v>79</v>
      </c>
      <c r="N24" s="56">
        <f>L24+L$26</f>
        <v>4.0326902595869507</v>
      </c>
    </row>
    <row r="25" spans="2:14" x14ac:dyDescent="0.25">
      <c r="B25" s="2" t="s">
        <v>69</v>
      </c>
      <c r="C25" s="2">
        <f>C23*C24</f>
        <v>4</v>
      </c>
      <c r="D25" s="81">
        <f>D22-D23-D24</f>
        <v>3.7037037036498077E-3</v>
      </c>
      <c r="E25" s="81">
        <f t="shared" si="2"/>
        <v>9.2592592591245193E-4</v>
      </c>
      <c r="F25" s="81">
        <f>E25/E26</f>
        <v>0.45454545453784412</v>
      </c>
      <c r="G25" s="81">
        <f>FINV(G20,C25,C26)</f>
        <v>3.0069172799243447</v>
      </c>
      <c r="H25" s="81">
        <f>FINV(H20,C25,C26)</f>
        <v>4.772577999723211</v>
      </c>
      <c r="I25" s="2" t="str">
        <f>IF(F25&lt;G25,"tn",IF(F25&lt;H25,"*","**"))</f>
        <v>tn</v>
      </c>
      <c r="K25" s="65" t="s">
        <v>54</v>
      </c>
      <c r="L25" s="66">
        <f>N8</f>
        <v>4.0888888888888886</v>
      </c>
      <c r="M25" s="65" t="s">
        <v>84</v>
      </c>
      <c r="N25" s="56">
        <f>L25+L$26</f>
        <v>4.1438013706980623</v>
      </c>
    </row>
    <row r="26" spans="2:14" x14ac:dyDescent="0.25">
      <c r="B26" s="2" t="s">
        <v>70</v>
      </c>
      <c r="C26" s="2">
        <f>C27-C21-C22</f>
        <v>16</v>
      </c>
      <c r="D26" s="81">
        <f>D27-D21-D22</f>
        <v>3.2592592592664005E-2</v>
      </c>
      <c r="E26" s="81">
        <f t="shared" si="2"/>
        <v>2.0370370370415003E-3</v>
      </c>
      <c r="F26" s="220"/>
      <c r="G26" s="221"/>
      <c r="H26" s="221"/>
      <c r="I26" s="222"/>
      <c r="K26" s="67" t="s">
        <v>74</v>
      </c>
      <c r="L26" s="204">
        <f>L20</f>
        <v>5.4912481809173595E-2</v>
      </c>
      <c r="M26" s="204"/>
    </row>
    <row r="27" spans="2:14" x14ac:dyDescent="0.25">
      <c r="B27" s="2" t="s">
        <v>3</v>
      </c>
      <c r="C27" s="2">
        <f>(J15*J16*J14)-1</f>
        <v>26</v>
      </c>
      <c r="D27" s="13">
        <f>SUMSQ(C5:E13)-J12</f>
        <v>1.8007407407408209</v>
      </c>
      <c r="E27" s="81">
        <f t="shared" si="2"/>
        <v>6.9259259259262337E-2</v>
      </c>
      <c r="F27" s="223"/>
      <c r="G27" s="224"/>
      <c r="H27" s="224"/>
      <c r="I27" s="225"/>
      <c r="K27" s="65" t="s">
        <v>77</v>
      </c>
      <c r="L27" s="66">
        <f>J10</f>
        <v>4.3000000000000007</v>
      </c>
      <c r="M27" s="65" t="s">
        <v>84</v>
      </c>
      <c r="N27" s="56">
        <f>L27+L$30</f>
        <v>4.3500000000000005</v>
      </c>
    </row>
    <row r="28" spans="2:14" x14ac:dyDescent="0.25">
      <c r="K28" s="65" t="s">
        <v>50</v>
      </c>
      <c r="L28" s="66">
        <f>K10</f>
        <v>3.9222222222222221</v>
      </c>
      <c r="M28" s="65" t="s">
        <v>79</v>
      </c>
      <c r="N28" s="56">
        <f>L28+L$30</f>
        <v>3.9722222222222219</v>
      </c>
    </row>
    <row r="29" spans="2:14" x14ac:dyDescent="0.25">
      <c r="K29" s="65" t="s">
        <v>51</v>
      </c>
      <c r="L29" s="66">
        <f>L10</f>
        <v>3.7222222222222223</v>
      </c>
      <c r="M29" s="65" t="s">
        <v>59</v>
      </c>
      <c r="N29" s="56">
        <f>L29+L$30</f>
        <v>3.7722222222222221</v>
      </c>
    </row>
    <row r="30" spans="2:14" ht="15.75" x14ac:dyDescent="0.25">
      <c r="K30" s="82" t="s">
        <v>74</v>
      </c>
      <c r="L30" s="226">
        <v>0.05</v>
      </c>
      <c r="M30" s="227"/>
    </row>
  </sheetData>
  <mergeCells count="21">
    <mergeCell ref="F26:I27"/>
    <mergeCell ref="L26:M26"/>
    <mergeCell ref="L30:M30"/>
    <mergeCell ref="N9:N10"/>
    <mergeCell ref="B18:I18"/>
    <mergeCell ref="B19:B20"/>
    <mergeCell ref="C19:C20"/>
    <mergeCell ref="D19:D20"/>
    <mergeCell ref="E19:E20"/>
    <mergeCell ref="F19:F20"/>
    <mergeCell ref="G19:H19"/>
    <mergeCell ref="I19:I20"/>
    <mergeCell ref="B3:B4"/>
    <mergeCell ref="C3:E3"/>
    <mergeCell ref="F3:F4"/>
    <mergeCell ref="G3:G4"/>
    <mergeCell ref="I3:N3"/>
    <mergeCell ref="I4:I5"/>
    <mergeCell ref="J4:L4"/>
    <mergeCell ref="M4:M5"/>
    <mergeCell ref="N4:N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31"/>
  <sheetViews>
    <sheetView topLeftCell="A11" workbookViewId="0">
      <selection activeCell="F12" sqref="F12"/>
    </sheetView>
  </sheetViews>
  <sheetFormatPr defaultRowHeight="15" x14ac:dyDescent="0.25"/>
  <cols>
    <col min="1" max="1" width="8.42578125" customWidth="1"/>
    <col min="2" max="2" width="11.5703125" customWidth="1"/>
    <col min="9" max="9" width="12.42578125" customWidth="1"/>
    <col min="10" max="10" width="12.28515625" customWidth="1"/>
    <col min="11" max="11" width="10.28515625" customWidth="1"/>
    <col min="14" max="14" width="10.85546875" customWidth="1"/>
    <col min="15" max="15" width="10.140625" customWidth="1"/>
  </cols>
  <sheetData>
    <row r="2" spans="1:14" x14ac:dyDescent="0.25">
      <c r="B2" s="199" t="s">
        <v>21</v>
      </c>
      <c r="C2" s="199" t="s">
        <v>22</v>
      </c>
      <c r="D2" s="199"/>
      <c r="E2" s="199"/>
      <c r="F2" s="199" t="s">
        <v>14</v>
      </c>
      <c r="G2" s="199" t="s">
        <v>23</v>
      </c>
      <c r="I2" s="199" t="s">
        <v>46</v>
      </c>
      <c r="J2" s="199"/>
      <c r="K2" s="199"/>
      <c r="L2" s="199"/>
      <c r="M2" s="199"/>
      <c r="N2" s="199"/>
    </row>
    <row r="3" spans="1:14" x14ac:dyDescent="0.25">
      <c r="B3" s="199"/>
      <c r="C3" s="77">
        <v>1</v>
      </c>
      <c r="D3" s="77">
        <v>2</v>
      </c>
      <c r="E3" s="77">
        <v>3</v>
      </c>
      <c r="F3" s="199"/>
      <c r="G3" s="199"/>
      <c r="I3" s="200" t="s">
        <v>48</v>
      </c>
      <c r="J3" s="187" t="s">
        <v>47</v>
      </c>
      <c r="K3" s="187"/>
      <c r="L3" s="187"/>
      <c r="M3" s="188" t="s">
        <v>14</v>
      </c>
      <c r="N3" s="188" t="s">
        <v>34</v>
      </c>
    </row>
    <row r="4" spans="1:14" x14ac:dyDescent="0.25">
      <c r="B4" s="76" t="s">
        <v>4</v>
      </c>
      <c r="C4" s="1">
        <v>8.2100000000000009</v>
      </c>
      <c r="D4" s="1">
        <v>8.2200000000000006</v>
      </c>
      <c r="E4" s="1">
        <v>8.1999999999999993</v>
      </c>
      <c r="F4" s="1">
        <f>SUM(C4:E4)</f>
        <v>24.63</v>
      </c>
      <c r="G4" s="10">
        <f>AVERAGE(C4:E4)</f>
        <v>8.2099999999999991</v>
      </c>
      <c r="I4" s="200"/>
      <c r="J4" s="83" t="s">
        <v>49</v>
      </c>
      <c r="K4" s="83" t="s">
        <v>50</v>
      </c>
      <c r="L4" s="83" t="s">
        <v>51</v>
      </c>
      <c r="M4" s="188"/>
      <c r="N4" s="188"/>
    </row>
    <row r="5" spans="1:14" x14ac:dyDescent="0.25">
      <c r="B5" s="76" t="s">
        <v>5</v>
      </c>
      <c r="C5" s="1">
        <v>7.79</v>
      </c>
      <c r="D5" s="1">
        <v>7.77</v>
      </c>
      <c r="E5" s="1">
        <v>7.82</v>
      </c>
      <c r="F5" s="1">
        <f t="shared" ref="F5:F12" si="0">SUM(C5:E5)</f>
        <v>23.38</v>
      </c>
      <c r="G5" s="10">
        <f t="shared" ref="G5:G12" si="1">AVERAGE(C5:E5)</f>
        <v>7.793333333333333</v>
      </c>
      <c r="I5" s="83" t="s">
        <v>52</v>
      </c>
      <c r="J5" s="53">
        <f>F4</f>
        <v>24.63</v>
      </c>
      <c r="K5" s="53">
        <f>F5</f>
        <v>23.38</v>
      </c>
      <c r="L5" s="53">
        <f>F6</f>
        <v>23.35</v>
      </c>
      <c r="M5" s="51">
        <f>SUM(J5:L5)</f>
        <v>71.36</v>
      </c>
      <c r="N5" s="13">
        <f>M5/9</f>
        <v>7.9288888888888884</v>
      </c>
    </row>
    <row r="6" spans="1:14" x14ac:dyDescent="0.25">
      <c r="B6" s="76" t="s">
        <v>6</v>
      </c>
      <c r="C6" s="1">
        <v>7.8</v>
      </c>
      <c r="D6" s="1">
        <v>7.77</v>
      </c>
      <c r="E6" s="1">
        <v>7.78</v>
      </c>
      <c r="F6" s="1">
        <f t="shared" si="0"/>
        <v>23.35</v>
      </c>
      <c r="G6" s="10">
        <f t="shared" si="1"/>
        <v>7.7833333333333341</v>
      </c>
      <c r="I6" s="83" t="s">
        <v>53</v>
      </c>
      <c r="J6" s="53">
        <f>F7</f>
        <v>28.68</v>
      </c>
      <c r="K6" s="53">
        <f>F8</f>
        <v>24.71</v>
      </c>
      <c r="L6" s="53">
        <f>F9</f>
        <v>23.509999999999998</v>
      </c>
      <c r="M6" s="51">
        <f>SUM(J6:L6)</f>
        <v>76.900000000000006</v>
      </c>
      <c r="N6" s="13">
        <f>M6/9</f>
        <v>8.5444444444444443</v>
      </c>
    </row>
    <row r="7" spans="1:14" x14ac:dyDescent="0.25">
      <c r="A7" s="7"/>
      <c r="B7" s="76" t="s">
        <v>7</v>
      </c>
      <c r="C7" s="1">
        <v>9.4</v>
      </c>
      <c r="D7" s="1">
        <v>9.9</v>
      </c>
      <c r="E7" s="1">
        <v>9.3800000000000008</v>
      </c>
      <c r="F7" s="1">
        <f t="shared" si="0"/>
        <v>28.68</v>
      </c>
      <c r="G7" s="10">
        <f t="shared" si="1"/>
        <v>9.56</v>
      </c>
      <c r="I7" s="83" t="s">
        <v>54</v>
      </c>
      <c r="J7" s="53">
        <f>F10</f>
        <v>35.11</v>
      </c>
      <c r="K7" s="53">
        <f>F11</f>
        <v>31.32</v>
      </c>
      <c r="L7" s="53">
        <f>F12</f>
        <v>31.049999999999997</v>
      </c>
      <c r="M7" s="51">
        <f>SUM(J7:L7)</f>
        <v>97.48</v>
      </c>
      <c r="N7" s="13">
        <f>M7/9</f>
        <v>10.831111111111111</v>
      </c>
    </row>
    <row r="8" spans="1:14" x14ac:dyDescent="0.25">
      <c r="B8" s="76" t="s">
        <v>8</v>
      </c>
      <c r="C8" s="1">
        <v>8.23</v>
      </c>
      <c r="D8" s="1">
        <v>8.25</v>
      </c>
      <c r="E8" s="1">
        <v>8.23</v>
      </c>
      <c r="F8" s="1">
        <f t="shared" si="0"/>
        <v>24.71</v>
      </c>
      <c r="G8" s="10">
        <f t="shared" si="1"/>
        <v>8.2366666666666664</v>
      </c>
      <c r="I8" s="83" t="s">
        <v>14</v>
      </c>
      <c r="J8" s="51">
        <f>SUM(J5:J7)</f>
        <v>88.42</v>
      </c>
      <c r="K8" s="51">
        <f>SUM(K5:K7)</f>
        <v>79.41</v>
      </c>
      <c r="L8" s="51">
        <f>SUM(L5:L7)</f>
        <v>77.91</v>
      </c>
      <c r="M8" s="52">
        <f>SUM(M5:M7)</f>
        <v>245.74</v>
      </c>
      <c r="N8" s="217"/>
    </row>
    <row r="9" spans="1:14" x14ac:dyDescent="0.25">
      <c r="B9" s="76" t="s">
        <v>9</v>
      </c>
      <c r="C9" s="1">
        <v>7.84</v>
      </c>
      <c r="D9" s="1">
        <v>7.85</v>
      </c>
      <c r="E9" s="1">
        <v>7.82</v>
      </c>
      <c r="F9" s="1">
        <f t="shared" si="0"/>
        <v>23.509999999999998</v>
      </c>
      <c r="G9" s="10">
        <f t="shared" si="1"/>
        <v>7.836666666666666</v>
      </c>
      <c r="I9" s="83" t="s">
        <v>15</v>
      </c>
      <c r="J9" s="51">
        <f>J8/9</f>
        <v>9.8244444444444454</v>
      </c>
      <c r="K9" s="51">
        <f>K8/9</f>
        <v>8.8233333333333324</v>
      </c>
      <c r="L9" s="51">
        <f>L8/9</f>
        <v>8.6566666666666663</v>
      </c>
      <c r="M9" s="68"/>
      <c r="N9" s="218"/>
    </row>
    <row r="10" spans="1:14" x14ac:dyDescent="0.25">
      <c r="B10" s="76" t="s">
        <v>10</v>
      </c>
      <c r="C10" s="1">
        <v>12.7</v>
      </c>
      <c r="D10" s="1">
        <v>11.16</v>
      </c>
      <c r="E10" s="1">
        <v>11.25</v>
      </c>
      <c r="F10" s="1">
        <f>SUM(C10:E10)</f>
        <v>35.11</v>
      </c>
      <c r="G10" s="10">
        <f t="shared" si="1"/>
        <v>11.703333333333333</v>
      </c>
    </row>
    <row r="11" spans="1:14" x14ac:dyDescent="0.25">
      <c r="A11" s="7"/>
      <c r="B11" s="76" t="s">
        <v>11</v>
      </c>
      <c r="C11" s="1">
        <v>10.210000000000001</v>
      </c>
      <c r="D11" s="1">
        <v>10.85</v>
      </c>
      <c r="E11" s="1">
        <v>10.26</v>
      </c>
      <c r="F11" s="1">
        <f t="shared" si="0"/>
        <v>31.32</v>
      </c>
      <c r="G11" s="10">
        <f t="shared" si="1"/>
        <v>10.44</v>
      </c>
      <c r="I11" s="59" t="s">
        <v>55</v>
      </c>
      <c r="J11" s="69">
        <f>F13^2/(J14*J15*J13)</f>
        <v>2236.5980592592596</v>
      </c>
    </row>
    <row r="12" spans="1:14" x14ac:dyDescent="0.25">
      <c r="B12" s="76" t="s">
        <v>12</v>
      </c>
      <c r="C12" s="1">
        <v>10.99</v>
      </c>
      <c r="D12" s="1">
        <v>10.029999999999999</v>
      </c>
      <c r="E12" s="1">
        <v>10.029999999999999</v>
      </c>
      <c r="F12" s="1">
        <f t="shared" si="0"/>
        <v>31.049999999999997</v>
      </c>
      <c r="G12" s="10">
        <f t="shared" si="1"/>
        <v>10.35</v>
      </c>
      <c r="I12" s="61" t="s">
        <v>56</v>
      </c>
      <c r="J12" s="2">
        <v>9</v>
      </c>
    </row>
    <row r="13" spans="1:14" x14ac:dyDescent="0.25">
      <c r="B13" s="78" t="s">
        <v>14</v>
      </c>
      <c r="C13" s="1">
        <f>SUM(C4:C12)</f>
        <v>83.17</v>
      </c>
      <c r="D13" s="1">
        <f>SUM(D4:D12)</f>
        <v>81.8</v>
      </c>
      <c r="E13" s="1">
        <f>SUM(E4:E12)</f>
        <v>80.77</v>
      </c>
      <c r="F13" s="4">
        <f>SUM(F4:F12)</f>
        <v>245.74</v>
      </c>
      <c r="G13" s="122"/>
      <c r="I13" s="61" t="s">
        <v>57</v>
      </c>
      <c r="J13" s="2">
        <v>3</v>
      </c>
    </row>
    <row r="14" spans="1:14" x14ac:dyDescent="0.25">
      <c r="I14" s="61" t="s">
        <v>58</v>
      </c>
      <c r="J14" s="2">
        <v>3</v>
      </c>
    </row>
    <row r="15" spans="1:14" x14ac:dyDescent="0.25">
      <c r="I15" s="61" t="s">
        <v>59</v>
      </c>
      <c r="J15" s="2">
        <v>3</v>
      </c>
    </row>
    <row r="17" spans="2:18" x14ac:dyDescent="0.25">
      <c r="B17" s="234" t="s">
        <v>86</v>
      </c>
      <c r="C17" s="234"/>
      <c r="D17" s="234"/>
      <c r="E17" s="234"/>
      <c r="F17" s="234"/>
      <c r="G17" s="234"/>
      <c r="H17" s="234"/>
      <c r="I17" s="234"/>
      <c r="K17" s="62" t="s">
        <v>71</v>
      </c>
      <c r="L17" s="62" t="s">
        <v>72</v>
      </c>
      <c r="M17" s="62" t="s">
        <v>73</v>
      </c>
      <c r="O17" s="128" t="s">
        <v>90</v>
      </c>
      <c r="P17" s="128" t="s">
        <v>72</v>
      </c>
      <c r="Q17" s="128" t="s">
        <v>73</v>
      </c>
    </row>
    <row r="18" spans="2:18" x14ac:dyDescent="0.25">
      <c r="B18" s="182" t="s">
        <v>61</v>
      </c>
      <c r="C18" s="182" t="s">
        <v>62</v>
      </c>
      <c r="D18" s="182" t="s">
        <v>63</v>
      </c>
      <c r="E18" s="182" t="s">
        <v>64</v>
      </c>
      <c r="F18" s="182" t="s">
        <v>87</v>
      </c>
      <c r="G18" s="188" t="s">
        <v>88</v>
      </c>
      <c r="H18" s="188"/>
      <c r="I18" s="213" t="s">
        <v>89</v>
      </c>
      <c r="K18" s="90">
        <f>SQRT(E25/J12)</f>
        <v>0.12405175310555903</v>
      </c>
      <c r="L18">
        <v>3.65</v>
      </c>
      <c r="M18" s="56">
        <f>K18*L18</f>
        <v>0.45278889883529044</v>
      </c>
      <c r="O18" s="129">
        <f>SQRT(E25/J13)</f>
        <v>0.21486393914681851</v>
      </c>
      <c r="P18" s="130">
        <v>5.0309999999999997</v>
      </c>
      <c r="Q18" s="130">
        <f>O18*P18</f>
        <v>1.0809804778476437</v>
      </c>
    </row>
    <row r="19" spans="2:18" x14ac:dyDescent="0.25">
      <c r="B19" s="183"/>
      <c r="C19" s="183"/>
      <c r="D19" s="183"/>
      <c r="E19" s="183"/>
      <c r="F19" s="183"/>
      <c r="G19" s="84">
        <v>0.05</v>
      </c>
      <c r="H19" s="83">
        <v>0.01</v>
      </c>
      <c r="I19" s="214"/>
      <c r="K19" s="58" t="s">
        <v>74</v>
      </c>
      <c r="L19" s="63">
        <f>M18</f>
        <v>0.45278889883529044</v>
      </c>
      <c r="O19" s="131" t="s">
        <v>74</v>
      </c>
      <c r="P19" s="132">
        <f>Q18</f>
        <v>1.0809804778476437</v>
      </c>
      <c r="Q19" s="133"/>
    </row>
    <row r="20" spans="2:18" x14ac:dyDescent="0.25">
      <c r="B20" s="2" t="s">
        <v>68</v>
      </c>
      <c r="C20" s="1">
        <f>J13-1</f>
        <v>2</v>
      </c>
      <c r="D20" s="89">
        <f>(SUMSQ(C13:E13)/(J12))-J11</f>
        <v>0.32214074074045129</v>
      </c>
      <c r="E20" s="89">
        <f t="shared" ref="E20:E26" si="2">D20/C20</f>
        <v>0.16107037037022565</v>
      </c>
      <c r="F20" s="89">
        <f>E20/E25</f>
        <v>1.1629668504027013</v>
      </c>
      <c r="G20" s="89">
        <f>FINV(G19,C20,C25)</f>
        <v>3.6337234675916301</v>
      </c>
      <c r="H20" s="89">
        <f>FINV(H19,C20,C25)</f>
        <v>6.2262352803113821</v>
      </c>
      <c r="I20" s="1" t="str">
        <f>IF(F20&lt;G20,"tn",IF(F20&lt;H20,"*","**"))</f>
        <v>tn</v>
      </c>
    </row>
    <row r="21" spans="2:18" x14ac:dyDescent="0.25">
      <c r="B21" s="2" t="s">
        <v>2</v>
      </c>
      <c r="C21" s="1">
        <f>(J14*J15)-1</f>
        <v>8</v>
      </c>
      <c r="D21" s="89">
        <f>(SUMSQ(F4:F12)/(J13))-J11</f>
        <v>50.764407407406907</v>
      </c>
      <c r="E21" s="89">
        <f t="shared" si="2"/>
        <v>6.3455509259258633</v>
      </c>
      <c r="F21" s="89">
        <f>E21/E25</f>
        <v>45.816405322912821</v>
      </c>
      <c r="G21" s="89">
        <f>FINV(G19,C21,C25)</f>
        <v>2.5910961798744014</v>
      </c>
      <c r="H21" s="89">
        <f>FINV(H19,C21,C25)</f>
        <v>3.8895721399261927</v>
      </c>
      <c r="I21" s="1" t="str">
        <f>IF(F21&lt;G21,"tn",IF(F21&lt;H21,"*","**"))</f>
        <v>**</v>
      </c>
      <c r="K21" s="65" t="s">
        <v>2</v>
      </c>
      <c r="L21" s="65" t="s">
        <v>75</v>
      </c>
      <c r="M21" s="65" t="s">
        <v>76</v>
      </c>
      <c r="O21" s="101" t="s">
        <v>2</v>
      </c>
      <c r="P21" s="101" t="s">
        <v>75</v>
      </c>
      <c r="Q21" s="101" t="s">
        <v>91</v>
      </c>
    </row>
    <row r="22" spans="2:18" x14ac:dyDescent="0.25">
      <c r="B22" s="2" t="s">
        <v>58</v>
      </c>
      <c r="C22" s="1">
        <f>J14-1</f>
        <v>2</v>
      </c>
      <c r="D22" s="89">
        <f>(SUMSQ(M5:M7)/(J12))-J11</f>
        <v>42.091940740740483</v>
      </c>
      <c r="E22" s="89">
        <f t="shared" si="2"/>
        <v>21.045970370370242</v>
      </c>
      <c r="F22" s="89">
        <f>E22/E25</f>
        <v>151.95697271347723</v>
      </c>
      <c r="G22" s="89">
        <f>FINV(G19,C22,C25)</f>
        <v>3.6337234675916301</v>
      </c>
      <c r="H22" s="89">
        <f>FINV(H19,C22,C25)</f>
        <v>6.2262352803113821</v>
      </c>
      <c r="I22" s="1" t="str">
        <f>IF(F22&lt;G22,"tn",IF(F22&lt;H22,"*","**"))</f>
        <v>**</v>
      </c>
      <c r="J22" t="s">
        <v>81</v>
      </c>
      <c r="K22" s="65" t="s">
        <v>52</v>
      </c>
      <c r="L22" s="66">
        <f>N5</f>
        <v>7.9288888888888884</v>
      </c>
      <c r="M22" s="134" t="s">
        <v>102</v>
      </c>
      <c r="N22" s="154">
        <f>L22+L$25</f>
        <v>8.381677787724179</v>
      </c>
      <c r="O22" s="147" t="s">
        <v>4</v>
      </c>
      <c r="P22" s="10">
        <f>G4</f>
        <v>8.2099999999999991</v>
      </c>
      <c r="Q22" s="147"/>
      <c r="R22" s="56">
        <f>P22+P$31</f>
        <v>9.2909804778476435</v>
      </c>
    </row>
    <row r="23" spans="2:18" x14ac:dyDescent="0.25">
      <c r="B23" s="2" t="s">
        <v>59</v>
      </c>
      <c r="C23" s="1">
        <f>J15-1</f>
        <v>2</v>
      </c>
      <c r="D23" s="89">
        <f>(SUMSQ(J8:L8)/(J12))-J11</f>
        <v>7.1811185185179056</v>
      </c>
      <c r="E23" s="89">
        <f t="shared" si="2"/>
        <v>3.5905592592589528</v>
      </c>
      <c r="F23" s="89">
        <f>E23/E25</f>
        <v>25.924702248629902</v>
      </c>
      <c r="G23" s="89">
        <f>FINV(G19,C23,C25)</f>
        <v>3.6337234675916301</v>
      </c>
      <c r="H23" s="89">
        <f>FINV(H19,C23,C25)</f>
        <v>6.2262352803113821</v>
      </c>
      <c r="I23" s="1" t="str">
        <f>IF(F23&lt;G23,"tn",IF(F23&lt;H23,"*","**"))</f>
        <v>**</v>
      </c>
      <c r="K23" s="65" t="s">
        <v>53</v>
      </c>
      <c r="L23" s="66">
        <f>N6</f>
        <v>8.5444444444444443</v>
      </c>
      <c r="M23" s="134" t="s">
        <v>103</v>
      </c>
      <c r="N23" s="154">
        <f>L23+L$25</f>
        <v>8.9972333432797349</v>
      </c>
      <c r="O23" s="147" t="s">
        <v>5</v>
      </c>
      <c r="P23" s="10">
        <f t="shared" ref="P23:P30" si="3">G5</f>
        <v>7.793333333333333</v>
      </c>
      <c r="Q23" s="148"/>
      <c r="R23" s="56">
        <f t="shared" ref="R23:R30" si="4">P23+P$31</f>
        <v>8.8743138111809774</v>
      </c>
    </row>
    <row r="24" spans="2:18" x14ac:dyDescent="0.25">
      <c r="B24" s="140" t="s">
        <v>69</v>
      </c>
      <c r="C24" s="4">
        <f>C22*C23</f>
        <v>4</v>
      </c>
      <c r="D24" s="142">
        <f>D21-D22-D23</f>
        <v>1.4913481481485178</v>
      </c>
      <c r="E24" s="142">
        <f t="shared" si="2"/>
        <v>0.37283703703712945</v>
      </c>
      <c r="F24" s="142">
        <f>E24/E25</f>
        <v>2.6919731647720693</v>
      </c>
      <c r="G24" s="142">
        <f>FINV(G19,C24,C25)</f>
        <v>3.0069172799243447</v>
      </c>
      <c r="H24" s="142">
        <f>FINV(H19,C24,C25)</f>
        <v>4.772577999723211</v>
      </c>
      <c r="I24" s="4" t="str">
        <f>IF(F24&lt;G24,"tn",IF(F24&lt;H24,"*","**"))</f>
        <v>tn</v>
      </c>
      <c r="K24" s="65" t="s">
        <v>54</v>
      </c>
      <c r="L24" s="66">
        <f>N7</f>
        <v>10.831111111111111</v>
      </c>
      <c r="M24" s="134" t="s">
        <v>133</v>
      </c>
      <c r="N24" s="154">
        <f>L24+L$25</f>
        <v>11.283900009946402</v>
      </c>
      <c r="O24" s="147" t="s">
        <v>6</v>
      </c>
      <c r="P24" s="10">
        <f t="shared" si="3"/>
        <v>7.7833333333333341</v>
      </c>
      <c r="Q24" s="148"/>
      <c r="R24" s="56">
        <f t="shared" si="4"/>
        <v>8.8643138111809776</v>
      </c>
    </row>
    <row r="25" spans="2:18" x14ac:dyDescent="0.25">
      <c r="B25" s="2" t="s">
        <v>70</v>
      </c>
      <c r="C25" s="1">
        <f>C26-C20-C21</f>
        <v>16</v>
      </c>
      <c r="D25" s="89">
        <f>D26-D20-D21</f>
        <v>2.2159925925930111</v>
      </c>
      <c r="E25" s="89">
        <f t="shared" si="2"/>
        <v>0.13849953703706319</v>
      </c>
      <c r="F25" s="228"/>
      <c r="G25" s="229"/>
      <c r="H25" s="229"/>
      <c r="I25" s="230"/>
      <c r="K25" s="67" t="s">
        <v>74</v>
      </c>
      <c r="L25" s="204">
        <f>L19</f>
        <v>0.45278889883529044</v>
      </c>
      <c r="M25" s="204"/>
      <c r="N25" s="149"/>
      <c r="O25" s="147" t="s">
        <v>7</v>
      </c>
      <c r="P25" s="10">
        <f t="shared" si="3"/>
        <v>9.56</v>
      </c>
      <c r="Q25" s="148"/>
      <c r="R25" s="56">
        <f t="shared" si="4"/>
        <v>10.640980477847645</v>
      </c>
    </row>
    <row r="26" spans="2:18" x14ac:dyDescent="0.25">
      <c r="B26" s="12" t="s">
        <v>3</v>
      </c>
      <c r="C26" s="1">
        <f>(J14*J15*J13)-1</f>
        <v>26</v>
      </c>
      <c r="D26" s="89">
        <f>SUMSQ(C4:E12)-J11</f>
        <v>53.302540740740369</v>
      </c>
      <c r="E26" s="89">
        <f t="shared" si="2"/>
        <v>2.0500977207977065</v>
      </c>
      <c r="F26" s="231"/>
      <c r="G26" s="232"/>
      <c r="H26" s="232"/>
      <c r="I26" s="233"/>
      <c r="K26" s="65" t="s">
        <v>77</v>
      </c>
      <c r="L26" s="66">
        <f>J9</f>
        <v>9.8244444444444454</v>
      </c>
      <c r="M26" s="134" t="s">
        <v>103</v>
      </c>
      <c r="N26" s="154">
        <f>L26+L$29</f>
        <v>10.277233343279736</v>
      </c>
      <c r="O26" s="147" t="s">
        <v>8</v>
      </c>
      <c r="P26" s="10">
        <f t="shared" si="3"/>
        <v>8.2366666666666664</v>
      </c>
      <c r="Q26" s="148"/>
      <c r="R26" s="56">
        <f t="shared" si="4"/>
        <v>9.3176471445143108</v>
      </c>
    </row>
    <row r="27" spans="2:18" x14ac:dyDescent="0.25">
      <c r="K27" s="65" t="s">
        <v>50</v>
      </c>
      <c r="L27" s="66">
        <f>K9</f>
        <v>8.8233333333333324</v>
      </c>
      <c r="M27" s="134" t="s">
        <v>102</v>
      </c>
      <c r="N27" s="154">
        <f>L27+L$29</f>
        <v>9.276122232168623</v>
      </c>
      <c r="O27" s="147" t="s">
        <v>9</v>
      </c>
      <c r="P27" s="10">
        <f>G9</f>
        <v>7.836666666666666</v>
      </c>
      <c r="Q27" s="148"/>
      <c r="R27" s="56">
        <f t="shared" si="4"/>
        <v>8.9176471445143104</v>
      </c>
    </row>
    <row r="28" spans="2:18" x14ac:dyDescent="0.25">
      <c r="K28" s="65" t="s">
        <v>51</v>
      </c>
      <c r="L28" s="66">
        <f>L9</f>
        <v>8.6566666666666663</v>
      </c>
      <c r="M28" s="134" t="s">
        <v>102</v>
      </c>
      <c r="N28" s="154">
        <f>L28+L$29</f>
        <v>9.1094555655019569</v>
      </c>
      <c r="O28" s="147" t="s">
        <v>10</v>
      </c>
      <c r="P28" s="10">
        <f t="shared" si="3"/>
        <v>11.703333333333333</v>
      </c>
      <c r="Q28" s="148"/>
      <c r="R28" s="56">
        <f t="shared" si="4"/>
        <v>12.784313811180978</v>
      </c>
    </row>
    <row r="29" spans="2:18" ht="15.75" x14ac:dyDescent="0.25">
      <c r="K29" s="126" t="s">
        <v>74</v>
      </c>
      <c r="L29" s="205">
        <f>L19</f>
        <v>0.45278889883529044</v>
      </c>
      <c r="M29" s="206"/>
      <c r="O29" s="147" t="s">
        <v>11</v>
      </c>
      <c r="P29" s="10">
        <f t="shared" si="3"/>
        <v>10.44</v>
      </c>
      <c r="Q29" s="148"/>
      <c r="R29" s="56">
        <f t="shared" si="4"/>
        <v>11.520980477847644</v>
      </c>
    </row>
    <row r="30" spans="2:18" x14ac:dyDescent="0.25">
      <c r="O30" s="147" t="s">
        <v>12</v>
      </c>
      <c r="P30" s="10">
        <f t="shared" si="3"/>
        <v>10.35</v>
      </c>
      <c r="Q30" s="148"/>
      <c r="R30" s="56">
        <f t="shared" si="4"/>
        <v>11.430980477847644</v>
      </c>
    </row>
    <row r="31" spans="2:18" ht="15.75" x14ac:dyDescent="0.25">
      <c r="O31" s="95" t="s">
        <v>74</v>
      </c>
      <c r="P31" s="96">
        <f>P19</f>
        <v>1.0809804778476437</v>
      </c>
    </row>
  </sheetData>
  <mergeCells count="21">
    <mergeCell ref="E18:E19"/>
    <mergeCell ref="F18:F19"/>
    <mergeCell ref="G18:H18"/>
    <mergeCell ref="I18:I19"/>
    <mergeCell ref="L25:M25"/>
    <mergeCell ref="L29:M29"/>
    <mergeCell ref="B2:B3"/>
    <mergeCell ref="C2:E2"/>
    <mergeCell ref="F2:F3"/>
    <mergeCell ref="G2:G3"/>
    <mergeCell ref="I2:N2"/>
    <mergeCell ref="I3:I4"/>
    <mergeCell ref="J3:L3"/>
    <mergeCell ref="M3:M4"/>
    <mergeCell ref="N3:N4"/>
    <mergeCell ref="F25:I26"/>
    <mergeCell ref="N8:N9"/>
    <mergeCell ref="B17:I17"/>
    <mergeCell ref="B18:B19"/>
    <mergeCell ref="C18:C19"/>
    <mergeCell ref="D18:D19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1"/>
  <sheetViews>
    <sheetView topLeftCell="A10" workbookViewId="0">
      <selection activeCell="H30" sqref="H30"/>
    </sheetView>
  </sheetViews>
  <sheetFormatPr defaultRowHeight="15" x14ac:dyDescent="0.25"/>
  <cols>
    <col min="2" max="2" width="11.42578125" customWidth="1"/>
    <col min="9" max="9" width="12.42578125" customWidth="1"/>
    <col min="10" max="10" width="12.28515625" customWidth="1"/>
    <col min="11" max="11" width="10" customWidth="1"/>
    <col min="14" max="14" width="11.140625" customWidth="1"/>
    <col min="15" max="15" width="10.42578125" customWidth="1"/>
  </cols>
  <sheetData>
    <row r="1" spans="1:14" x14ac:dyDescent="0.25">
      <c r="A1" t="s">
        <v>85</v>
      </c>
    </row>
    <row r="2" spans="1:14" x14ac:dyDescent="0.25">
      <c r="B2" s="199" t="s">
        <v>21</v>
      </c>
      <c r="C2" s="199" t="s">
        <v>22</v>
      </c>
      <c r="D2" s="199"/>
      <c r="E2" s="199"/>
      <c r="F2" s="199" t="s">
        <v>14</v>
      </c>
      <c r="G2" s="199" t="s">
        <v>23</v>
      </c>
      <c r="I2" s="199" t="s">
        <v>46</v>
      </c>
      <c r="J2" s="199"/>
      <c r="K2" s="199"/>
      <c r="L2" s="199"/>
      <c r="M2" s="199"/>
      <c r="N2" s="199"/>
    </row>
    <row r="3" spans="1:14" x14ac:dyDescent="0.25">
      <c r="B3" s="199"/>
      <c r="C3" s="77">
        <v>1</v>
      </c>
      <c r="D3" s="77">
        <v>2</v>
      </c>
      <c r="E3" s="77">
        <v>3</v>
      </c>
      <c r="F3" s="199"/>
      <c r="G3" s="199"/>
      <c r="I3" s="200" t="s">
        <v>48</v>
      </c>
      <c r="J3" s="187" t="s">
        <v>47</v>
      </c>
      <c r="K3" s="187"/>
      <c r="L3" s="187"/>
      <c r="M3" s="188" t="s">
        <v>14</v>
      </c>
      <c r="N3" s="188" t="s">
        <v>34</v>
      </c>
    </row>
    <row r="4" spans="1:14" x14ac:dyDescent="0.25">
      <c r="B4" s="76" t="s">
        <v>4</v>
      </c>
      <c r="C4" s="1">
        <v>29</v>
      </c>
      <c r="D4" s="1">
        <v>29.02</v>
      </c>
      <c r="E4" s="1">
        <v>28.99</v>
      </c>
      <c r="F4" s="30">
        <f>SUM(C4:E4)</f>
        <v>87.009999999999991</v>
      </c>
      <c r="G4" s="10">
        <f>AVERAGE(C4:E4)</f>
        <v>29.00333333333333</v>
      </c>
      <c r="I4" s="200"/>
      <c r="J4" s="75" t="s">
        <v>49</v>
      </c>
      <c r="K4" s="75" t="s">
        <v>50</v>
      </c>
      <c r="L4" s="75" t="s">
        <v>51</v>
      </c>
      <c r="M4" s="188"/>
      <c r="N4" s="188"/>
    </row>
    <row r="5" spans="1:14" x14ac:dyDescent="0.25">
      <c r="B5" s="76" t="s">
        <v>5</v>
      </c>
      <c r="C5" s="1">
        <v>29.42</v>
      </c>
      <c r="D5" s="1">
        <v>29.41</v>
      </c>
      <c r="E5" s="1">
        <v>29.53</v>
      </c>
      <c r="F5" s="30">
        <f t="shared" ref="F5:F12" si="0">SUM(C5:E5)</f>
        <v>88.36</v>
      </c>
      <c r="G5" s="10">
        <f t="shared" ref="G5:G12" si="1">AVERAGE(C5:E5)</f>
        <v>29.453333333333333</v>
      </c>
      <c r="I5" s="75" t="s">
        <v>52</v>
      </c>
      <c r="J5" s="53">
        <f>F4</f>
        <v>87.009999999999991</v>
      </c>
      <c r="K5" s="53">
        <f>F5</f>
        <v>88.36</v>
      </c>
      <c r="L5" s="53">
        <f>F6</f>
        <v>88.29</v>
      </c>
      <c r="M5" s="51">
        <f>SUM(J5:L5)</f>
        <v>263.66000000000003</v>
      </c>
      <c r="N5" s="13">
        <f>M5/9</f>
        <v>29.295555555555559</v>
      </c>
    </row>
    <row r="6" spans="1:14" x14ac:dyDescent="0.25">
      <c r="B6" s="76" t="s">
        <v>6</v>
      </c>
      <c r="C6" s="1">
        <v>29.42</v>
      </c>
      <c r="D6" s="1">
        <v>29.35</v>
      </c>
      <c r="E6" s="1">
        <v>29.52</v>
      </c>
      <c r="F6" s="30">
        <f t="shared" si="0"/>
        <v>88.29</v>
      </c>
      <c r="G6" s="10">
        <f t="shared" si="1"/>
        <v>29.430000000000003</v>
      </c>
      <c r="I6" s="75" t="s">
        <v>53</v>
      </c>
      <c r="J6" s="53">
        <f>F7</f>
        <v>87.59</v>
      </c>
      <c r="K6" s="53">
        <f>F8</f>
        <v>86.37</v>
      </c>
      <c r="L6" s="53">
        <f>F9</f>
        <v>85.64</v>
      </c>
      <c r="M6" s="51">
        <f>SUM(J6:L6)</f>
        <v>259.60000000000002</v>
      </c>
      <c r="N6" s="13">
        <f>M6/9</f>
        <v>28.844444444444449</v>
      </c>
    </row>
    <row r="7" spans="1:14" x14ac:dyDescent="0.25">
      <c r="B7" s="76" t="s">
        <v>7</v>
      </c>
      <c r="C7" s="1">
        <v>29.28</v>
      </c>
      <c r="D7" s="1">
        <v>29.26</v>
      </c>
      <c r="E7" s="1">
        <v>29.05</v>
      </c>
      <c r="F7" s="30">
        <f t="shared" si="0"/>
        <v>87.59</v>
      </c>
      <c r="G7" s="10">
        <f t="shared" si="1"/>
        <v>29.196666666666669</v>
      </c>
      <c r="I7" s="75" t="s">
        <v>54</v>
      </c>
      <c r="J7" s="53">
        <f>F10</f>
        <v>84.57</v>
      </c>
      <c r="K7" s="53">
        <f>F11</f>
        <v>85.05</v>
      </c>
      <c r="L7" s="53">
        <f>F12</f>
        <v>85.06</v>
      </c>
      <c r="M7" s="51">
        <f>SUM(J7:L7)</f>
        <v>254.68</v>
      </c>
      <c r="N7" s="13">
        <f>M7/9</f>
        <v>28.297777777777778</v>
      </c>
    </row>
    <row r="8" spans="1:14" x14ac:dyDescent="0.25">
      <c r="B8" s="76" t="s">
        <v>8</v>
      </c>
      <c r="C8" s="1">
        <v>28.85</v>
      </c>
      <c r="D8" s="1">
        <v>28.83</v>
      </c>
      <c r="E8" s="1">
        <v>28.69</v>
      </c>
      <c r="F8" s="30">
        <f t="shared" si="0"/>
        <v>86.37</v>
      </c>
      <c r="G8" s="10">
        <f t="shared" si="1"/>
        <v>28.790000000000003</v>
      </c>
      <c r="I8" s="75" t="s">
        <v>14</v>
      </c>
      <c r="J8" s="51">
        <f>SUM(J5:J7)</f>
        <v>259.16999999999996</v>
      </c>
      <c r="K8" s="51">
        <f>SUM(K5:K7)</f>
        <v>259.78000000000003</v>
      </c>
      <c r="L8" s="51">
        <f>SUM(L5:L7)</f>
        <v>258.99</v>
      </c>
      <c r="M8" s="52">
        <f>SUM(M5:M7)</f>
        <v>777.94</v>
      </c>
      <c r="N8" s="217"/>
    </row>
    <row r="9" spans="1:14" x14ac:dyDescent="0.25">
      <c r="B9" s="76" t="s">
        <v>9</v>
      </c>
      <c r="C9" s="1">
        <v>28.57</v>
      </c>
      <c r="D9" s="1">
        <v>28.52</v>
      </c>
      <c r="E9" s="1">
        <v>28.55</v>
      </c>
      <c r="F9" s="30">
        <f t="shared" si="0"/>
        <v>85.64</v>
      </c>
      <c r="G9" s="10">
        <f t="shared" si="1"/>
        <v>28.546666666666667</v>
      </c>
      <c r="I9" s="75" t="s">
        <v>15</v>
      </c>
      <c r="J9" s="51">
        <f>J8/9</f>
        <v>28.796666666666663</v>
      </c>
      <c r="K9" s="51">
        <f>K8/9</f>
        <v>28.864444444444448</v>
      </c>
      <c r="L9" s="51">
        <f>L8/9</f>
        <v>28.776666666666667</v>
      </c>
      <c r="M9" s="68"/>
      <c r="N9" s="218"/>
    </row>
    <row r="10" spans="1:14" x14ac:dyDescent="0.25">
      <c r="B10" s="76" t="s">
        <v>10</v>
      </c>
      <c r="C10" s="1">
        <v>28.38</v>
      </c>
      <c r="D10" s="1">
        <v>28.04</v>
      </c>
      <c r="E10" s="1">
        <v>28.15</v>
      </c>
      <c r="F10" s="30">
        <f>SUM(C10:E10)</f>
        <v>84.57</v>
      </c>
      <c r="G10" s="10">
        <f t="shared" si="1"/>
        <v>28.189999999999998</v>
      </c>
    </row>
    <row r="11" spans="1:14" x14ac:dyDescent="0.25">
      <c r="B11" s="76" t="s">
        <v>11</v>
      </c>
      <c r="C11" s="1">
        <v>28.4</v>
      </c>
      <c r="D11" s="1">
        <v>28.22</v>
      </c>
      <c r="E11" s="1">
        <v>28.43</v>
      </c>
      <c r="F11" s="30">
        <f t="shared" si="0"/>
        <v>85.05</v>
      </c>
      <c r="G11" s="10">
        <f t="shared" si="1"/>
        <v>28.349999999999998</v>
      </c>
      <c r="I11" s="59" t="s">
        <v>55</v>
      </c>
      <c r="J11" s="69">
        <f>F13^2/(J14*J15*J13)</f>
        <v>22414.46828148147</v>
      </c>
    </row>
    <row r="12" spans="1:14" x14ac:dyDescent="0.25">
      <c r="B12" s="76" t="s">
        <v>12</v>
      </c>
      <c r="C12" s="1">
        <v>28.35</v>
      </c>
      <c r="D12" s="1">
        <v>28.41</v>
      </c>
      <c r="E12" s="1">
        <v>28.3</v>
      </c>
      <c r="F12" s="30">
        <f t="shared" si="0"/>
        <v>85.06</v>
      </c>
      <c r="G12" s="10">
        <f t="shared" si="1"/>
        <v>28.353333333333335</v>
      </c>
      <c r="I12" s="61" t="s">
        <v>56</v>
      </c>
      <c r="J12" s="2">
        <v>9</v>
      </c>
    </row>
    <row r="13" spans="1:14" x14ac:dyDescent="0.25">
      <c r="B13" s="78" t="s">
        <v>14</v>
      </c>
      <c r="C13" s="1">
        <f>SUM(C4:C12)</f>
        <v>259.67</v>
      </c>
      <c r="D13" s="1">
        <f>SUM(D4:D12)</f>
        <v>259.06</v>
      </c>
      <c r="E13" s="1">
        <f>SUM(E4:E12)</f>
        <v>259.21000000000004</v>
      </c>
      <c r="F13" s="4">
        <f>SUM(F4:F12)</f>
        <v>777.93999999999983</v>
      </c>
      <c r="G13" s="122"/>
      <c r="I13" s="61" t="s">
        <v>57</v>
      </c>
      <c r="J13" s="2">
        <v>3</v>
      </c>
    </row>
    <row r="14" spans="1:14" x14ac:dyDescent="0.25">
      <c r="I14" s="61" t="s">
        <v>58</v>
      </c>
      <c r="J14" s="2">
        <v>3</v>
      </c>
    </row>
    <row r="15" spans="1:14" x14ac:dyDescent="0.25">
      <c r="I15" s="61" t="s">
        <v>59</v>
      </c>
      <c r="J15" s="2">
        <v>3</v>
      </c>
    </row>
    <row r="17" spans="2:18" x14ac:dyDescent="0.25">
      <c r="B17" s="234" t="s">
        <v>86</v>
      </c>
      <c r="C17" s="234"/>
      <c r="D17" s="234"/>
      <c r="E17" s="234"/>
      <c r="F17" s="234"/>
      <c r="G17" s="234"/>
      <c r="H17" s="234"/>
      <c r="I17" s="234"/>
      <c r="K17" s="62" t="s">
        <v>71</v>
      </c>
      <c r="L17" s="62" t="s">
        <v>72</v>
      </c>
      <c r="M17" s="62" t="s">
        <v>73</v>
      </c>
      <c r="O17" s="128" t="s">
        <v>90</v>
      </c>
      <c r="P17" s="128" t="s">
        <v>72</v>
      </c>
      <c r="Q17" s="128" t="s">
        <v>73</v>
      </c>
    </row>
    <row r="18" spans="2:18" x14ac:dyDescent="0.25">
      <c r="B18" s="182" t="s">
        <v>61</v>
      </c>
      <c r="C18" s="182" t="s">
        <v>62</v>
      </c>
      <c r="D18" s="182" t="s">
        <v>63</v>
      </c>
      <c r="E18" s="182" t="s">
        <v>64</v>
      </c>
      <c r="F18" s="182" t="s">
        <v>87</v>
      </c>
      <c r="G18" s="188" t="s">
        <v>88</v>
      </c>
      <c r="H18" s="188"/>
      <c r="I18" s="213" t="s">
        <v>89</v>
      </c>
      <c r="K18" s="90">
        <f>SQRT(E25/J12)</f>
        <v>3.1455599380495754E-2</v>
      </c>
      <c r="L18">
        <v>3.65</v>
      </c>
      <c r="M18" s="56">
        <f>K18*L18</f>
        <v>0.1148129377388095</v>
      </c>
      <c r="O18" s="129">
        <f>SQRT(E25/J13)</f>
        <v>5.448269630955075E-2</v>
      </c>
      <c r="P18" s="130">
        <v>5.0309999999999997</v>
      </c>
      <c r="Q18" s="130">
        <f>O18*P18</f>
        <v>0.2741024451333498</v>
      </c>
    </row>
    <row r="19" spans="2:18" x14ac:dyDescent="0.25">
      <c r="B19" s="183"/>
      <c r="C19" s="183"/>
      <c r="D19" s="183"/>
      <c r="E19" s="183"/>
      <c r="F19" s="183"/>
      <c r="G19" s="76">
        <v>0.05</v>
      </c>
      <c r="H19" s="75">
        <v>0.01</v>
      </c>
      <c r="I19" s="214"/>
      <c r="K19" s="58" t="s">
        <v>74</v>
      </c>
      <c r="L19" s="63">
        <f>M18</f>
        <v>0.1148129377388095</v>
      </c>
      <c r="O19" s="131" t="s">
        <v>74</v>
      </c>
      <c r="P19" s="132">
        <f>Q18</f>
        <v>0.2741024451333498</v>
      </c>
      <c r="Q19" s="133"/>
    </row>
    <row r="20" spans="2:18" x14ac:dyDescent="0.25">
      <c r="B20" s="2" t="s">
        <v>68</v>
      </c>
      <c r="C20" s="1">
        <f>J13-1</f>
        <v>2</v>
      </c>
      <c r="D20" s="89">
        <f>(SUMSQ(C13:E13)/(J12))-J11</f>
        <v>2.2451851869845996E-2</v>
      </c>
      <c r="E20" s="89">
        <f t="shared" ref="E20:E26" si="2">D20/C20</f>
        <v>1.1225925934922998E-2</v>
      </c>
      <c r="F20" s="89">
        <f>E20/E25</f>
        <v>1.2606186650623097</v>
      </c>
      <c r="G20" s="89">
        <f>FINV(G19,C20,C25)</f>
        <v>3.6337234675916301</v>
      </c>
      <c r="H20" s="89">
        <f>FINV(H19,C20,C25)</f>
        <v>6.2262352803113821</v>
      </c>
      <c r="I20" s="1" t="str">
        <f>IF(F20&lt;G20,"tn",IF(F20&lt;H20,"*","**"))</f>
        <v>tn</v>
      </c>
    </row>
    <row r="21" spans="2:18" x14ac:dyDescent="0.25">
      <c r="B21" s="2" t="s">
        <v>2</v>
      </c>
      <c r="C21" s="1">
        <f>(J14*J15)-1</f>
        <v>8</v>
      </c>
      <c r="D21" s="89">
        <f>(SUMSQ(F4:F12)/(J13))-J11</f>
        <v>5.5781851852007094</v>
      </c>
      <c r="E21" s="89">
        <f t="shared" si="2"/>
        <v>0.69727314815008867</v>
      </c>
      <c r="F21" s="89">
        <f>E21/E25</f>
        <v>78.300493901377962</v>
      </c>
      <c r="G21" s="89">
        <f>FINV(G19,C21,C25)</f>
        <v>2.5910961798744014</v>
      </c>
      <c r="H21" s="89">
        <f>FINV(H19,C21,C25)</f>
        <v>3.8895721399261927</v>
      </c>
      <c r="I21" s="1" t="str">
        <f>IF(F21&lt;G21,"tn",IF(F21&lt;H21,"*","**"))</f>
        <v>**</v>
      </c>
      <c r="K21" s="65" t="s">
        <v>2</v>
      </c>
      <c r="L21" s="65" t="s">
        <v>75</v>
      </c>
      <c r="M21" s="65" t="s">
        <v>76</v>
      </c>
      <c r="O21" s="101" t="s">
        <v>2</v>
      </c>
      <c r="P21" s="101" t="s">
        <v>75</v>
      </c>
      <c r="Q21" s="101" t="s">
        <v>91</v>
      </c>
    </row>
    <row r="22" spans="2:18" x14ac:dyDescent="0.25">
      <c r="B22" s="2" t="s">
        <v>58</v>
      </c>
      <c r="C22" s="1">
        <f>J14-1</f>
        <v>2</v>
      </c>
      <c r="D22" s="89">
        <f>(SUMSQ(M5:M7)/(J12))-J11</f>
        <v>4.4937185185372073</v>
      </c>
      <c r="E22" s="89">
        <f t="shared" si="2"/>
        <v>2.2468592592686036</v>
      </c>
      <c r="F22" s="89">
        <f>E22/E25</f>
        <v>252.31172345352783</v>
      </c>
      <c r="G22" s="89">
        <f>FINV(G19,C22,C25)</f>
        <v>3.6337234675916301</v>
      </c>
      <c r="H22" s="89">
        <f>FINV(H19,C22,C25)</f>
        <v>6.2262352803113821</v>
      </c>
      <c r="I22" s="1" t="str">
        <f>IF(F22&lt;G22,"tn",IF(F22&lt;H22,"*","**"))</f>
        <v>**</v>
      </c>
      <c r="J22" t="s">
        <v>81</v>
      </c>
      <c r="K22" s="65" t="s">
        <v>52</v>
      </c>
      <c r="L22" s="66">
        <f>N5</f>
        <v>29.295555555555559</v>
      </c>
      <c r="M22" s="65" t="s">
        <v>79</v>
      </c>
      <c r="N22" s="56">
        <f>L22+L$25</f>
        <v>29.410368493294367</v>
      </c>
      <c r="O22" s="125" t="s">
        <v>4</v>
      </c>
      <c r="P22" s="10">
        <f>G4</f>
        <v>29.00333333333333</v>
      </c>
      <c r="Q22" s="125" t="s">
        <v>134</v>
      </c>
      <c r="R22" s="56">
        <f>P22+P$31</f>
        <v>29.277435778466682</v>
      </c>
    </row>
    <row r="23" spans="2:18" x14ac:dyDescent="0.25">
      <c r="B23" s="2" t="s">
        <v>59</v>
      </c>
      <c r="C23" s="1">
        <f>J15-1</f>
        <v>2</v>
      </c>
      <c r="D23" s="89">
        <f>(SUMSQ(J8:L8)/(J12))-J11</f>
        <v>3.8096296306321165E-2</v>
      </c>
      <c r="E23" s="89">
        <f t="shared" si="2"/>
        <v>1.9048148153160582E-2</v>
      </c>
      <c r="F23" s="89">
        <f>E23/E25</f>
        <v>2.139017416999474</v>
      </c>
      <c r="G23" s="89">
        <f>FINV(G19,C23,C25)</f>
        <v>3.6337234675916301</v>
      </c>
      <c r="H23" s="89">
        <f>FINV(H19,C23,C25)</f>
        <v>6.2262352803113821</v>
      </c>
      <c r="I23" s="1" t="str">
        <f>IF(F23&lt;G23,"tn",IF(F23&lt;H23,"*","**"))</f>
        <v>tn</v>
      </c>
      <c r="K23" s="65" t="s">
        <v>53</v>
      </c>
      <c r="L23" s="66">
        <f>N6</f>
        <v>28.844444444444449</v>
      </c>
      <c r="M23" s="65" t="s">
        <v>80</v>
      </c>
      <c r="N23" s="56">
        <f>L23+L$25</f>
        <v>28.959257382183257</v>
      </c>
      <c r="O23" s="125" t="s">
        <v>5</v>
      </c>
      <c r="P23" s="10">
        <f t="shared" ref="P23:P30" si="3">G5</f>
        <v>29.453333333333333</v>
      </c>
      <c r="Q23" s="125" t="s">
        <v>135</v>
      </c>
      <c r="R23" s="56">
        <f t="shared" ref="R23:R30" si="4">P23+P$31</f>
        <v>29.727435778466685</v>
      </c>
    </row>
    <row r="24" spans="2:18" x14ac:dyDescent="0.25">
      <c r="B24" s="140" t="s">
        <v>69</v>
      </c>
      <c r="C24" s="4">
        <f>C22*C23</f>
        <v>4</v>
      </c>
      <c r="D24" s="142">
        <f>D21-D22-D23</f>
        <v>1.0463703703571809</v>
      </c>
      <c r="E24" s="142">
        <f t="shared" si="2"/>
        <v>0.26159259258929524</v>
      </c>
      <c r="F24" s="142">
        <f>E24/E25</f>
        <v>29.375617367492282</v>
      </c>
      <c r="G24" s="142">
        <f>FINV(G19,C24,C25)</f>
        <v>3.0069172799243447</v>
      </c>
      <c r="H24" s="142">
        <f>FINV(H19,C24,C25)</f>
        <v>4.772577999723211</v>
      </c>
      <c r="I24" s="4" t="str">
        <f>IF(F24&lt;G24,"tn",IF(F24&lt;H24,"*","**"))</f>
        <v>**</v>
      </c>
      <c r="K24" s="65" t="s">
        <v>54</v>
      </c>
      <c r="L24" s="66">
        <f>N7</f>
        <v>28.297777777777778</v>
      </c>
      <c r="M24" s="65" t="s">
        <v>59</v>
      </c>
      <c r="N24" s="56">
        <f>L24+L$25</f>
        <v>28.412590715516586</v>
      </c>
      <c r="O24" s="125" t="s">
        <v>6</v>
      </c>
      <c r="P24" s="10">
        <f t="shared" si="3"/>
        <v>29.430000000000003</v>
      </c>
      <c r="Q24" s="125" t="s">
        <v>135</v>
      </c>
      <c r="R24" s="56">
        <f t="shared" si="4"/>
        <v>29.704102445133351</v>
      </c>
    </row>
    <row r="25" spans="2:18" x14ac:dyDescent="0.25">
      <c r="B25" s="2" t="s">
        <v>70</v>
      </c>
      <c r="C25" s="1">
        <f>C26-C20-C21</f>
        <v>16</v>
      </c>
      <c r="D25" s="89">
        <f>D26-D20-D21</f>
        <v>0.14248148146361928</v>
      </c>
      <c r="E25" s="89">
        <f t="shared" si="2"/>
        <v>8.9050925914762047E-3</v>
      </c>
      <c r="F25" s="228"/>
      <c r="G25" s="229"/>
      <c r="H25" s="229"/>
      <c r="I25" s="230"/>
      <c r="K25" s="67" t="s">
        <v>74</v>
      </c>
      <c r="L25" s="204">
        <f>L19</f>
        <v>0.1148129377388095</v>
      </c>
      <c r="M25" s="204"/>
      <c r="O25" s="125" t="s">
        <v>7</v>
      </c>
      <c r="P25" s="10">
        <f t="shared" si="3"/>
        <v>29.196666666666669</v>
      </c>
      <c r="Q25" s="125" t="s">
        <v>136</v>
      </c>
      <c r="R25" s="56">
        <f t="shared" si="4"/>
        <v>29.470769111800017</v>
      </c>
    </row>
    <row r="26" spans="2:18" x14ac:dyDescent="0.25">
      <c r="B26" s="12" t="s">
        <v>3</v>
      </c>
      <c r="C26" s="1">
        <f>(J14*J15*J13)-1</f>
        <v>26</v>
      </c>
      <c r="D26" s="89">
        <f>SUMSQ(C4:E12)-J11</f>
        <v>5.7431185185341747</v>
      </c>
      <c r="E26" s="89">
        <f t="shared" si="2"/>
        <v>0.22088917378977596</v>
      </c>
      <c r="F26" s="231"/>
      <c r="G26" s="232"/>
      <c r="H26" s="232"/>
      <c r="I26" s="233"/>
      <c r="K26" s="65" t="s">
        <v>77</v>
      </c>
      <c r="L26" s="66">
        <f>J9</f>
        <v>28.796666666666663</v>
      </c>
      <c r="M26" s="65" t="s">
        <v>78</v>
      </c>
      <c r="O26" s="125" t="s">
        <v>8</v>
      </c>
      <c r="P26" s="10">
        <f t="shared" si="3"/>
        <v>28.790000000000003</v>
      </c>
      <c r="Q26" s="125" t="s">
        <v>129</v>
      </c>
      <c r="R26" s="56">
        <f t="shared" si="4"/>
        <v>29.064102445133351</v>
      </c>
    </row>
    <row r="27" spans="2:18" x14ac:dyDescent="0.25">
      <c r="K27" s="65" t="s">
        <v>50</v>
      </c>
      <c r="L27" s="66">
        <f>K9</f>
        <v>28.864444444444448</v>
      </c>
      <c r="M27" s="65" t="s">
        <v>78</v>
      </c>
      <c r="O27" s="125" t="s">
        <v>9</v>
      </c>
      <c r="P27" s="10">
        <f>G9</f>
        <v>28.546666666666667</v>
      </c>
      <c r="Q27" s="125" t="s">
        <v>131</v>
      </c>
      <c r="R27" s="56">
        <f t="shared" si="4"/>
        <v>28.820769111800018</v>
      </c>
    </row>
    <row r="28" spans="2:18" x14ac:dyDescent="0.25">
      <c r="K28" s="65" t="s">
        <v>51</v>
      </c>
      <c r="L28" s="66">
        <f>L9</f>
        <v>28.776666666666667</v>
      </c>
      <c r="M28" s="65" t="s">
        <v>78</v>
      </c>
      <c r="O28" s="125" t="s">
        <v>10</v>
      </c>
      <c r="P28" s="10">
        <f t="shared" si="3"/>
        <v>28.189999999999998</v>
      </c>
      <c r="Q28" s="125" t="s">
        <v>102</v>
      </c>
      <c r="R28" s="56">
        <f t="shared" si="4"/>
        <v>28.464102445133349</v>
      </c>
    </row>
    <row r="29" spans="2:18" ht="15.75" x14ac:dyDescent="0.25">
      <c r="K29" s="64" t="s">
        <v>74</v>
      </c>
      <c r="L29" s="215" t="s">
        <v>78</v>
      </c>
      <c r="M29" s="216"/>
      <c r="O29" s="125" t="s">
        <v>11</v>
      </c>
      <c r="P29" s="10">
        <f t="shared" si="3"/>
        <v>28.349999999999998</v>
      </c>
      <c r="Q29" s="125" t="s">
        <v>130</v>
      </c>
      <c r="R29" s="56">
        <f t="shared" si="4"/>
        <v>28.624102445133346</v>
      </c>
    </row>
    <row r="30" spans="2:18" x14ac:dyDescent="0.25">
      <c r="O30" s="125" t="s">
        <v>12</v>
      </c>
      <c r="P30" s="10">
        <f t="shared" si="3"/>
        <v>28.353333333333335</v>
      </c>
      <c r="Q30" s="125" t="s">
        <v>130</v>
      </c>
      <c r="R30" s="56">
        <f t="shared" si="4"/>
        <v>28.627435778466683</v>
      </c>
    </row>
    <row r="31" spans="2:18" ht="15.75" x14ac:dyDescent="0.25">
      <c r="O31" s="95" t="s">
        <v>74</v>
      </c>
      <c r="P31" s="96">
        <f>P19</f>
        <v>0.2741024451333498</v>
      </c>
    </row>
  </sheetData>
  <mergeCells count="21">
    <mergeCell ref="F25:I26"/>
    <mergeCell ref="L25:M25"/>
    <mergeCell ref="L29:M29"/>
    <mergeCell ref="N8:N9"/>
    <mergeCell ref="B2:B3"/>
    <mergeCell ref="C2:E2"/>
    <mergeCell ref="F2:F3"/>
    <mergeCell ref="G2:G3"/>
    <mergeCell ref="I2:N2"/>
    <mergeCell ref="I3:I4"/>
    <mergeCell ref="J3:L3"/>
    <mergeCell ref="M3:M4"/>
    <mergeCell ref="N3:N4"/>
    <mergeCell ref="B17:I17"/>
    <mergeCell ref="G18:H18"/>
    <mergeCell ref="B18:B19"/>
    <mergeCell ref="C18:C19"/>
    <mergeCell ref="D18:D19"/>
    <mergeCell ref="E18:E19"/>
    <mergeCell ref="F18:F19"/>
    <mergeCell ref="I18:I1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ORLEP WARNA</vt:lpstr>
      <vt:lpstr>ORLEP RASA</vt:lpstr>
      <vt:lpstr>ORLEP TEKSTUR</vt:lpstr>
      <vt:lpstr>ORLEP AROMA</vt:lpstr>
      <vt:lpstr>Kadar Air</vt:lpstr>
      <vt:lpstr>Kadar Abu</vt:lpstr>
      <vt:lpstr>pH</vt:lpstr>
      <vt:lpstr>Tekstur</vt:lpstr>
      <vt:lpstr>WARNA L</vt:lpstr>
      <vt:lpstr>WARNA A</vt:lpstr>
      <vt:lpstr>WARNA B</vt:lpstr>
      <vt:lpstr>ANTIOKSIDAN</vt:lpstr>
      <vt:lpstr>RAK ANTIOKSIDAN</vt:lpstr>
      <vt:lpstr>Perlakuan Terbaik</vt:lpstr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2024-02-02T23:08:46Z</dcterms:created>
  <dcterms:modified xsi:type="dcterms:W3CDTF">2024-05-30T02:32:12Z</dcterms:modified>
</cp:coreProperties>
</file>