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4355" windowHeight="4185" firstSheet="6" activeTab="11"/>
  </bookViews>
  <sheets>
    <sheet name="RAK KADAR AIR" sheetId="1" r:id="rId1"/>
    <sheet name=" RAK TEKSTUR" sheetId="2" r:id="rId2"/>
    <sheet name="RAK ANTIOKSIDAN" sheetId="16" r:id="rId3"/>
    <sheet name="RAK WARNA L" sheetId="4" r:id="rId4"/>
    <sheet name="RAK WARNA A" sheetId="5" r:id="rId5"/>
    <sheet name="RAK WARNA B" sheetId="6" r:id="rId6"/>
    <sheet name="RAK GULA REDUKSI" sheetId="15" r:id="rId7"/>
    <sheet name="ORLEP WARNA " sheetId="8" r:id="rId8"/>
    <sheet name="ORLEP AROMA" sheetId="10" r:id="rId9"/>
    <sheet name="ORLEP RASA" sheetId="9" r:id="rId10"/>
    <sheet name="ORLEP TEKSTUR" sheetId="11" r:id="rId11"/>
    <sheet name="PERLAKUAN TERAIK" sheetId="12" r:id="rId12"/>
  </sheets>
  <calcPr calcId="144525"/>
</workbook>
</file>

<file path=xl/calcChain.xml><?xml version="1.0" encoding="utf-8"?>
<calcChain xmlns="http://schemas.openxmlformats.org/spreadsheetml/2006/main">
  <c r="Q17" i="16" l="1"/>
  <c r="D23" i="12" l="1"/>
  <c r="K22" i="12"/>
  <c r="J22" i="12"/>
  <c r="I22" i="12"/>
  <c r="H22" i="12"/>
  <c r="G22" i="12"/>
  <c r="F22" i="12"/>
  <c r="E22" i="12"/>
  <c r="D22" i="12"/>
  <c r="N6" i="12"/>
  <c r="G23" i="12" l="1"/>
  <c r="F23" i="12"/>
  <c r="M21" i="16" l="1"/>
  <c r="R21" i="16"/>
  <c r="R18" i="16"/>
  <c r="K6" i="1" l="1"/>
  <c r="K7" i="1"/>
  <c r="K8" i="1"/>
  <c r="K9" i="1"/>
  <c r="M26" i="1" s="1"/>
  <c r="J7" i="1"/>
  <c r="L7" i="1"/>
  <c r="M7" i="1"/>
  <c r="N7" i="1"/>
  <c r="L9" i="1"/>
  <c r="Q7" i="6" l="1"/>
  <c r="Q8" i="6"/>
  <c r="Q7" i="15"/>
  <c r="Q8" i="5"/>
  <c r="Q8" i="4"/>
  <c r="Q8" i="16"/>
  <c r="Q8" i="15"/>
  <c r="S17" i="16" l="1"/>
  <c r="L17" i="16"/>
  <c r="R30" i="16"/>
  <c r="F33" i="12" l="1"/>
  <c r="F25" i="12"/>
  <c r="F32" i="12"/>
  <c r="Q7" i="16"/>
  <c r="M18" i="16"/>
  <c r="D22" i="15" l="1"/>
  <c r="D25" i="15"/>
  <c r="D19" i="15"/>
  <c r="M9" i="12" l="1"/>
  <c r="L9" i="12"/>
  <c r="M8" i="12"/>
  <c r="L8" i="12"/>
  <c r="L6" i="12"/>
  <c r="P43" i="15" l="1"/>
  <c r="P42" i="15"/>
  <c r="P41" i="15"/>
  <c r="P40" i="15"/>
  <c r="P39" i="15"/>
  <c r="P38" i="15"/>
  <c r="P37" i="15"/>
  <c r="P36" i="15"/>
  <c r="P35" i="15"/>
  <c r="M44" i="15"/>
  <c r="N43" i="15"/>
  <c r="N42" i="15"/>
  <c r="N41" i="15"/>
  <c r="N40" i="15"/>
  <c r="N39" i="15"/>
  <c r="N38" i="15"/>
  <c r="N37" i="15"/>
  <c r="N36" i="15"/>
  <c r="N35" i="15"/>
  <c r="M43" i="15"/>
  <c r="M42" i="15"/>
  <c r="M41" i="15"/>
  <c r="M40" i="15"/>
  <c r="M39" i="15"/>
  <c r="M38" i="15"/>
  <c r="M37" i="15"/>
  <c r="M36" i="15"/>
  <c r="M35" i="15"/>
  <c r="L31" i="15"/>
  <c r="M32" i="15"/>
  <c r="N31" i="15"/>
  <c r="S29" i="16"/>
  <c r="S28" i="16"/>
  <c r="S27" i="16"/>
  <c r="S25" i="16"/>
  <c r="S24" i="16"/>
  <c r="S23" i="16"/>
  <c r="S22" i="16"/>
  <c r="S21" i="16"/>
  <c r="F10" i="16" l="1"/>
  <c r="F9" i="16"/>
  <c r="S26" i="16" s="1"/>
  <c r="F6" i="16"/>
  <c r="F7" i="16"/>
  <c r="F5" i="16"/>
  <c r="F12" i="16"/>
  <c r="F11" i="16"/>
  <c r="O27" i="2" l="1"/>
  <c r="O26" i="2"/>
  <c r="O25" i="2"/>
  <c r="O23" i="2"/>
  <c r="O22" i="2"/>
  <c r="O21" i="2"/>
  <c r="M28" i="2"/>
  <c r="G30" i="12" l="1"/>
  <c r="N8" i="12"/>
  <c r="N7" i="12"/>
  <c r="N9" i="12"/>
  <c r="N10" i="12"/>
  <c r="N11" i="12"/>
  <c r="N12" i="12"/>
  <c r="N13" i="12"/>
  <c r="N14" i="12"/>
  <c r="N15" i="12"/>
  <c r="N16" i="12"/>
  <c r="M6" i="12" l="1"/>
  <c r="E25" i="12" l="1"/>
  <c r="C33" i="12"/>
  <c r="E27" i="12" l="1"/>
  <c r="C36" i="11" l="1"/>
  <c r="O21" i="11" l="1"/>
  <c r="W21" i="11"/>
  <c r="V21" i="11"/>
  <c r="U21" i="11"/>
  <c r="T21" i="11"/>
  <c r="S21" i="11"/>
  <c r="R21" i="11"/>
  <c r="Q21" i="11"/>
  <c r="P21" i="11"/>
  <c r="W20" i="11"/>
  <c r="S20" i="11"/>
  <c r="R20" i="11"/>
  <c r="Q20" i="11"/>
  <c r="P20" i="11"/>
  <c r="O20" i="11"/>
  <c r="V20" i="11"/>
  <c r="U20" i="11"/>
  <c r="T20" i="11"/>
  <c r="V19" i="11"/>
  <c r="U19" i="11"/>
  <c r="R19" i="11"/>
  <c r="Q19" i="11"/>
  <c r="O19" i="11"/>
  <c r="W19" i="11"/>
  <c r="T19" i="11"/>
  <c r="S19" i="11"/>
  <c r="P19" i="11"/>
  <c r="V18" i="11"/>
  <c r="R18" i="11"/>
  <c r="O18" i="11"/>
  <c r="W18" i="11"/>
  <c r="T18" i="11"/>
  <c r="S18" i="11"/>
  <c r="P18" i="11"/>
  <c r="U18" i="11"/>
  <c r="Q18" i="11"/>
  <c r="W17" i="11"/>
  <c r="V17" i="11"/>
  <c r="U17" i="11"/>
  <c r="T17" i="11"/>
  <c r="S17" i="11"/>
  <c r="R17" i="11"/>
  <c r="Q17" i="11"/>
  <c r="P17" i="11"/>
  <c r="O17" i="11"/>
  <c r="V16" i="11"/>
  <c r="R16" i="11"/>
  <c r="W16" i="11"/>
  <c r="O16" i="11"/>
  <c r="U16" i="11"/>
  <c r="T16" i="11"/>
  <c r="S16" i="11"/>
  <c r="Q16" i="11"/>
  <c r="P16" i="11"/>
  <c r="W15" i="11"/>
  <c r="U15" i="11"/>
  <c r="S15" i="11"/>
  <c r="Q15" i="11"/>
  <c r="P15" i="11"/>
  <c r="V15" i="11"/>
  <c r="T15" i="11"/>
  <c r="R15" i="11"/>
  <c r="O15" i="11"/>
  <c r="U14" i="11"/>
  <c r="T14" i="11"/>
  <c r="W14" i="11"/>
  <c r="V14" i="11"/>
  <c r="R14" i="11"/>
  <c r="P14" i="11"/>
  <c r="O14" i="11"/>
  <c r="S14" i="11"/>
  <c r="Q14" i="11"/>
  <c r="R13" i="11"/>
  <c r="W13" i="11"/>
  <c r="V13" i="11"/>
  <c r="U13" i="11"/>
  <c r="T13" i="11"/>
  <c r="S13" i="11"/>
  <c r="Q13" i="11"/>
  <c r="P13" i="11"/>
  <c r="O13" i="11"/>
  <c r="T12" i="11"/>
  <c r="O12" i="11"/>
  <c r="V12" i="11"/>
  <c r="R12" i="11"/>
  <c r="W12" i="11"/>
  <c r="U12" i="11"/>
  <c r="Q12" i="11"/>
  <c r="S12" i="11"/>
  <c r="P12" i="11"/>
  <c r="O11" i="11"/>
  <c r="W11" i="11"/>
  <c r="S11" i="11"/>
  <c r="U11" i="11"/>
  <c r="R11" i="11"/>
  <c r="P11" i="11"/>
  <c r="T11" i="11"/>
  <c r="V11" i="11"/>
  <c r="Q11" i="11"/>
  <c r="V10" i="11"/>
  <c r="W10" i="11"/>
  <c r="U10" i="11"/>
  <c r="O10" i="11"/>
  <c r="T10" i="11"/>
  <c r="S10" i="11"/>
  <c r="R10" i="11"/>
  <c r="Q10" i="11"/>
  <c r="P10" i="11"/>
  <c r="V9" i="11"/>
  <c r="O9" i="11"/>
  <c r="U9" i="11"/>
  <c r="T9" i="11"/>
  <c r="W9" i="11"/>
  <c r="S9" i="11"/>
  <c r="R9" i="11"/>
  <c r="Q9" i="11"/>
  <c r="P9" i="11"/>
  <c r="U8" i="11"/>
  <c r="P8" i="11"/>
  <c r="W8" i="11"/>
  <c r="V8" i="11"/>
  <c r="R8" i="11"/>
  <c r="Q8" i="11"/>
  <c r="O8" i="11"/>
  <c r="S8" i="11"/>
  <c r="T8" i="11"/>
  <c r="V7" i="11"/>
  <c r="S7" i="11"/>
  <c r="Q7" i="11"/>
  <c r="P7" i="11"/>
  <c r="U7" i="11"/>
  <c r="R7" i="11"/>
  <c r="T7" i="11"/>
  <c r="O7" i="11"/>
  <c r="W7" i="11"/>
  <c r="I20" i="10" l="1"/>
  <c r="W19" i="9" l="1"/>
  <c r="V19" i="9"/>
  <c r="U19" i="9"/>
  <c r="T19" i="9"/>
  <c r="S19" i="9"/>
  <c r="R19" i="9"/>
  <c r="Q19" i="9"/>
  <c r="P19" i="9"/>
  <c r="O19" i="9"/>
  <c r="S18" i="9"/>
  <c r="R18" i="9"/>
  <c r="U18" i="9"/>
  <c r="T18" i="9"/>
  <c r="Q18" i="9"/>
  <c r="P18" i="9"/>
  <c r="O18" i="9"/>
  <c r="W18" i="9"/>
  <c r="V18" i="9"/>
  <c r="P17" i="9"/>
  <c r="W17" i="9"/>
  <c r="V17" i="9"/>
  <c r="U17" i="9"/>
  <c r="T17" i="9"/>
  <c r="S17" i="9"/>
  <c r="R17" i="9"/>
  <c r="Q17" i="9"/>
  <c r="O17" i="9"/>
  <c r="P15" i="9"/>
  <c r="W15" i="9"/>
  <c r="S14" i="9"/>
  <c r="W16" i="9"/>
  <c r="V16" i="9"/>
  <c r="U16" i="9"/>
  <c r="T16" i="9"/>
  <c r="S16" i="9"/>
  <c r="R16" i="9"/>
  <c r="Q16" i="9"/>
  <c r="P16" i="9"/>
  <c r="O16" i="9"/>
  <c r="V15" i="9"/>
  <c r="U15" i="9"/>
  <c r="S15" i="9"/>
  <c r="R15" i="9"/>
  <c r="Q15" i="9"/>
  <c r="O15" i="9"/>
  <c r="T15" i="9"/>
  <c r="Q14" i="9"/>
  <c r="P14" i="9"/>
  <c r="O14" i="9"/>
  <c r="W14" i="9"/>
  <c r="V14" i="9"/>
  <c r="T14" i="9"/>
  <c r="R14" i="9"/>
  <c r="U14" i="9"/>
  <c r="W13" i="9"/>
  <c r="V13" i="9"/>
  <c r="U13" i="9"/>
  <c r="S13" i="9"/>
  <c r="P13" i="9"/>
  <c r="O13" i="9"/>
  <c r="T13" i="9"/>
  <c r="R13" i="9"/>
  <c r="Q13" i="9"/>
  <c r="V12" i="9"/>
  <c r="U12" i="9"/>
  <c r="T12" i="9"/>
  <c r="S12" i="9"/>
  <c r="R12" i="9"/>
  <c r="Q12" i="9"/>
  <c r="P12" i="9"/>
  <c r="O12" i="9"/>
  <c r="W12" i="9"/>
  <c r="U11" i="9"/>
  <c r="T11" i="9"/>
  <c r="S11" i="9"/>
  <c r="R11" i="9"/>
  <c r="Q11" i="9"/>
  <c r="P11" i="9"/>
  <c r="O11" i="9"/>
  <c r="W11" i="9"/>
  <c r="V11" i="9"/>
  <c r="O10" i="9"/>
  <c r="V10" i="9"/>
  <c r="Q10" i="9"/>
  <c r="P10" i="9"/>
  <c r="S10" i="9"/>
  <c r="R10" i="9"/>
  <c r="T10" i="9"/>
  <c r="W10" i="9"/>
  <c r="U10" i="9"/>
  <c r="T9" i="9"/>
  <c r="Q9" i="9"/>
  <c r="P9" i="9"/>
  <c r="O9" i="9"/>
  <c r="W9" i="9"/>
  <c r="V9" i="9"/>
  <c r="U9" i="9"/>
  <c r="S9" i="9"/>
  <c r="R9" i="9"/>
  <c r="T8" i="9"/>
  <c r="O8" i="9"/>
  <c r="V8" i="9"/>
  <c r="R8" i="9"/>
  <c r="Q8" i="9"/>
  <c r="P8" i="9"/>
  <c r="S8" i="9"/>
  <c r="W8" i="9"/>
  <c r="U8" i="9"/>
  <c r="P7" i="9"/>
  <c r="U7" i="9"/>
  <c r="Q7" i="9"/>
  <c r="T7" i="9"/>
  <c r="S7" i="9"/>
  <c r="R7" i="9"/>
  <c r="O7" i="9"/>
  <c r="V7" i="9"/>
  <c r="W7" i="9"/>
  <c r="R6" i="9"/>
  <c r="W19" i="10"/>
  <c r="V19" i="10"/>
  <c r="U19" i="10"/>
  <c r="T19" i="10"/>
  <c r="S19" i="10"/>
  <c r="R19" i="10"/>
  <c r="Q19" i="10"/>
  <c r="P19" i="10"/>
  <c r="O19" i="10"/>
  <c r="W18" i="10"/>
  <c r="V18" i="10"/>
  <c r="U18" i="10"/>
  <c r="T18" i="10"/>
  <c r="S18" i="10"/>
  <c r="R18" i="10"/>
  <c r="Q18" i="10"/>
  <c r="P18" i="10"/>
  <c r="O18" i="10"/>
  <c r="W17" i="10"/>
  <c r="V17" i="10"/>
  <c r="U17" i="10"/>
  <c r="T17" i="10"/>
  <c r="S17" i="10"/>
  <c r="R17" i="10"/>
  <c r="Q17" i="10"/>
  <c r="P17" i="10"/>
  <c r="O17" i="10"/>
  <c r="W16" i="10"/>
  <c r="V16" i="10"/>
  <c r="U16" i="10"/>
  <c r="T16" i="10"/>
  <c r="S16" i="10"/>
  <c r="R16" i="10"/>
  <c r="Q16" i="10"/>
  <c r="P16" i="10"/>
  <c r="O16" i="10"/>
  <c r="W15" i="10"/>
  <c r="V15" i="10"/>
  <c r="U15" i="10"/>
  <c r="T15" i="10"/>
  <c r="S15" i="10"/>
  <c r="R15" i="10"/>
  <c r="Q15" i="10"/>
  <c r="P15" i="10"/>
  <c r="O15" i="10"/>
  <c r="W14" i="10"/>
  <c r="V14" i="10"/>
  <c r="U14" i="10"/>
  <c r="T14" i="10"/>
  <c r="S14" i="10"/>
  <c r="R14" i="10"/>
  <c r="Q14" i="10"/>
  <c r="P14" i="10"/>
  <c r="O14" i="10"/>
  <c r="W13" i="10"/>
  <c r="V13" i="10"/>
  <c r="U13" i="10"/>
  <c r="T13" i="10"/>
  <c r="S13" i="10"/>
  <c r="R13" i="10"/>
  <c r="Q13" i="10"/>
  <c r="P13" i="10"/>
  <c r="O13" i="10"/>
  <c r="W12" i="10"/>
  <c r="V12" i="10"/>
  <c r="U12" i="10"/>
  <c r="T12" i="10"/>
  <c r="S12" i="10"/>
  <c r="R12" i="10"/>
  <c r="Q12" i="10"/>
  <c r="P12" i="10"/>
  <c r="O12" i="10"/>
  <c r="W11" i="10"/>
  <c r="V11" i="10"/>
  <c r="U11" i="10"/>
  <c r="T11" i="10"/>
  <c r="S11" i="10"/>
  <c r="R11" i="10"/>
  <c r="Q11" i="10"/>
  <c r="P11" i="10"/>
  <c r="O11" i="10"/>
  <c r="W10" i="10"/>
  <c r="V10" i="10"/>
  <c r="U10" i="10"/>
  <c r="T10" i="10"/>
  <c r="S10" i="10"/>
  <c r="R10" i="10"/>
  <c r="Q10" i="10"/>
  <c r="P10" i="10"/>
  <c r="O10" i="10"/>
  <c r="W9" i="10"/>
  <c r="V9" i="10"/>
  <c r="U9" i="10"/>
  <c r="T9" i="10"/>
  <c r="S9" i="10"/>
  <c r="R9" i="10"/>
  <c r="Q9" i="10"/>
  <c r="P9" i="10"/>
  <c r="O9" i="10"/>
  <c r="W8" i="10"/>
  <c r="V8" i="10"/>
  <c r="U8" i="10"/>
  <c r="T8" i="10"/>
  <c r="S8" i="10"/>
  <c r="R8" i="10"/>
  <c r="Q8" i="10"/>
  <c r="P8" i="10"/>
  <c r="O8" i="10"/>
  <c r="W7" i="10"/>
  <c r="V7" i="10"/>
  <c r="U7" i="10"/>
  <c r="T7" i="10"/>
  <c r="S7" i="10"/>
  <c r="R7" i="10"/>
  <c r="Q7" i="10"/>
  <c r="P7" i="10"/>
  <c r="O7" i="10"/>
  <c r="W6" i="10"/>
  <c r="V6" i="10"/>
  <c r="U6" i="10"/>
  <c r="T6" i="10"/>
  <c r="S6" i="10"/>
  <c r="R6" i="10"/>
  <c r="Q6" i="10"/>
  <c r="O6" i="10"/>
  <c r="W5" i="10"/>
  <c r="V5" i="10"/>
  <c r="U5" i="10"/>
  <c r="T5" i="10"/>
  <c r="S5" i="10"/>
  <c r="R5" i="10"/>
  <c r="Q5" i="10"/>
  <c r="P5" i="10"/>
  <c r="O5" i="10"/>
  <c r="W19" i="8"/>
  <c r="V19" i="8"/>
  <c r="U19" i="8"/>
  <c r="T19" i="8"/>
  <c r="S19" i="8"/>
  <c r="R19" i="8"/>
  <c r="Q19" i="8"/>
  <c r="P19" i="8"/>
  <c r="O19" i="8"/>
  <c r="W18" i="8"/>
  <c r="V18" i="8"/>
  <c r="U18" i="8"/>
  <c r="T18" i="8"/>
  <c r="S18" i="8"/>
  <c r="R18" i="8"/>
  <c r="Q18" i="8"/>
  <c r="P18" i="8"/>
  <c r="O18" i="8"/>
  <c r="W17" i="8"/>
  <c r="V17" i="8"/>
  <c r="U17" i="8"/>
  <c r="T17" i="8"/>
  <c r="S17" i="8"/>
  <c r="R17" i="8"/>
  <c r="Q17" i="8"/>
  <c r="P17" i="8"/>
  <c r="O17" i="8"/>
  <c r="W16" i="8"/>
  <c r="V16" i="8"/>
  <c r="U16" i="8"/>
  <c r="T16" i="8"/>
  <c r="S16" i="8"/>
  <c r="R16" i="8"/>
  <c r="Q16" i="8"/>
  <c r="P16" i="8"/>
  <c r="O16" i="8"/>
  <c r="W15" i="8"/>
  <c r="V15" i="8"/>
  <c r="U15" i="8"/>
  <c r="T15" i="8"/>
  <c r="S15" i="8"/>
  <c r="R15" i="8"/>
  <c r="Q15" i="8"/>
  <c r="P15" i="8"/>
  <c r="O15" i="8"/>
  <c r="W14" i="8"/>
  <c r="V14" i="8"/>
  <c r="U14" i="8"/>
  <c r="T14" i="8"/>
  <c r="S14" i="8"/>
  <c r="R14" i="8"/>
  <c r="Q14" i="8"/>
  <c r="P14" i="8"/>
  <c r="O14" i="8"/>
  <c r="W13" i="8"/>
  <c r="V13" i="8"/>
  <c r="U13" i="8"/>
  <c r="T13" i="8"/>
  <c r="S13" i="8"/>
  <c r="R13" i="8"/>
  <c r="Q13" i="8"/>
  <c r="P13" i="8"/>
  <c r="O13" i="8"/>
  <c r="W12" i="8"/>
  <c r="V12" i="8"/>
  <c r="U12" i="8"/>
  <c r="T12" i="8"/>
  <c r="S12" i="8"/>
  <c r="R12" i="8"/>
  <c r="Q12" i="8"/>
  <c r="P12" i="8"/>
  <c r="O12" i="8"/>
  <c r="W11" i="8"/>
  <c r="V11" i="8"/>
  <c r="U11" i="8"/>
  <c r="T11" i="8"/>
  <c r="S11" i="8"/>
  <c r="R11" i="8"/>
  <c r="Q11" i="8"/>
  <c r="P11" i="8"/>
  <c r="O11" i="8"/>
  <c r="W10" i="8"/>
  <c r="V10" i="8"/>
  <c r="U10" i="8"/>
  <c r="T10" i="8"/>
  <c r="S10" i="8"/>
  <c r="R10" i="8"/>
  <c r="Q10" i="8"/>
  <c r="P10" i="8"/>
  <c r="O10" i="8"/>
  <c r="W9" i="8"/>
  <c r="V9" i="8"/>
  <c r="U9" i="8"/>
  <c r="T9" i="8"/>
  <c r="S9" i="8"/>
  <c r="R9" i="8"/>
  <c r="Q9" i="8"/>
  <c r="P9" i="8"/>
  <c r="O9" i="8"/>
  <c r="W8" i="8"/>
  <c r="V8" i="8"/>
  <c r="U8" i="8"/>
  <c r="T8" i="8"/>
  <c r="S8" i="8"/>
  <c r="R8" i="8"/>
  <c r="Q8" i="8"/>
  <c r="P8" i="8"/>
  <c r="O8" i="8"/>
  <c r="W7" i="8"/>
  <c r="V7" i="8"/>
  <c r="U7" i="8"/>
  <c r="T7" i="8"/>
  <c r="S7" i="8"/>
  <c r="R7" i="8"/>
  <c r="Q7" i="8"/>
  <c r="P7" i="8"/>
  <c r="O7" i="8"/>
  <c r="W6" i="8"/>
  <c r="V6" i="8"/>
  <c r="U6" i="8"/>
  <c r="T6" i="8"/>
  <c r="S6" i="8"/>
  <c r="R6" i="8"/>
  <c r="Q6" i="8"/>
  <c r="P6" i="8"/>
  <c r="O6" i="8"/>
  <c r="W5" i="8"/>
  <c r="V5" i="8"/>
  <c r="U5" i="8"/>
  <c r="T5" i="8"/>
  <c r="S5" i="8"/>
  <c r="R5" i="8"/>
  <c r="Q5" i="8"/>
  <c r="P5" i="8"/>
  <c r="O5" i="8"/>
  <c r="U6" i="9" l="1"/>
  <c r="Q6" i="9"/>
  <c r="O6" i="9"/>
  <c r="W6" i="9"/>
  <c r="T6" i="9"/>
  <c r="V6" i="9"/>
  <c r="S6" i="9"/>
  <c r="P6" i="9"/>
  <c r="W5" i="9" l="1"/>
  <c r="V5" i="9"/>
  <c r="S5" i="9"/>
  <c r="S20" i="9" s="1"/>
  <c r="R5" i="9"/>
  <c r="Q5" i="9"/>
  <c r="U5" i="9"/>
  <c r="T5" i="9"/>
  <c r="P5" i="9"/>
  <c r="O5" i="9"/>
  <c r="L8" i="9"/>
  <c r="J20" i="9"/>
  <c r="K19" i="9"/>
  <c r="U21" i="9"/>
  <c r="X15" i="9"/>
  <c r="X11" i="10" l="1"/>
  <c r="L13" i="10"/>
  <c r="J20" i="10"/>
  <c r="I19" i="10"/>
  <c r="Q21" i="10"/>
  <c r="P20" i="10"/>
  <c r="L5" i="10" l="1"/>
  <c r="L6" i="10"/>
  <c r="X7" i="10"/>
  <c r="X6" i="10"/>
  <c r="X5" i="10"/>
  <c r="E19" i="10"/>
  <c r="G20" i="10"/>
  <c r="E26" i="12" l="1"/>
  <c r="M26" i="12"/>
  <c r="D17" i="12"/>
  <c r="E17" i="12"/>
  <c r="F17" i="12"/>
  <c r="G17" i="12"/>
  <c r="H17" i="12"/>
  <c r="I17" i="12"/>
  <c r="J17" i="12"/>
  <c r="K17" i="12"/>
  <c r="C17" i="12"/>
  <c r="D32" i="12" l="1"/>
  <c r="M31" i="12"/>
  <c r="D31" i="12"/>
  <c r="D30" i="12"/>
  <c r="D29" i="12"/>
  <c r="D28" i="12"/>
  <c r="Q27" i="12"/>
  <c r="D27" i="12"/>
  <c r="F27" i="12" s="1"/>
  <c r="D26" i="12"/>
  <c r="N26" i="12" s="1"/>
  <c r="D25" i="12"/>
  <c r="D24" i="12"/>
  <c r="U32" i="12"/>
  <c r="S31" i="12"/>
  <c r="U29" i="12"/>
  <c r="U28" i="12"/>
  <c r="S27" i="12"/>
  <c r="U25" i="12"/>
  <c r="V25" i="12" s="1"/>
  <c r="U24" i="12"/>
  <c r="I23" i="12"/>
  <c r="J23" i="12" s="1"/>
  <c r="S22" i="12"/>
  <c r="V32" i="12" l="1"/>
  <c r="N31" i="12"/>
  <c r="T31" i="12"/>
  <c r="V29" i="12"/>
  <c r="V28" i="12"/>
  <c r="R27" i="12"/>
  <c r="T27" i="12"/>
  <c r="T22" i="12"/>
  <c r="S25" i="12"/>
  <c r="T25" i="12" s="1"/>
  <c r="G27" i="12"/>
  <c r="U27" i="12"/>
  <c r="V27" i="12" s="1"/>
  <c r="Q31" i="12"/>
  <c r="R31" i="12" s="1"/>
  <c r="E23" i="12"/>
  <c r="G25" i="12"/>
  <c r="H25" i="12" s="1"/>
  <c r="I27" i="12"/>
  <c r="J27" i="12" s="1"/>
  <c r="E31" i="12"/>
  <c r="F31" i="12" s="1"/>
  <c r="U31" i="12"/>
  <c r="V31" i="12" s="1"/>
  <c r="O25" i="12"/>
  <c r="P25" i="12" s="1"/>
  <c r="V24" i="12"/>
  <c r="M23" i="12"/>
  <c r="N23" i="12" s="1"/>
  <c r="K25" i="12"/>
  <c r="L25" i="12" s="1"/>
  <c r="H27" i="12"/>
  <c r="M27" i="12"/>
  <c r="N27" i="12" s="1"/>
  <c r="I31" i="12"/>
  <c r="J31" i="12" s="1"/>
  <c r="S26" i="12"/>
  <c r="T26" i="12" s="1"/>
  <c r="O26" i="12"/>
  <c r="P26" i="12" s="1"/>
  <c r="K26" i="12"/>
  <c r="L26" i="12" s="1"/>
  <c r="G26" i="12"/>
  <c r="H26" i="12" s="1"/>
  <c r="U26" i="12"/>
  <c r="V26" i="12" s="1"/>
  <c r="Q26" i="12"/>
  <c r="R26" i="12" s="1"/>
  <c r="I26" i="12"/>
  <c r="J26" i="12" s="1"/>
  <c r="F26" i="12"/>
  <c r="S30" i="12"/>
  <c r="T30" i="12" s="1"/>
  <c r="O30" i="12"/>
  <c r="P30" i="12" s="1"/>
  <c r="K30" i="12"/>
  <c r="L30" i="12" s="1"/>
  <c r="H30" i="12"/>
  <c r="U30" i="12"/>
  <c r="V30" i="12" s="1"/>
  <c r="Q30" i="12"/>
  <c r="R30" i="12" s="1"/>
  <c r="M30" i="12"/>
  <c r="N30" i="12" s="1"/>
  <c r="I30" i="12"/>
  <c r="J30" i="12" s="1"/>
  <c r="E30" i="12"/>
  <c r="F30" i="12" s="1"/>
  <c r="S23" i="12"/>
  <c r="T23" i="12" s="1"/>
  <c r="O23" i="12"/>
  <c r="P23" i="12" s="1"/>
  <c r="K23" i="12"/>
  <c r="L23" i="12" s="1"/>
  <c r="H23" i="12"/>
  <c r="U23" i="12"/>
  <c r="V23" i="12" s="1"/>
  <c r="Q23" i="12"/>
  <c r="R23" i="12" s="1"/>
  <c r="G29" i="12"/>
  <c r="H29" i="12" s="1"/>
  <c r="K29" i="12"/>
  <c r="L29" i="12" s="1"/>
  <c r="O29" i="12"/>
  <c r="P29" i="12" s="1"/>
  <c r="S29" i="12"/>
  <c r="T29" i="12" s="1"/>
  <c r="M22" i="12"/>
  <c r="N22" i="12" s="1"/>
  <c r="Q22" i="12"/>
  <c r="R22" i="12" s="1"/>
  <c r="U22" i="12"/>
  <c r="V22" i="12" s="1"/>
  <c r="G24" i="12"/>
  <c r="H24" i="12" s="1"/>
  <c r="K24" i="12"/>
  <c r="L24" i="12" s="1"/>
  <c r="O24" i="12"/>
  <c r="P24" i="12" s="1"/>
  <c r="S24" i="12"/>
  <c r="T24" i="12" s="1"/>
  <c r="G28" i="12"/>
  <c r="H28" i="12" s="1"/>
  <c r="K28" i="12"/>
  <c r="L28" i="12" s="1"/>
  <c r="O28" i="12"/>
  <c r="P28" i="12" s="1"/>
  <c r="S28" i="12"/>
  <c r="T28" i="12" s="1"/>
  <c r="G32" i="12"/>
  <c r="H32" i="12" s="1"/>
  <c r="K32" i="12"/>
  <c r="L32" i="12" s="1"/>
  <c r="O32" i="12"/>
  <c r="P32" i="12" s="1"/>
  <c r="S32" i="12"/>
  <c r="T32" i="12" s="1"/>
  <c r="I25" i="12"/>
  <c r="J25" i="12" s="1"/>
  <c r="M25" i="12"/>
  <c r="N25" i="12" s="1"/>
  <c r="Q25" i="12"/>
  <c r="R25" i="12" s="1"/>
  <c r="K27" i="12"/>
  <c r="L27" i="12" s="1"/>
  <c r="O27" i="12"/>
  <c r="P27" i="12" s="1"/>
  <c r="E29" i="12"/>
  <c r="F29" i="12" s="1"/>
  <c r="I29" i="12"/>
  <c r="J29" i="12" s="1"/>
  <c r="M29" i="12"/>
  <c r="N29" i="12" s="1"/>
  <c r="Q29" i="12"/>
  <c r="R29" i="12" s="1"/>
  <c r="G31" i="12"/>
  <c r="H31" i="12" s="1"/>
  <c r="K31" i="12"/>
  <c r="L31" i="12" s="1"/>
  <c r="O31" i="12"/>
  <c r="P31" i="12" s="1"/>
  <c r="L22" i="12"/>
  <c r="O22" i="12"/>
  <c r="P22" i="12" s="1"/>
  <c r="E24" i="12"/>
  <c r="F24" i="12" s="1"/>
  <c r="I24" i="12"/>
  <c r="J24" i="12" s="1"/>
  <c r="M24" i="12"/>
  <c r="N24" i="12" s="1"/>
  <c r="Q24" i="12"/>
  <c r="R24" i="12" s="1"/>
  <c r="E28" i="12"/>
  <c r="F28" i="12" s="1"/>
  <c r="I28" i="12"/>
  <c r="J28" i="12" s="1"/>
  <c r="M28" i="12"/>
  <c r="N28" i="12" s="1"/>
  <c r="Q28" i="12"/>
  <c r="R28" i="12" s="1"/>
  <c r="E32" i="12"/>
  <c r="I32" i="12"/>
  <c r="J32" i="12" s="1"/>
  <c r="M32" i="12"/>
  <c r="N32" i="12" s="1"/>
  <c r="Q32" i="12"/>
  <c r="R32" i="12" s="1"/>
  <c r="P33" i="12" l="1"/>
  <c r="V33" i="12"/>
  <c r="T33" i="12"/>
  <c r="L33" i="12"/>
  <c r="H33" i="12"/>
  <c r="N33" i="12"/>
  <c r="R33" i="12"/>
  <c r="J33" i="12"/>
  <c r="D19" i="10" l="1"/>
  <c r="C20" i="10"/>
  <c r="K22" i="11"/>
  <c r="J22" i="11"/>
  <c r="I22" i="11"/>
  <c r="H22" i="11"/>
  <c r="G22" i="11"/>
  <c r="F22" i="11"/>
  <c r="E22" i="11"/>
  <c r="D22" i="11"/>
  <c r="C22" i="11"/>
  <c r="X21" i="11"/>
  <c r="K21" i="11"/>
  <c r="J21" i="11"/>
  <c r="I21" i="11"/>
  <c r="H21" i="11"/>
  <c r="G21" i="11"/>
  <c r="F21" i="11"/>
  <c r="E21" i="11"/>
  <c r="D21" i="11"/>
  <c r="C21" i="11"/>
  <c r="X20" i="11"/>
  <c r="L20" i="11"/>
  <c r="X19" i="11"/>
  <c r="L19" i="11"/>
  <c r="X18" i="11"/>
  <c r="L18" i="11"/>
  <c r="X17" i="11"/>
  <c r="L17" i="11"/>
  <c r="X16" i="11"/>
  <c r="L16" i="11"/>
  <c r="X15" i="11"/>
  <c r="L15" i="11"/>
  <c r="X14" i="11"/>
  <c r="L14" i="11"/>
  <c r="X13" i="11"/>
  <c r="L13" i="11"/>
  <c r="X12" i="11"/>
  <c r="L12" i="11"/>
  <c r="X11" i="11"/>
  <c r="L11" i="11"/>
  <c r="X10" i="11"/>
  <c r="L10" i="11"/>
  <c r="X9" i="11"/>
  <c r="T22" i="11"/>
  <c r="P22" i="11"/>
  <c r="L9" i="11"/>
  <c r="X8" i="11"/>
  <c r="L8" i="11"/>
  <c r="W22" i="11"/>
  <c r="V23" i="11"/>
  <c r="U23" i="11"/>
  <c r="Q23" i="11"/>
  <c r="L7" i="11"/>
  <c r="L6" i="11"/>
  <c r="C34" i="10"/>
  <c r="K20" i="10"/>
  <c r="H20" i="10"/>
  <c r="F20" i="10"/>
  <c r="E20" i="10"/>
  <c r="D20" i="10"/>
  <c r="X19" i="10"/>
  <c r="K19" i="10"/>
  <c r="J19" i="10"/>
  <c r="H19" i="10"/>
  <c r="G19" i="10"/>
  <c r="F19" i="10"/>
  <c r="C19" i="10"/>
  <c r="L18" i="10"/>
  <c r="X17" i="10"/>
  <c r="L17" i="10"/>
  <c r="L16" i="10"/>
  <c r="X15" i="10"/>
  <c r="L15" i="10"/>
  <c r="L14" i="10"/>
  <c r="X13" i="10"/>
  <c r="L12" i="10"/>
  <c r="L11" i="10"/>
  <c r="L10" i="10"/>
  <c r="X9" i="10"/>
  <c r="L9" i="10"/>
  <c r="L8" i="10"/>
  <c r="L7" i="10"/>
  <c r="W20" i="10"/>
  <c r="V20" i="10"/>
  <c r="R20" i="10"/>
  <c r="L4" i="10"/>
  <c r="L18" i="9"/>
  <c r="L16" i="9"/>
  <c r="D20" i="9"/>
  <c r="E20" i="9"/>
  <c r="F20" i="9"/>
  <c r="G20" i="9"/>
  <c r="H20" i="9"/>
  <c r="I20" i="9"/>
  <c r="K20" i="9"/>
  <c r="C20" i="9"/>
  <c r="D19" i="9"/>
  <c r="E19" i="9"/>
  <c r="F19" i="9"/>
  <c r="G19" i="9"/>
  <c r="H19" i="9"/>
  <c r="I19" i="9"/>
  <c r="J19" i="9"/>
  <c r="C19" i="9"/>
  <c r="C34" i="9"/>
  <c r="L17" i="9"/>
  <c r="L15" i="9"/>
  <c r="L14" i="9"/>
  <c r="L13" i="9"/>
  <c r="L12" i="9"/>
  <c r="L11" i="9"/>
  <c r="L10" i="9"/>
  <c r="L9" i="9"/>
  <c r="L7" i="9"/>
  <c r="L6" i="9"/>
  <c r="L5" i="9"/>
  <c r="L4" i="9"/>
  <c r="C25" i="6"/>
  <c r="C22" i="6"/>
  <c r="C23" i="6" s="1"/>
  <c r="C21" i="6"/>
  <c r="C20" i="6"/>
  <c r="C19" i="6"/>
  <c r="C24" i="6" s="1"/>
  <c r="H21" i="6" s="1"/>
  <c r="E13" i="6"/>
  <c r="D13" i="6"/>
  <c r="C13" i="6"/>
  <c r="G12" i="6"/>
  <c r="F12" i="6"/>
  <c r="G11" i="6"/>
  <c r="F11" i="6"/>
  <c r="K7" i="6" s="1"/>
  <c r="M7" i="6" s="1"/>
  <c r="N7" i="6" s="1"/>
  <c r="M23" i="6" s="1"/>
  <c r="G10" i="6"/>
  <c r="F10" i="6"/>
  <c r="G9" i="6"/>
  <c r="F9" i="6"/>
  <c r="G8" i="6"/>
  <c r="F8" i="6"/>
  <c r="L7" i="6"/>
  <c r="J7" i="6"/>
  <c r="G7" i="6"/>
  <c r="F7" i="6"/>
  <c r="J6" i="6" s="1"/>
  <c r="M6" i="6" s="1"/>
  <c r="N6" i="6" s="1"/>
  <c r="M22" i="6" s="1"/>
  <c r="L6" i="6"/>
  <c r="K6" i="6"/>
  <c r="G6" i="6"/>
  <c r="F6" i="6"/>
  <c r="L5" i="6" s="1"/>
  <c r="L8" i="6" s="1"/>
  <c r="L9" i="6" s="1"/>
  <c r="M27" i="6" s="1"/>
  <c r="K5" i="6"/>
  <c r="K8" i="6" s="1"/>
  <c r="K9" i="6" s="1"/>
  <c r="M26" i="6" s="1"/>
  <c r="G5" i="6"/>
  <c r="F5" i="6"/>
  <c r="G4" i="6"/>
  <c r="G13" i="6" s="1"/>
  <c r="F4" i="6"/>
  <c r="F13" i="6" s="1"/>
  <c r="C25" i="5"/>
  <c r="C22" i="5"/>
  <c r="C21" i="5"/>
  <c r="C20" i="5"/>
  <c r="C19" i="5"/>
  <c r="E13" i="5"/>
  <c r="D13" i="5"/>
  <c r="C13" i="5"/>
  <c r="G12" i="5"/>
  <c r="F12" i="5"/>
  <c r="L7" i="5" s="1"/>
  <c r="G11" i="5"/>
  <c r="F11" i="5"/>
  <c r="G10" i="5"/>
  <c r="F10" i="5"/>
  <c r="J7" i="5" s="1"/>
  <c r="M7" i="5" s="1"/>
  <c r="N7" i="5" s="1"/>
  <c r="G9" i="5"/>
  <c r="F9" i="5"/>
  <c r="G8" i="5"/>
  <c r="F8" i="5"/>
  <c r="K6" i="5" s="1"/>
  <c r="K7" i="5"/>
  <c r="G7" i="5"/>
  <c r="F7" i="5"/>
  <c r="J6" i="5" s="1"/>
  <c r="M6" i="5" s="1"/>
  <c r="N6" i="5" s="1"/>
  <c r="L6" i="5"/>
  <c r="G6" i="5"/>
  <c r="F6" i="5"/>
  <c r="L5" i="5" s="1"/>
  <c r="L8" i="5" s="1"/>
  <c r="L9" i="5" s="1"/>
  <c r="K5" i="5"/>
  <c r="G5" i="5"/>
  <c r="F5" i="5"/>
  <c r="G4" i="5"/>
  <c r="G13" i="5" s="1"/>
  <c r="F4" i="5"/>
  <c r="C25" i="4"/>
  <c r="C23" i="4"/>
  <c r="C22" i="4"/>
  <c r="C21" i="4"/>
  <c r="C20" i="4"/>
  <c r="C19" i="4"/>
  <c r="C24" i="4" s="1"/>
  <c r="H21" i="4" s="1"/>
  <c r="E13" i="4"/>
  <c r="D13" i="4"/>
  <c r="C13" i="4"/>
  <c r="G12" i="4"/>
  <c r="F12" i="4"/>
  <c r="G11" i="4"/>
  <c r="F11" i="4"/>
  <c r="K7" i="4" s="1"/>
  <c r="G10" i="4"/>
  <c r="F10" i="4"/>
  <c r="G9" i="4"/>
  <c r="F9" i="4"/>
  <c r="L6" i="4" s="1"/>
  <c r="G8" i="4"/>
  <c r="F8" i="4"/>
  <c r="L7" i="4"/>
  <c r="J7" i="4"/>
  <c r="G7" i="4"/>
  <c r="F7" i="4"/>
  <c r="J6" i="4" s="1"/>
  <c r="K6" i="4"/>
  <c r="G6" i="4"/>
  <c r="F6" i="4"/>
  <c r="L5" i="4" s="1"/>
  <c r="G5" i="4"/>
  <c r="F5" i="4"/>
  <c r="K5" i="4" s="1"/>
  <c r="G4" i="4"/>
  <c r="F4" i="4"/>
  <c r="C25" i="16"/>
  <c r="C22" i="16"/>
  <c r="C21" i="16"/>
  <c r="C20" i="16"/>
  <c r="C19" i="16"/>
  <c r="E13" i="16"/>
  <c r="D13" i="16"/>
  <c r="C13" i="16"/>
  <c r="G12" i="16"/>
  <c r="R29" i="16" s="1"/>
  <c r="L7" i="16"/>
  <c r="G11" i="16"/>
  <c r="R28" i="16" s="1"/>
  <c r="K7" i="16"/>
  <c r="G10" i="16"/>
  <c r="R27" i="16" s="1"/>
  <c r="J7" i="16"/>
  <c r="G9" i="16"/>
  <c r="R26" i="16" s="1"/>
  <c r="L6" i="16"/>
  <c r="G8" i="16"/>
  <c r="R25" i="16" s="1"/>
  <c r="F8" i="16"/>
  <c r="K6" i="16" s="1"/>
  <c r="G7" i="16"/>
  <c r="R24" i="16" s="1"/>
  <c r="J6" i="16"/>
  <c r="G6" i="16"/>
  <c r="R23" i="16" s="1"/>
  <c r="L5" i="16"/>
  <c r="G5" i="16"/>
  <c r="R22" i="16" s="1"/>
  <c r="K5" i="16"/>
  <c r="G4" i="16"/>
  <c r="F4" i="16"/>
  <c r="C25" i="15"/>
  <c r="C22" i="15"/>
  <c r="C21" i="15"/>
  <c r="C23" i="15" s="1"/>
  <c r="C20" i="15"/>
  <c r="C19" i="15"/>
  <c r="C24" i="15" s="1"/>
  <c r="E13" i="15"/>
  <c r="D13" i="15"/>
  <c r="C13" i="15"/>
  <c r="G12" i="15"/>
  <c r="F12" i="15"/>
  <c r="L7" i="15" s="1"/>
  <c r="G11" i="15"/>
  <c r="F11" i="15"/>
  <c r="G10" i="15"/>
  <c r="F10" i="15"/>
  <c r="J7" i="15" s="1"/>
  <c r="M7" i="15" s="1"/>
  <c r="N7" i="15" s="1"/>
  <c r="M23" i="15" s="1"/>
  <c r="G9" i="15"/>
  <c r="F9" i="15"/>
  <c r="G8" i="15"/>
  <c r="F8" i="15"/>
  <c r="K6" i="15" s="1"/>
  <c r="K7" i="15"/>
  <c r="G7" i="15"/>
  <c r="F7" i="15"/>
  <c r="J6" i="15" s="1"/>
  <c r="L6" i="15"/>
  <c r="G6" i="15"/>
  <c r="F6" i="15"/>
  <c r="L5" i="15" s="1"/>
  <c r="G5" i="15"/>
  <c r="F5" i="15"/>
  <c r="K5" i="15" s="1"/>
  <c r="K8" i="15" s="1"/>
  <c r="K9" i="15" s="1"/>
  <c r="M26" i="15" s="1"/>
  <c r="G4" i="15"/>
  <c r="F4" i="15"/>
  <c r="H19" i="5" l="1"/>
  <c r="C24" i="5"/>
  <c r="F13" i="5"/>
  <c r="Q7" i="5" s="1"/>
  <c r="K8" i="5"/>
  <c r="K9" i="5" s="1"/>
  <c r="C23" i="5"/>
  <c r="M7" i="4"/>
  <c r="N7" i="4" s="1"/>
  <c r="F13" i="4"/>
  <c r="Q7" i="4" s="1"/>
  <c r="G13" i="4"/>
  <c r="L8" i="4"/>
  <c r="L9" i="4" s="1"/>
  <c r="M6" i="4"/>
  <c r="N6" i="4" s="1"/>
  <c r="G13" i="15"/>
  <c r="M6" i="15"/>
  <c r="N6" i="15" s="1"/>
  <c r="M22" i="15" s="1"/>
  <c r="F13" i="15"/>
  <c r="L8" i="15"/>
  <c r="L9" i="15" s="1"/>
  <c r="M27" i="15" s="1"/>
  <c r="C24" i="16"/>
  <c r="H23" i="16" s="1"/>
  <c r="C23" i="16"/>
  <c r="H19" i="16"/>
  <c r="M7" i="16"/>
  <c r="N7" i="16" s="1"/>
  <c r="M23" i="16" s="1"/>
  <c r="L8" i="16"/>
  <c r="L9" i="16" s="1"/>
  <c r="M27" i="16" s="1"/>
  <c r="M6" i="16"/>
  <c r="N6" i="16" s="1"/>
  <c r="M22" i="16" s="1"/>
  <c r="F13" i="16"/>
  <c r="D20" i="16" s="1"/>
  <c r="K8" i="16"/>
  <c r="G13" i="16"/>
  <c r="L21" i="11"/>
  <c r="P20" i="9"/>
  <c r="T20" i="9"/>
  <c r="X7" i="9"/>
  <c r="X11" i="9"/>
  <c r="L19" i="9"/>
  <c r="O20" i="9"/>
  <c r="X8" i="9"/>
  <c r="X19" i="9"/>
  <c r="R20" i="9"/>
  <c r="X17" i="9"/>
  <c r="X16" i="9"/>
  <c r="Q21" i="9"/>
  <c r="X6" i="9"/>
  <c r="X10" i="9"/>
  <c r="X12" i="9"/>
  <c r="X14" i="9"/>
  <c r="W20" i="9"/>
  <c r="X9" i="9"/>
  <c r="X13" i="9"/>
  <c r="X18" i="9"/>
  <c r="O21" i="9"/>
  <c r="X8" i="10"/>
  <c r="X10" i="10"/>
  <c r="X12" i="10"/>
  <c r="X14" i="10"/>
  <c r="X16" i="10"/>
  <c r="X18" i="10"/>
  <c r="O20" i="10"/>
  <c r="L19" i="10"/>
  <c r="U21" i="10"/>
  <c r="O21" i="10"/>
  <c r="R23" i="11"/>
  <c r="Q22" i="11"/>
  <c r="U22" i="11"/>
  <c r="O23" i="11"/>
  <c r="S23" i="11"/>
  <c r="W23" i="11"/>
  <c r="X7" i="11"/>
  <c r="X22" i="11" s="1"/>
  <c r="R22" i="11"/>
  <c r="V22" i="11"/>
  <c r="P23" i="11"/>
  <c r="T23" i="11"/>
  <c r="O22" i="11"/>
  <c r="S22" i="11"/>
  <c r="T20" i="10"/>
  <c r="R21" i="10"/>
  <c r="V21" i="10"/>
  <c r="Q20" i="10"/>
  <c r="U20" i="10"/>
  <c r="S21" i="10"/>
  <c r="W21" i="10"/>
  <c r="P21" i="10"/>
  <c r="T21" i="10"/>
  <c r="S20" i="10"/>
  <c r="Q20" i="9"/>
  <c r="U20" i="9"/>
  <c r="R21" i="9"/>
  <c r="V21" i="9"/>
  <c r="X5" i="9"/>
  <c r="V20" i="9"/>
  <c r="S21" i="9"/>
  <c r="W21" i="9"/>
  <c r="P21" i="9"/>
  <c r="T21" i="9"/>
  <c r="H20" i="6"/>
  <c r="D25" i="6"/>
  <c r="D19" i="6"/>
  <c r="E19" i="6" s="1"/>
  <c r="D20" i="6"/>
  <c r="G21" i="6"/>
  <c r="H23" i="6"/>
  <c r="G23" i="6"/>
  <c r="J5" i="6"/>
  <c r="G20" i="6"/>
  <c r="G22" i="6"/>
  <c r="G19" i="6"/>
  <c r="H22" i="6"/>
  <c r="H19" i="6"/>
  <c r="H22" i="5"/>
  <c r="H20" i="5"/>
  <c r="G20" i="5"/>
  <c r="D20" i="5"/>
  <c r="D25" i="5"/>
  <c r="D19" i="5"/>
  <c r="E19" i="5" s="1"/>
  <c r="H23" i="5"/>
  <c r="G23" i="5"/>
  <c r="G22" i="5"/>
  <c r="G19" i="5"/>
  <c r="G21" i="5"/>
  <c r="J5" i="5"/>
  <c r="H21" i="5"/>
  <c r="G23" i="4"/>
  <c r="D25" i="4"/>
  <c r="D19" i="4"/>
  <c r="E19" i="4" s="1"/>
  <c r="D20" i="4"/>
  <c r="K8" i="4"/>
  <c r="K9" i="4" s="1"/>
  <c r="G21" i="4"/>
  <c r="G20" i="4"/>
  <c r="H22" i="4"/>
  <c r="H19" i="4"/>
  <c r="G22" i="4"/>
  <c r="H23" i="4"/>
  <c r="J5" i="4"/>
  <c r="G19" i="4"/>
  <c r="H20" i="4"/>
  <c r="D19" i="16"/>
  <c r="E19" i="16" s="1"/>
  <c r="G23" i="16"/>
  <c r="H21" i="16"/>
  <c r="G21" i="16"/>
  <c r="J5" i="16"/>
  <c r="G19" i="16"/>
  <c r="E19" i="15"/>
  <c r="D20" i="15"/>
  <c r="H22" i="15"/>
  <c r="H20" i="15"/>
  <c r="G20" i="15"/>
  <c r="H23" i="15"/>
  <c r="G23" i="15"/>
  <c r="G22" i="15"/>
  <c r="G21" i="15"/>
  <c r="J5" i="15"/>
  <c r="H21" i="15"/>
  <c r="G19" i="15"/>
  <c r="H19" i="15"/>
  <c r="G22" i="16" l="1"/>
  <c r="G20" i="16"/>
  <c r="H20" i="16"/>
  <c r="H22" i="16"/>
  <c r="K9" i="16"/>
  <c r="M26" i="16" s="1"/>
  <c r="D25" i="16"/>
  <c r="E25" i="16" s="1"/>
  <c r="C33" i="10"/>
  <c r="X20" i="10"/>
  <c r="X20" i="9"/>
  <c r="C35" i="11"/>
  <c r="C33" i="9"/>
  <c r="M5" i="6"/>
  <c r="J8" i="6"/>
  <c r="F19" i="6"/>
  <c r="I19" i="6" s="1"/>
  <c r="D24" i="6"/>
  <c r="E24" i="6" s="1"/>
  <c r="L17" i="6" s="1"/>
  <c r="E25" i="6"/>
  <c r="E20" i="6"/>
  <c r="F20" i="6" s="1"/>
  <c r="I20" i="6" s="1"/>
  <c r="E25" i="5"/>
  <c r="D24" i="5"/>
  <c r="E24" i="5" s="1"/>
  <c r="E20" i="5"/>
  <c r="M5" i="5"/>
  <c r="J8" i="5"/>
  <c r="M5" i="4"/>
  <c r="J8" i="4"/>
  <c r="E20" i="4"/>
  <c r="E25" i="4"/>
  <c r="D24" i="4"/>
  <c r="E24" i="4" s="1"/>
  <c r="J8" i="16"/>
  <c r="D22" i="16" s="1"/>
  <c r="E22" i="16" s="1"/>
  <c r="M5" i="16"/>
  <c r="E20" i="16"/>
  <c r="E20" i="15"/>
  <c r="J8" i="15"/>
  <c r="M5" i="15"/>
  <c r="E25" i="15"/>
  <c r="D24" i="15"/>
  <c r="E24" i="15" s="1"/>
  <c r="L17" i="15" l="1"/>
  <c r="N17" i="15" s="1"/>
  <c r="F19" i="15"/>
  <c r="I19" i="15" s="1"/>
  <c r="D24" i="16"/>
  <c r="E24" i="16" s="1"/>
  <c r="J9" i="6"/>
  <c r="M25" i="6" s="1"/>
  <c r="D22" i="6"/>
  <c r="E22" i="6" s="1"/>
  <c r="F22" i="6" s="1"/>
  <c r="I22" i="6" s="1"/>
  <c r="M8" i="6"/>
  <c r="N5" i="6"/>
  <c r="M21" i="6" s="1"/>
  <c r="O21" i="6" s="1"/>
  <c r="D21" i="6"/>
  <c r="N17" i="6"/>
  <c r="M24" i="6"/>
  <c r="M18" i="6"/>
  <c r="N5" i="5"/>
  <c r="M8" i="5"/>
  <c r="D21" i="5"/>
  <c r="F20" i="5"/>
  <c r="I20" i="5" s="1"/>
  <c r="J9" i="5"/>
  <c r="D22" i="5"/>
  <c r="E22" i="5" s="1"/>
  <c r="F22" i="5" s="1"/>
  <c r="I22" i="5" s="1"/>
  <c r="F19" i="5"/>
  <c r="I19" i="5" s="1"/>
  <c r="J9" i="4"/>
  <c r="D22" i="4"/>
  <c r="E22" i="4" s="1"/>
  <c r="F22" i="4" s="1"/>
  <c r="I22" i="4" s="1"/>
  <c r="M8" i="4"/>
  <c r="N5" i="4"/>
  <c r="D21" i="4"/>
  <c r="F20" i="4"/>
  <c r="I20" i="4" s="1"/>
  <c r="F19" i="4"/>
  <c r="I19" i="4" s="1"/>
  <c r="M8" i="16"/>
  <c r="N5" i="16"/>
  <c r="D21" i="16"/>
  <c r="J9" i="16"/>
  <c r="M25" i="16" s="1"/>
  <c r="J9" i="15"/>
  <c r="E22" i="15"/>
  <c r="F22" i="15" s="1"/>
  <c r="I22" i="15" s="1"/>
  <c r="M8" i="15"/>
  <c r="N5" i="15"/>
  <c r="M21" i="15" s="1"/>
  <c r="D21" i="15"/>
  <c r="M28" i="15"/>
  <c r="F20" i="15"/>
  <c r="I20" i="15" s="1"/>
  <c r="M18" i="15" l="1"/>
  <c r="M24" i="15"/>
  <c r="O23" i="15" s="1"/>
  <c r="M25" i="15"/>
  <c r="O25" i="15" s="1"/>
  <c r="F22" i="16"/>
  <c r="I22" i="16" s="1"/>
  <c r="F19" i="16"/>
  <c r="I19" i="16" s="1"/>
  <c r="F20" i="16"/>
  <c r="I20" i="16" s="1"/>
  <c r="O23" i="6"/>
  <c r="O22" i="6"/>
  <c r="E21" i="6"/>
  <c r="F21" i="6" s="1"/>
  <c r="I21" i="6" s="1"/>
  <c r="D23" i="6"/>
  <c r="E23" i="6" s="1"/>
  <c r="F23" i="6" s="1"/>
  <c r="I23" i="6" s="1"/>
  <c r="E21" i="5"/>
  <c r="F21" i="5" s="1"/>
  <c r="I21" i="5" s="1"/>
  <c r="D23" i="5"/>
  <c r="E23" i="5" s="1"/>
  <c r="F23" i="5" s="1"/>
  <c r="I23" i="5" s="1"/>
  <c r="E21" i="4"/>
  <c r="F21" i="4" s="1"/>
  <c r="I21" i="4" s="1"/>
  <c r="D23" i="4"/>
  <c r="E23" i="4" s="1"/>
  <c r="F23" i="4" s="1"/>
  <c r="I23" i="4" s="1"/>
  <c r="E21" i="16"/>
  <c r="F21" i="16" s="1"/>
  <c r="I21" i="16" s="1"/>
  <c r="D23" i="16"/>
  <c r="E23" i="16" s="1"/>
  <c r="F23" i="16" s="1"/>
  <c r="I23" i="16" s="1"/>
  <c r="E21" i="15"/>
  <c r="F21" i="15" s="1"/>
  <c r="I21" i="15" s="1"/>
  <c r="D23" i="15"/>
  <c r="E23" i="15" s="1"/>
  <c r="F23" i="15" s="1"/>
  <c r="I23" i="15" s="1"/>
  <c r="O27" i="15"/>
  <c r="O26" i="15"/>
  <c r="O21" i="15"/>
  <c r="O22" i="15" l="1"/>
  <c r="U21" i="16"/>
  <c r="U23" i="16"/>
  <c r="U28" i="16"/>
  <c r="U25" i="16"/>
  <c r="U22" i="16"/>
  <c r="U27" i="16"/>
  <c r="U24" i="16"/>
  <c r="U29" i="16"/>
  <c r="U26" i="16"/>
  <c r="N17" i="16"/>
  <c r="M28" i="16"/>
  <c r="O26" i="16" s="1"/>
  <c r="M24" i="16"/>
  <c r="C20" i="1"/>
  <c r="O25" i="16" l="1"/>
  <c r="O27" i="16"/>
  <c r="O23" i="16"/>
  <c r="O22" i="16"/>
  <c r="O21" i="16"/>
  <c r="C25" i="2" l="1"/>
  <c r="C22" i="2"/>
  <c r="C21" i="2"/>
  <c r="C20" i="2"/>
  <c r="C19" i="2"/>
  <c r="E13" i="2"/>
  <c r="D13" i="2"/>
  <c r="C13" i="2"/>
  <c r="G12" i="2"/>
  <c r="F12" i="2"/>
  <c r="G11" i="2"/>
  <c r="F11" i="2"/>
  <c r="K7" i="2" s="1"/>
  <c r="G10" i="2"/>
  <c r="F10" i="2"/>
  <c r="J7" i="2" s="1"/>
  <c r="G9" i="2"/>
  <c r="F9" i="2"/>
  <c r="G8" i="2"/>
  <c r="F8" i="2"/>
  <c r="K6" i="2" s="1"/>
  <c r="L7" i="2"/>
  <c r="G7" i="2"/>
  <c r="F7" i="2"/>
  <c r="J6" i="2" s="1"/>
  <c r="L6" i="2"/>
  <c r="G6" i="2"/>
  <c r="F6" i="2"/>
  <c r="L5" i="2" s="1"/>
  <c r="G5" i="2"/>
  <c r="F5" i="2"/>
  <c r="K5" i="2" s="1"/>
  <c r="K8" i="2" s="1"/>
  <c r="K9" i="2" s="1"/>
  <c r="M26" i="2" s="1"/>
  <c r="G4" i="2"/>
  <c r="F4" i="2"/>
  <c r="F13" i="2" l="1"/>
  <c r="Q7" i="2" s="1"/>
  <c r="G13" i="2"/>
  <c r="M6" i="2"/>
  <c r="N6" i="2" s="1"/>
  <c r="M22" i="2" s="1"/>
  <c r="C23" i="2"/>
  <c r="L8" i="2"/>
  <c r="L9" i="2" s="1"/>
  <c r="M27" i="2" s="1"/>
  <c r="M7" i="2"/>
  <c r="N7" i="2" s="1"/>
  <c r="M23" i="2" s="1"/>
  <c r="D25" i="2"/>
  <c r="E25" i="2" s="1"/>
  <c r="D19" i="2"/>
  <c r="E19" i="2" s="1"/>
  <c r="D20" i="2"/>
  <c r="J5" i="2"/>
  <c r="C24" i="2"/>
  <c r="H21" i="2" s="1"/>
  <c r="H19" i="2" l="1"/>
  <c r="D24" i="2"/>
  <c r="E24" i="2" s="1"/>
  <c r="Q8" i="2" s="1"/>
  <c r="G21" i="2"/>
  <c r="G19" i="2"/>
  <c r="G22" i="2"/>
  <c r="H22" i="2"/>
  <c r="E20" i="2"/>
  <c r="G23" i="2"/>
  <c r="G20" i="2"/>
  <c r="M5" i="2"/>
  <c r="J8" i="2"/>
  <c r="H20" i="2"/>
  <c r="H23" i="2"/>
  <c r="L17" i="2" l="1"/>
  <c r="M18" i="2" s="1"/>
  <c r="F19" i="2"/>
  <c r="I19" i="2" s="1"/>
  <c r="F20" i="2"/>
  <c r="J9" i="2"/>
  <c r="M25" i="2" s="1"/>
  <c r="D22" i="2"/>
  <c r="E22" i="2" s="1"/>
  <c r="F22" i="2" s="1"/>
  <c r="I22" i="2" s="1"/>
  <c r="I20" i="2"/>
  <c r="M8" i="2"/>
  <c r="N5" i="2"/>
  <c r="M21" i="2" s="1"/>
  <c r="D21" i="2"/>
  <c r="N17" i="2"/>
  <c r="M24" i="2" l="1"/>
  <c r="E21" i="2"/>
  <c r="D23" i="2"/>
  <c r="E23" i="2" s="1"/>
  <c r="F23" i="2" s="1"/>
  <c r="I23" i="2" s="1"/>
  <c r="F21" i="2" l="1"/>
  <c r="I21" i="2" s="1"/>
  <c r="K21" i="8" l="1"/>
  <c r="E20" i="8"/>
  <c r="F20" i="8"/>
  <c r="G20" i="8"/>
  <c r="H20" i="8"/>
  <c r="I20" i="8"/>
  <c r="J20" i="8"/>
  <c r="K20" i="8"/>
  <c r="C20" i="8"/>
  <c r="D20" i="8"/>
  <c r="C21" i="8"/>
  <c r="D21" i="8"/>
  <c r="E21" i="8"/>
  <c r="F21" i="8"/>
  <c r="G21" i="8"/>
  <c r="H21" i="8"/>
  <c r="I21" i="8"/>
  <c r="J21" i="8"/>
  <c r="L7" i="8" l="1"/>
  <c r="AB11" i="8"/>
  <c r="L14" i="8"/>
  <c r="L9" i="8"/>
  <c r="L10" i="8"/>
  <c r="L11" i="8"/>
  <c r="L12" i="8"/>
  <c r="L13" i="8"/>
  <c r="L15" i="8"/>
  <c r="L16" i="8"/>
  <c r="L17" i="8"/>
  <c r="L18" i="8"/>
  <c r="L8" i="8"/>
  <c r="L4" i="8"/>
  <c r="L5" i="8"/>
  <c r="C34" i="8"/>
  <c r="L19" i="8"/>
  <c r="L6" i="8"/>
  <c r="C21" i="1"/>
  <c r="C19" i="1"/>
  <c r="AB10" i="8" l="1"/>
  <c r="AB7" i="8"/>
  <c r="AB12" i="8"/>
  <c r="AB8" i="8"/>
  <c r="AB6" i="8"/>
  <c r="AB4" i="8"/>
  <c r="AB5" i="8"/>
  <c r="AB9" i="8"/>
  <c r="X13" i="8"/>
  <c r="X8" i="8"/>
  <c r="X7" i="8"/>
  <c r="R21" i="8"/>
  <c r="O20" i="8"/>
  <c r="O21" i="8"/>
  <c r="X12" i="8"/>
  <c r="L20" i="8"/>
  <c r="P20" i="8"/>
  <c r="X6" i="8"/>
  <c r="W20" i="8"/>
  <c r="U20" i="8"/>
  <c r="X5" i="8"/>
  <c r="X16" i="8"/>
  <c r="W21" i="8"/>
  <c r="V21" i="8"/>
  <c r="U21" i="8"/>
  <c r="X19" i="8"/>
  <c r="X18" i="8"/>
  <c r="X17" i="8"/>
  <c r="X15" i="8"/>
  <c r="X14" i="8"/>
  <c r="T20" i="8"/>
  <c r="S21" i="8"/>
  <c r="Q20" i="8"/>
  <c r="X11" i="8"/>
  <c r="X10" i="8"/>
  <c r="X9" i="8"/>
  <c r="Q21" i="8"/>
  <c r="V20" i="8"/>
  <c r="R20" i="8"/>
  <c r="T21" i="8"/>
  <c r="S20" i="8"/>
  <c r="P21" i="8"/>
  <c r="C33" i="8" l="1"/>
  <c r="X20" i="8"/>
  <c r="C25" i="1" l="1"/>
  <c r="C22" i="1"/>
  <c r="E13" i="1"/>
  <c r="D13" i="1"/>
  <c r="C13" i="1"/>
  <c r="G12" i="1"/>
  <c r="F12" i="1"/>
  <c r="G11" i="1"/>
  <c r="F11" i="1"/>
  <c r="G10" i="1"/>
  <c r="F10" i="1"/>
  <c r="G9" i="1"/>
  <c r="F9" i="1"/>
  <c r="G8" i="1"/>
  <c r="F8" i="1"/>
  <c r="G7" i="1"/>
  <c r="F7" i="1"/>
  <c r="J6" i="1" s="1"/>
  <c r="L6" i="1"/>
  <c r="G6" i="1"/>
  <c r="F6" i="1"/>
  <c r="G5" i="1"/>
  <c r="F5" i="1"/>
  <c r="K5" i="1" s="1"/>
  <c r="G4" i="1"/>
  <c r="F4" i="1"/>
  <c r="G13" i="1" l="1"/>
  <c r="L5" i="1"/>
  <c r="L8" i="1" s="1"/>
  <c r="M27" i="1" s="1"/>
  <c r="M6" i="1"/>
  <c r="N6" i="1" s="1"/>
  <c r="M22" i="1" s="1"/>
  <c r="F13" i="1"/>
  <c r="Q7" i="1" s="1"/>
  <c r="D20" i="1" s="1"/>
  <c r="M23" i="1"/>
  <c r="C23" i="1"/>
  <c r="C24" i="1"/>
  <c r="H20" i="1" s="1"/>
  <c r="J5" i="1"/>
  <c r="D25" i="1" l="1"/>
  <c r="E25" i="1" s="1"/>
  <c r="D19" i="1"/>
  <c r="E19" i="1" s="1"/>
  <c r="H21" i="1"/>
  <c r="G21" i="1"/>
  <c r="J8" i="1"/>
  <c r="M5" i="1"/>
  <c r="E20" i="1"/>
  <c r="H23" i="1"/>
  <c r="G23" i="1"/>
  <c r="H22" i="1"/>
  <c r="H19" i="1"/>
  <c r="G19" i="1"/>
  <c r="G22" i="1"/>
  <c r="G20" i="1"/>
  <c r="D24" i="1" l="1"/>
  <c r="E24" i="1" s="1"/>
  <c r="Q8" i="1" s="1"/>
  <c r="J9" i="1"/>
  <c r="M25" i="1" s="1"/>
  <c r="D22" i="1"/>
  <c r="M8" i="1"/>
  <c r="N5" i="1"/>
  <c r="M21" i="1" s="1"/>
  <c r="D21" i="1"/>
  <c r="L17" i="1" l="1"/>
  <c r="F20" i="1"/>
  <c r="I20" i="1" s="1"/>
  <c r="F19" i="1"/>
  <c r="I19" i="1" s="1"/>
  <c r="E22" i="1"/>
  <c r="F22" i="1" s="1"/>
  <c r="I22" i="1" s="1"/>
  <c r="M28" i="1"/>
  <c r="E21" i="1"/>
  <c r="D23" i="1"/>
  <c r="E23" i="1" s="1"/>
  <c r="F23" i="1" s="1"/>
  <c r="I23" i="1" s="1"/>
  <c r="O27" i="1" l="1"/>
  <c r="O26" i="1"/>
  <c r="M18" i="1"/>
  <c r="M24" i="1"/>
  <c r="N17" i="1"/>
  <c r="O25" i="1"/>
  <c r="F21" i="1"/>
  <c r="I21" i="1" s="1"/>
  <c r="O23" i="1" l="1"/>
  <c r="O22" i="1"/>
  <c r="O21" i="1"/>
</calcChain>
</file>

<file path=xl/sharedStrings.xml><?xml version="1.0" encoding="utf-8"?>
<sst xmlns="http://schemas.openxmlformats.org/spreadsheetml/2006/main" count="776" uniqueCount="125">
  <si>
    <t>SAMPEL</t>
  </si>
  <si>
    <t>TOTAL</t>
  </si>
  <si>
    <t>RERATA</t>
  </si>
  <si>
    <t>TABEL 2 ARAH</t>
  </si>
  <si>
    <t>t (Perlakuan)</t>
  </si>
  <si>
    <t>PERLAKUAN</t>
  </si>
  <si>
    <t>FAKTOR T</t>
  </si>
  <si>
    <t>FAKTOR K</t>
  </si>
  <si>
    <t>r (Pengulangan)</t>
  </si>
  <si>
    <t>T1K1</t>
  </si>
  <si>
    <t>K1</t>
  </si>
  <si>
    <t>K2</t>
  </si>
  <si>
    <t>K3</t>
  </si>
  <si>
    <t xml:space="preserve">T </t>
  </si>
  <si>
    <t>T1K2</t>
  </si>
  <si>
    <t>T1</t>
  </si>
  <si>
    <t>K</t>
  </si>
  <si>
    <t>T1K3</t>
  </si>
  <si>
    <t>T2</t>
  </si>
  <si>
    <t>T2K1</t>
  </si>
  <si>
    <t>T3</t>
  </si>
  <si>
    <t>FK</t>
  </si>
  <si>
    <t>T2K2</t>
  </si>
  <si>
    <t>T2K3</t>
  </si>
  <si>
    <t>T3K1</t>
  </si>
  <si>
    <t>T3K2</t>
  </si>
  <si>
    <t>T3K3</t>
  </si>
  <si>
    <t>TABEL ANOVA RAK FAKTORIAL UJI KADAR AIR</t>
  </si>
  <si>
    <t>Akar KTG/t</t>
  </si>
  <si>
    <t>BNJ Tabel</t>
  </si>
  <si>
    <t>BNJ Hit</t>
  </si>
  <si>
    <t>SK</t>
  </si>
  <si>
    <t>DB</t>
  </si>
  <si>
    <t>JK</t>
  </si>
  <si>
    <t>KT</t>
  </si>
  <si>
    <t>F Hitung</t>
  </si>
  <si>
    <t>F Tab</t>
  </si>
  <si>
    <t>KET</t>
  </si>
  <si>
    <t>BNJ 5 %</t>
  </si>
  <si>
    <t>Kelompok</t>
  </si>
  <si>
    <t>Perlakuan</t>
  </si>
  <si>
    <t>Rerata</t>
  </si>
  <si>
    <t>Notasi</t>
  </si>
  <si>
    <t>T</t>
  </si>
  <si>
    <t>tn</t>
  </si>
  <si>
    <t>Berbeda Nyata</t>
  </si>
  <si>
    <t>T x K</t>
  </si>
  <si>
    <t>Galat</t>
  </si>
  <si>
    <t>Total</t>
  </si>
  <si>
    <t>KK</t>
  </si>
  <si>
    <t>Standar Devisiasi</t>
  </si>
  <si>
    <t>PANELIS</t>
  </si>
  <si>
    <t>RANK</t>
  </si>
  <si>
    <t>Rata-Rata</t>
  </si>
  <si>
    <t>T &gt; X2</t>
  </si>
  <si>
    <t>Tolak H0/Terima H1</t>
  </si>
  <si>
    <t>X2</t>
  </si>
  <si>
    <t>t</t>
  </si>
  <si>
    <t>r</t>
  </si>
  <si>
    <t>Perhitungan</t>
  </si>
  <si>
    <t>FAIZA</t>
  </si>
  <si>
    <t>(Nilai 2 diberi ranking 1-3, jumlahkan, lalu dibagi 3). (Nilai 4 diberi ranking 4-5, jumlahkan, lalu dibagi 2). (Nilai 5 diberi ranking 6-9, jumlahkan, lalu dibagi 4)</t>
  </si>
  <si>
    <t>HAPRIAN</t>
  </si>
  <si>
    <t>PUTRI</t>
  </si>
  <si>
    <t>KIKI</t>
  </si>
  <si>
    <t>FAHMI</t>
  </si>
  <si>
    <t>ALWIYAH</t>
  </si>
  <si>
    <t>SHOFFIE</t>
  </si>
  <si>
    <t>NANAG</t>
  </si>
  <si>
    <t>ERIN</t>
  </si>
  <si>
    <t>RIZAQ</t>
  </si>
  <si>
    <t>NANDA</t>
  </si>
  <si>
    <t>ATIK</t>
  </si>
  <si>
    <t>CICI</t>
  </si>
  <si>
    <t>AULIA</t>
  </si>
  <si>
    <t>VANDHA</t>
  </si>
  <si>
    <t>Kode Sampel</t>
  </si>
  <si>
    <t>Organoleptik Warna</t>
  </si>
  <si>
    <t>TABEL ANOVA RAK FAKTORIAL UJI TEKSTUR</t>
  </si>
  <si>
    <t>TABEL ANOVA RAK FAKTORIAL UJI GULA REDUKSI</t>
  </si>
  <si>
    <t>TABEL ANOVA RAK FAKTORIAL UJI ANTIOKSIDAN</t>
  </si>
  <si>
    <t>TABEL ANOVA RAK FAKTORIAL UJI WARNA L</t>
  </si>
  <si>
    <t>TABEL ANOVA RAK FAKTORIAL UJI WARNA A</t>
  </si>
  <si>
    <t>TABEL ANOVA RAK FAKTORIAL UJI WARNA B</t>
  </si>
  <si>
    <t>Organoleptik Rasa</t>
  </si>
  <si>
    <t>Organoleptik Aroma</t>
  </si>
  <si>
    <t>Organoleptik Tekstur</t>
  </si>
  <si>
    <t>Parameter</t>
  </si>
  <si>
    <t>Nilai Perlakuan</t>
  </si>
  <si>
    <t>Nilai Terbaik</t>
  </si>
  <si>
    <t>Nilai Terjelek</t>
  </si>
  <si>
    <t>Selisih</t>
  </si>
  <si>
    <t xml:space="preserve">Kelompok A </t>
  </si>
  <si>
    <t>Kelompok B</t>
  </si>
  <si>
    <t>Kadar air</t>
  </si>
  <si>
    <t>Kadar Air</t>
  </si>
  <si>
    <t xml:space="preserve">Tekstur </t>
  </si>
  <si>
    <t>Antioksidan</t>
  </si>
  <si>
    <t>Warna (b)</t>
  </si>
  <si>
    <t>Tekstur</t>
  </si>
  <si>
    <t>Warna L</t>
  </si>
  <si>
    <t>Organoleptik</t>
  </si>
  <si>
    <t>Warna (L)</t>
  </si>
  <si>
    <t>Warna (a)</t>
  </si>
  <si>
    <t>Bobot Parameter</t>
  </si>
  <si>
    <t>Bobot Normal</t>
  </si>
  <si>
    <t>Nilai Efektif</t>
  </si>
  <si>
    <t>Nilai Normal</t>
  </si>
  <si>
    <t>**</t>
  </si>
  <si>
    <t>Kesimpulan :</t>
  </si>
  <si>
    <t>Gula Reduksi</t>
  </si>
  <si>
    <t>25,16</t>
  </si>
  <si>
    <t>Sangat Berbeda Nyata</t>
  </si>
  <si>
    <t>ab</t>
  </si>
  <si>
    <t>a</t>
  </si>
  <si>
    <t>b</t>
  </si>
  <si>
    <t>Berbeda Sangat Nyata</t>
  </si>
  <si>
    <t>c</t>
  </si>
  <si>
    <t>Akar KTG/r</t>
  </si>
  <si>
    <t>bc</t>
  </si>
  <si>
    <r>
      <t xml:space="preserve">jadi, perlakuan terbaik pada Manisan Kering Kulit  Buah Semangka adalah dengan perlakuan T3K3 (Lama pengeringan 8 Jam </t>
    </r>
    <r>
      <rPr>
        <sz val="12"/>
        <color theme="1"/>
        <rFont val="Calibri"/>
        <family val="2"/>
      </rPr>
      <t>: Konsentrasi gula 90%</t>
    </r>
    <r>
      <rPr>
        <sz val="12"/>
        <color theme="1"/>
        <rFont val="Times New Roman"/>
        <family val="1"/>
      </rPr>
      <t xml:space="preserve">) </t>
    </r>
  </si>
  <si>
    <t xml:space="preserve">Ket: </t>
  </si>
  <si>
    <t>Kelompok A merupakan parameter yang jika makin tinggi reratanya makin baik</t>
  </si>
  <si>
    <t>Kelompok B merupakan parameter jika makin tinggi reratanya maka makin jelek</t>
  </si>
  <si>
    <t>Warna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</si>
</sst>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);\(0.00\)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</font>
    <font>
      <sz val="11"/>
      <color theme="1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AF9FE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58C7FE"/>
        <bgColor indexed="64"/>
      </patternFill>
    </fill>
    <fill>
      <patternFill patternType="solid">
        <fgColor rgb="FF82E0FE"/>
        <bgColor indexed="64"/>
      </patternFill>
    </fill>
    <fill>
      <patternFill patternType="solid">
        <fgColor rgb="FFD6F4FE"/>
        <bgColor indexed="64"/>
      </patternFill>
    </fill>
    <fill>
      <patternFill patternType="solid">
        <fgColor rgb="FFC7EFFD"/>
        <bgColor indexed="64"/>
      </patternFill>
    </fill>
    <fill>
      <patternFill patternType="solid">
        <fgColor rgb="FFB8E2FE"/>
        <bgColor indexed="64"/>
      </patternFill>
    </fill>
    <fill>
      <patternFill patternType="solid">
        <fgColor rgb="FFB5CEED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8CD1F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4">
    <xf numFmtId="0" fontId="0" fillId="0" borderId="0" xfId="0"/>
    <xf numFmtId="2" fontId="1" fillId="0" borderId="1" xfId="0" applyNumberFormat="1" applyFont="1" applyBorder="1"/>
    <xf numFmtId="0" fontId="0" fillId="0" borderId="0" xfId="0" applyAlignment="1">
      <alignment horizontal="center"/>
    </xf>
    <xf numFmtId="0" fontId="2" fillId="0" borderId="0" xfId="0" applyFont="1"/>
    <xf numFmtId="2" fontId="2" fillId="0" borderId="1" xfId="0" applyNumberFormat="1" applyFont="1" applyBorder="1" applyAlignment="1">
      <alignment horizontal="center" vertical="center"/>
    </xf>
    <xf numFmtId="2" fontId="2" fillId="6" borderId="1" xfId="0" applyNumberFormat="1" applyFont="1" applyFill="1" applyBorder="1"/>
    <xf numFmtId="2" fontId="2" fillId="6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/>
    <xf numFmtId="0" fontId="2" fillId="0" borderId="1" xfId="0" applyFont="1" applyBorder="1"/>
    <xf numFmtId="2" fontId="2" fillId="0" borderId="0" xfId="0" applyNumberFormat="1" applyFont="1"/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/>
    <xf numFmtId="0" fontId="2" fillId="9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2" fillId="9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2" fillId="12" borderId="1" xfId="0" applyNumberFormat="1" applyFont="1" applyFill="1" applyBorder="1"/>
    <xf numFmtId="2" fontId="2" fillId="12" borderId="1" xfId="0" applyNumberFormat="1" applyFont="1" applyFill="1" applyBorder="1" applyAlignment="1">
      <alignment horizontal="center" vertical="center"/>
    </xf>
    <xf numFmtId="2" fontId="2" fillId="10" borderId="1" xfId="0" applyNumberFormat="1" applyFont="1" applyFill="1" applyBorder="1" applyAlignment="1">
      <alignment horizontal="center" vertical="center"/>
    </xf>
    <xf numFmtId="2" fontId="2" fillId="11" borderId="1" xfId="0" applyNumberFormat="1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/>
    </xf>
    <xf numFmtId="2" fontId="2" fillId="13" borderId="1" xfId="0" applyNumberFormat="1" applyFont="1" applyFill="1" applyBorder="1"/>
    <xf numFmtId="2" fontId="2" fillId="13" borderId="1" xfId="0" applyNumberFormat="1" applyFont="1" applyFill="1" applyBorder="1" applyAlignment="1">
      <alignment horizontal="center" vertical="center"/>
    </xf>
    <xf numFmtId="2" fontId="2" fillId="14" borderId="1" xfId="0" applyNumberFormat="1" applyFont="1" applyFill="1" applyBorder="1" applyAlignment="1">
      <alignment horizontal="center" vertical="center"/>
    </xf>
    <xf numFmtId="0" fontId="2" fillId="14" borderId="1" xfId="0" applyFont="1" applyFill="1" applyBorder="1"/>
    <xf numFmtId="0" fontId="2" fillId="0" borderId="0" xfId="0" applyFont="1" applyFill="1"/>
    <xf numFmtId="2" fontId="2" fillId="16" borderId="1" xfId="0" applyNumberFormat="1" applyFont="1" applyFill="1" applyBorder="1"/>
    <xf numFmtId="0" fontId="2" fillId="16" borderId="2" xfId="0" applyFont="1" applyFill="1" applyBorder="1"/>
    <xf numFmtId="0" fontId="2" fillId="16" borderId="3" xfId="0" applyFont="1" applyFill="1" applyBorder="1"/>
    <xf numFmtId="0" fontId="2" fillId="16" borderId="2" xfId="0" applyFont="1" applyFill="1" applyBorder="1" applyAlignment="1">
      <alignment horizontal="center" vertical="center"/>
    </xf>
    <xf numFmtId="2" fontId="2" fillId="16" borderId="4" xfId="0" applyNumberFormat="1" applyFont="1" applyFill="1" applyBorder="1"/>
    <xf numFmtId="0" fontId="2" fillId="0" borderId="1" xfId="0" applyFont="1" applyBorder="1" applyAlignment="1">
      <alignment horizontal="center" vertical="center"/>
    </xf>
    <xf numFmtId="2" fontId="2" fillId="7" borderId="1" xfId="0" applyNumberFormat="1" applyFont="1" applyFill="1" applyBorder="1" applyAlignment="1">
      <alignment horizontal="center" vertical="center"/>
    </xf>
    <xf numFmtId="2" fontId="2" fillId="17" borderId="1" xfId="0" applyNumberFormat="1" applyFont="1" applyFill="1" applyBorder="1" applyAlignment="1">
      <alignment horizontal="center" vertical="center"/>
    </xf>
    <xf numFmtId="2" fontId="2" fillId="19" borderId="1" xfId="0" applyNumberFormat="1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7" xfId="0" applyFont="1" applyBorder="1"/>
    <xf numFmtId="0" fontId="2" fillId="0" borderId="7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9" xfId="0" applyFont="1" applyBorder="1" applyAlignment="1"/>
    <xf numFmtId="0" fontId="2" fillId="7" borderId="1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2" fontId="1" fillId="0" borderId="14" xfId="0" applyNumberFormat="1" applyFont="1" applyBorder="1"/>
    <xf numFmtId="0" fontId="2" fillId="0" borderId="15" xfId="0" applyFont="1" applyBorder="1"/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0" xfId="0" applyFont="1" applyBorder="1" applyAlignment="1">
      <alignment vertical="top" wrapText="1"/>
    </xf>
    <xf numFmtId="0" fontId="2" fillId="19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1" fillId="18" borderId="2" xfId="0" applyFont="1" applyFill="1" applyBorder="1"/>
    <xf numFmtId="0" fontId="1" fillId="18" borderId="3" xfId="0" applyFont="1" applyFill="1" applyBorder="1"/>
    <xf numFmtId="0" fontId="3" fillId="0" borderId="0" xfId="0" applyFont="1"/>
    <xf numFmtId="2" fontId="3" fillId="19" borderId="1" xfId="0" applyNumberFormat="1" applyFont="1" applyFill="1" applyBorder="1" applyAlignment="1">
      <alignment horizontal="center" vertical="center"/>
    </xf>
    <xf numFmtId="0" fontId="0" fillId="0" borderId="14" xfId="0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1" fillId="0" borderId="0" xfId="0" applyFont="1" applyBorder="1"/>
    <xf numFmtId="0" fontId="2" fillId="0" borderId="0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Border="1"/>
    <xf numFmtId="0" fontId="2" fillId="12" borderId="3" xfId="0" applyFont="1" applyFill="1" applyBorder="1"/>
    <xf numFmtId="2" fontId="1" fillId="0" borderId="0" xfId="0" applyNumberFormat="1" applyFont="1"/>
    <xf numFmtId="2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/>
    </xf>
    <xf numFmtId="2" fontId="2" fillId="15" borderId="1" xfId="0" applyNumberFormat="1" applyFont="1" applyFill="1" applyBorder="1"/>
    <xf numFmtId="2" fontId="2" fillId="21" borderId="1" xfId="0" applyNumberFormat="1" applyFont="1" applyFill="1" applyBorder="1" applyAlignment="1">
      <alignment horizontal="center" vertical="center"/>
    </xf>
    <xf numFmtId="2" fontId="2" fillId="22" borderId="1" xfId="0" applyNumberFormat="1" applyFont="1" applyFill="1" applyBorder="1" applyAlignment="1">
      <alignment horizontal="center" vertical="center"/>
    </xf>
    <xf numFmtId="2" fontId="2" fillId="23" borderId="1" xfId="0" applyNumberFormat="1" applyFont="1" applyFill="1" applyBorder="1" applyAlignment="1">
      <alignment horizontal="center" vertical="center"/>
    </xf>
    <xf numFmtId="2" fontId="2" fillId="24" borderId="1" xfId="0" applyNumberFormat="1" applyFont="1" applyFill="1" applyBorder="1" applyAlignment="1">
      <alignment horizontal="center" vertical="center"/>
    </xf>
    <xf numFmtId="0" fontId="2" fillId="2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18" borderId="2" xfId="0" applyFont="1" applyFill="1" applyBorder="1" applyAlignment="1">
      <alignment horizontal="center" vertical="center"/>
    </xf>
    <xf numFmtId="0" fontId="2" fillId="0" borderId="8" xfId="0" applyFont="1" applyBorder="1"/>
    <xf numFmtId="0" fontId="2" fillId="5" borderId="1" xfId="0" applyFont="1" applyFill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11" borderId="1" xfId="0" applyNumberFormat="1" applyFont="1" applyFill="1" applyBorder="1" applyAlignment="1">
      <alignment horizontal="center"/>
    </xf>
    <xf numFmtId="2" fontId="2" fillId="6" borderId="1" xfId="0" applyNumberFormat="1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2" fillId="18" borderId="2" xfId="0" applyFont="1" applyFill="1" applyBorder="1" applyAlignment="1">
      <alignment horizontal="center"/>
    </xf>
    <xf numFmtId="0" fontId="2" fillId="18" borderId="3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2" fontId="2" fillId="24" borderId="1" xfId="0" applyNumberFormat="1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16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left"/>
    </xf>
    <xf numFmtId="0" fontId="2" fillId="19" borderId="2" xfId="0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0" fillId="0" borderId="0" xfId="0"/>
    <xf numFmtId="0" fontId="1" fillId="0" borderId="0" xfId="0" applyFont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7" borderId="1" xfId="0" applyFont="1" applyFill="1" applyBorder="1"/>
    <xf numFmtId="0" fontId="2" fillId="10" borderId="1" xfId="0" applyFont="1" applyFill="1" applyBorder="1" applyAlignment="1">
      <alignment horizontal="center" vertical="center"/>
    </xf>
    <xf numFmtId="2" fontId="2" fillId="25" borderId="1" xfId="0" applyNumberFormat="1" applyFont="1" applyFill="1" applyBorder="1"/>
    <xf numFmtId="2" fontId="2" fillId="3" borderId="1" xfId="0" applyNumberFormat="1" applyFont="1" applyFill="1" applyBorder="1"/>
    <xf numFmtId="2" fontId="2" fillId="24" borderId="1" xfId="0" applyNumberFormat="1" applyFont="1" applyFill="1" applyBorder="1"/>
    <xf numFmtId="2" fontId="2" fillId="3" borderId="1" xfId="0" applyNumberFormat="1" applyFont="1" applyFill="1" applyBorder="1" applyAlignment="1">
      <alignment horizontal="center" vertical="center"/>
    </xf>
    <xf numFmtId="2" fontId="2" fillId="8" borderId="1" xfId="0" applyNumberFormat="1" applyFont="1" applyFill="1" applyBorder="1"/>
    <xf numFmtId="2" fontId="2" fillId="27" borderId="1" xfId="0" applyNumberFormat="1" applyFont="1" applyFill="1" applyBorder="1"/>
    <xf numFmtId="2" fontId="2" fillId="8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19" borderId="2" xfId="0" applyFont="1" applyFill="1" applyBorder="1"/>
    <xf numFmtId="0" fontId="2" fillId="19" borderId="3" xfId="0" applyFont="1" applyFill="1" applyBorder="1"/>
    <xf numFmtId="0" fontId="2" fillId="27" borderId="1" xfId="0" applyFont="1" applyFill="1" applyBorder="1" applyAlignment="1">
      <alignment horizontal="center" vertical="center"/>
    </xf>
    <xf numFmtId="2" fontId="2" fillId="27" borderId="1" xfId="0" applyNumberFormat="1" applyFont="1" applyFill="1" applyBorder="1" applyAlignment="1">
      <alignment horizontal="center" vertical="center"/>
    </xf>
    <xf numFmtId="2" fontId="2" fillId="25" borderId="1" xfId="0" applyNumberFormat="1" applyFont="1" applyFill="1" applyBorder="1" applyAlignment="1">
      <alignment horizontal="center" vertical="center"/>
    </xf>
    <xf numFmtId="2" fontId="2" fillId="15" borderId="1" xfId="0" applyNumberFormat="1" applyFont="1" applyFill="1" applyBorder="1" applyAlignment="1">
      <alignment horizontal="center" vertical="center"/>
    </xf>
    <xf numFmtId="2" fontId="2" fillId="26" borderId="1" xfId="0" applyNumberFormat="1" applyFont="1" applyFill="1" applyBorder="1" applyAlignment="1">
      <alignment horizontal="center" vertical="center"/>
    </xf>
    <xf numFmtId="2" fontId="2" fillId="16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/>
    <xf numFmtId="2" fontId="2" fillId="4" borderId="1" xfId="0" applyNumberFormat="1" applyFont="1" applyFill="1" applyBorder="1" applyAlignment="1">
      <alignment horizontal="center" vertical="center"/>
    </xf>
    <xf numFmtId="0" fontId="2" fillId="20" borderId="1" xfId="0" applyFont="1" applyFill="1" applyBorder="1" applyAlignment="1">
      <alignment horizontal="center" vertical="center"/>
    </xf>
    <xf numFmtId="0" fontId="2" fillId="26" borderId="1" xfId="0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/>
    </xf>
    <xf numFmtId="0" fontId="2" fillId="17" borderId="1" xfId="0" applyFont="1" applyFill="1" applyBorder="1" applyAlignment="1">
      <alignment horizontal="center" vertical="center"/>
    </xf>
    <xf numFmtId="0" fontId="2" fillId="26" borderId="1" xfId="0" applyFont="1" applyFill="1" applyBorder="1"/>
    <xf numFmtId="2" fontId="2" fillId="10" borderId="1" xfId="0" applyNumberFormat="1" applyFont="1" applyFill="1" applyBorder="1"/>
    <xf numFmtId="0" fontId="2" fillId="20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10" borderId="2" xfId="0" applyFont="1" applyFill="1" applyBorder="1"/>
    <xf numFmtId="0" fontId="2" fillId="11" borderId="2" xfId="0" applyFont="1" applyFill="1" applyBorder="1"/>
    <xf numFmtId="2" fontId="2" fillId="26" borderId="1" xfId="0" applyNumberFormat="1" applyFont="1" applyFill="1" applyBorder="1"/>
    <xf numFmtId="0" fontId="2" fillId="8" borderId="2" xfId="0" applyFont="1" applyFill="1" applyBorder="1" applyAlignment="1">
      <alignment horizontal="center" vertical="center"/>
    </xf>
    <xf numFmtId="0" fontId="2" fillId="8" borderId="2" xfId="0" applyFont="1" applyFill="1" applyBorder="1"/>
    <xf numFmtId="0" fontId="2" fillId="8" borderId="3" xfId="0" applyFont="1" applyFill="1" applyBorder="1"/>
    <xf numFmtId="2" fontId="2" fillId="11" borderId="4" xfId="0" applyNumberFormat="1" applyFont="1" applyFill="1" applyBorder="1"/>
    <xf numFmtId="0" fontId="2" fillId="11" borderId="3" xfId="0" applyFont="1" applyFill="1" applyBorder="1"/>
    <xf numFmtId="0" fontId="2" fillId="0" borderId="0" xfId="0" applyFont="1" applyBorder="1" applyAlignment="1"/>
    <xf numFmtId="0" fontId="0" fillId="0" borderId="15" xfId="0" applyBorder="1"/>
    <xf numFmtId="2" fontId="1" fillId="0" borderId="0" xfId="0" applyNumberFormat="1" applyFont="1" applyAlignment="1">
      <alignment horizontal="center"/>
    </xf>
    <xf numFmtId="0" fontId="2" fillId="26" borderId="1" xfId="0" applyFont="1" applyFill="1" applyBorder="1" applyAlignment="1">
      <alignment horizontal="center"/>
    </xf>
    <xf numFmtId="0" fontId="1" fillId="19" borderId="1" xfId="0" applyFont="1" applyFill="1" applyBorder="1"/>
    <xf numFmtId="0" fontId="1" fillId="8" borderId="1" xfId="0" applyFont="1" applyFill="1" applyBorder="1"/>
    <xf numFmtId="0" fontId="1" fillId="8" borderId="1" xfId="0" applyFont="1" applyFill="1" applyBorder="1" applyAlignment="1">
      <alignment horizontal="center"/>
    </xf>
    <xf numFmtId="2" fontId="1" fillId="8" borderId="1" xfId="0" applyNumberFormat="1" applyFont="1" applyFill="1" applyBorder="1" applyAlignment="1">
      <alignment horizontal="center"/>
    </xf>
    <xf numFmtId="0" fontId="0" fillId="0" borderId="11" xfId="0" applyBorder="1"/>
    <xf numFmtId="2" fontId="1" fillId="4" borderId="1" xfId="0" applyNumberFormat="1" applyFont="1" applyFill="1" applyBorder="1" applyAlignment="1">
      <alignment horizontal="center"/>
    </xf>
    <xf numFmtId="0" fontId="1" fillId="0" borderId="0" xfId="0" applyFont="1" applyBorder="1" applyAlignment="1"/>
    <xf numFmtId="0" fontId="1" fillId="0" borderId="11" xfId="0" applyFont="1" applyBorder="1" applyAlignment="1"/>
    <xf numFmtId="0" fontId="1" fillId="28" borderId="1" xfId="0" applyFont="1" applyFill="1" applyBorder="1" applyAlignment="1">
      <alignment horizontal="center" vertical="center"/>
    </xf>
    <xf numFmtId="2" fontId="1" fillId="28" borderId="1" xfId="0" applyNumberFormat="1" applyFont="1" applyFill="1" applyBorder="1" applyAlignment="1">
      <alignment horizontal="center"/>
    </xf>
    <xf numFmtId="2" fontId="3" fillId="18" borderId="1" xfId="0" applyNumberFormat="1" applyFont="1" applyFill="1" applyBorder="1" applyAlignment="1">
      <alignment horizontal="center" vertical="center"/>
    </xf>
    <xf numFmtId="2" fontId="2" fillId="18" borderId="1" xfId="0" applyNumberFormat="1" applyFont="1" applyFill="1" applyBorder="1" applyAlignment="1">
      <alignment horizontal="center" vertical="center"/>
    </xf>
    <xf numFmtId="2" fontId="1" fillId="19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11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2" fontId="2" fillId="0" borderId="0" xfId="0" applyNumberFormat="1" applyFont="1" applyFill="1" applyBorder="1"/>
    <xf numFmtId="0" fontId="0" fillId="0" borderId="0" xfId="0" applyFill="1" applyBorder="1"/>
    <xf numFmtId="0" fontId="1" fillId="0" borderId="0" xfId="0" applyFont="1" applyFill="1"/>
    <xf numFmtId="0" fontId="2" fillId="11" borderId="1" xfId="0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" fontId="1" fillId="29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1" fillId="0" borderId="0" xfId="0" applyNumberFormat="1" applyFont="1" applyAlignment="1">
      <alignment horizontal="left"/>
    </xf>
    <xf numFmtId="0" fontId="5" fillId="0" borderId="0" xfId="0" applyFont="1" applyFill="1"/>
    <xf numFmtId="2" fontId="2" fillId="13" borderId="2" xfId="0" applyNumberFormat="1" applyFont="1" applyFill="1" applyBorder="1"/>
    <xf numFmtId="2" fontId="2" fillId="13" borderId="3" xfId="0" applyNumberFormat="1" applyFont="1" applyFill="1" applyBorder="1"/>
    <xf numFmtId="2" fontId="2" fillId="16" borderId="2" xfId="0" applyNumberFormat="1" applyFont="1" applyFill="1" applyBorder="1"/>
    <xf numFmtId="2" fontId="2" fillId="16" borderId="3" xfId="0" applyNumberFormat="1" applyFont="1" applyFill="1" applyBorder="1"/>
    <xf numFmtId="2" fontId="2" fillId="8" borderId="3" xfId="0" applyNumberFormat="1" applyFont="1" applyFill="1" applyBorder="1"/>
    <xf numFmtId="0" fontId="2" fillId="9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13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2" fillId="16" borderId="4" xfId="0" applyNumberFormat="1" applyFont="1" applyFill="1" applyBorder="1" applyAlignment="1">
      <alignment horizontal="center" vertical="center"/>
    </xf>
    <xf numFmtId="2" fontId="2" fillId="16" borderId="3" xfId="0" applyNumberFormat="1" applyFont="1" applyFill="1" applyBorder="1" applyAlignment="1">
      <alignment horizontal="center" vertical="center"/>
    </xf>
    <xf numFmtId="2" fontId="2" fillId="18" borderId="4" xfId="0" applyNumberFormat="1" applyFont="1" applyFill="1" applyBorder="1" applyAlignment="1">
      <alignment horizontal="center" vertical="center"/>
    </xf>
    <xf numFmtId="2" fontId="2" fillId="18" borderId="3" xfId="0" applyNumberFormat="1" applyFont="1" applyFill="1" applyBorder="1" applyAlignment="1">
      <alignment horizontal="center" vertical="center"/>
    </xf>
    <xf numFmtId="0" fontId="2" fillId="24" borderId="7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9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2" fontId="2" fillId="11" borderId="4" xfId="0" applyNumberFormat="1" applyFont="1" applyFill="1" applyBorder="1" applyAlignment="1">
      <alignment horizontal="center" vertical="center"/>
    </xf>
    <xf numFmtId="2" fontId="2" fillId="11" borderId="3" xfId="0" applyNumberFormat="1" applyFont="1" applyFill="1" applyBorder="1" applyAlignment="1">
      <alignment horizontal="center" vertical="center"/>
    </xf>
    <xf numFmtId="2" fontId="2" fillId="11" borderId="1" xfId="0" applyNumberFormat="1" applyFont="1" applyFill="1" applyBorder="1" applyAlignment="1">
      <alignment horizontal="center" vertical="center"/>
    </xf>
    <xf numFmtId="0" fontId="2" fillId="26" borderId="2" xfId="0" applyFont="1" applyFill="1" applyBorder="1" applyAlignment="1">
      <alignment horizontal="center" vertical="center"/>
    </xf>
    <xf numFmtId="0" fontId="2" fillId="26" borderId="4" xfId="0" applyFont="1" applyFill="1" applyBorder="1" applyAlignment="1">
      <alignment horizontal="center" vertical="center"/>
    </xf>
    <xf numFmtId="0" fontId="2" fillId="26" borderId="3" xfId="0" applyFont="1" applyFill="1" applyBorder="1" applyAlignment="1">
      <alignment horizontal="center" vertical="center"/>
    </xf>
    <xf numFmtId="0" fontId="2" fillId="26" borderId="5" xfId="0" applyFont="1" applyFill="1" applyBorder="1" applyAlignment="1">
      <alignment horizontal="center" vertical="center"/>
    </xf>
    <xf numFmtId="0" fontId="2" fillId="26" borderId="6" xfId="0" applyFont="1" applyFill="1" applyBorder="1" applyAlignment="1">
      <alignment horizontal="center" vertical="center"/>
    </xf>
    <xf numFmtId="0" fontId="2" fillId="10" borderId="7" xfId="0" applyFont="1" applyFill="1" applyBorder="1" applyAlignment="1">
      <alignment horizontal="center" vertical="center"/>
    </xf>
    <xf numFmtId="0" fontId="2" fillId="15" borderId="7" xfId="0" applyFont="1" applyFill="1" applyBorder="1" applyAlignment="1">
      <alignment horizontal="center" vertical="center"/>
    </xf>
    <xf numFmtId="0" fontId="2" fillId="19" borderId="1" xfId="0" applyFont="1" applyFill="1" applyBorder="1" applyAlignment="1">
      <alignment horizontal="center" vertical="center"/>
    </xf>
    <xf numFmtId="2" fontId="2" fillId="8" borderId="4" xfId="0" applyNumberFormat="1" applyFont="1" applyFill="1" applyBorder="1" applyAlignment="1">
      <alignment horizontal="center" vertical="center"/>
    </xf>
    <xf numFmtId="2" fontId="2" fillId="8" borderId="3" xfId="0" applyNumberFormat="1" applyFont="1" applyFill="1" applyBorder="1" applyAlignment="1">
      <alignment horizontal="center" vertical="center"/>
    </xf>
    <xf numFmtId="0" fontId="2" fillId="26" borderId="7" xfId="0" applyFont="1" applyFill="1" applyBorder="1" applyAlignment="1">
      <alignment horizontal="center" vertical="center"/>
    </xf>
    <xf numFmtId="2" fontId="2" fillId="10" borderId="4" xfId="0" applyNumberFormat="1" applyFont="1" applyFill="1" applyBorder="1" applyAlignment="1">
      <alignment horizontal="center" vertical="center"/>
    </xf>
    <xf numFmtId="2" fontId="2" fillId="10" borderId="3" xfId="0" applyNumberFormat="1" applyFont="1" applyFill="1" applyBorder="1" applyAlignment="1">
      <alignment horizontal="center" vertical="center"/>
    </xf>
    <xf numFmtId="0" fontId="2" fillId="16" borderId="7" xfId="0" applyFont="1" applyFill="1" applyBorder="1" applyAlignment="1">
      <alignment horizontal="center" vertical="center"/>
    </xf>
    <xf numFmtId="2" fontId="2" fillId="19" borderId="4" xfId="0" applyNumberFormat="1" applyFont="1" applyFill="1" applyBorder="1" applyAlignment="1">
      <alignment horizontal="center" vertical="center"/>
    </xf>
    <xf numFmtId="2" fontId="2" fillId="19" borderId="3" xfId="0" applyNumberFormat="1" applyFont="1" applyFill="1" applyBorder="1" applyAlignment="1">
      <alignment horizontal="center" vertical="center"/>
    </xf>
    <xf numFmtId="0" fontId="2" fillId="8" borderId="7" xfId="0" applyFont="1" applyFill="1" applyBorder="1" applyAlignment="1">
      <alignment horizontal="center" vertical="center"/>
    </xf>
    <xf numFmtId="0" fontId="2" fillId="27" borderId="1" xfId="0" applyFont="1" applyFill="1" applyBorder="1" applyAlignment="1">
      <alignment horizontal="center" vertical="center"/>
    </xf>
    <xf numFmtId="0" fontId="2" fillId="12" borderId="2" xfId="0" applyFont="1" applyFill="1" applyBorder="1" applyAlignment="1">
      <alignment horizontal="center" vertical="center"/>
    </xf>
    <xf numFmtId="0" fontId="2" fillId="12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18" borderId="11" xfId="0" applyFont="1" applyFill="1" applyBorder="1" applyAlignment="1">
      <alignment horizontal="center"/>
    </xf>
    <xf numFmtId="0" fontId="1" fillId="18" borderId="0" xfId="0" applyFont="1" applyFill="1" applyBorder="1" applyAlignment="1">
      <alignment horizontal="center"/>
    </xf>
    <xf numFmtId="0" fontId="1" fillId="18" borderId="12" xfId="0" applyFont="1" applyFill="1" applyBorder="1" applyAlignment="1">
      <alignment horizontal="center"/>
    </xf>
    <xf numFmtId="0" fontId="1" fillId="18" borderId="14" xfId="0" applyFont="1" applyFill="1" applyBorder="1" applyAlignment="1">
      <alignment horizontal="center"/>
    </xf>
    <xf numFmtId="0" fontId="2" fillId="9" borderId="2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25" borderId="1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2" fillId="25" borderId="1" xfId="0" applyFont="1" applyFill="1" applyBorder="1" applyAlignment="1">
      <alignment horizontal="center" wrapText="1"/>
    </xf>
    <xf numFmtId="0" fontId="1" fillId="0" borderId="18" xfId="0" applyFont="1" applyBorder="1" applyAlignment="1">
      <alignment horizontal="center"/>
    </xf>
    <xf numFmtId="0" fontId="2" fillId="26" borderId="1" xfId="0" applyFont="1" applyFill="1" applyBorder="1" applyAlignment="1">
      <alignment horizontal="center" vertical="center"/>
    </xf>
    <xf numFmtId="0" fontId="2" fillId="26" borderId="1" xfId="0" applyFont="1" applyFill="1" applyBorder="1" applyAlignment="1">
      <alignment horizontal="center"/>
    </xf>
    <xf numFmtId="0" fontId="2" fillId="26" borderId="1" xfId="0" applyFont="1" applyFill="1" applyBorder="1" applyAlignment="1">
      <alignment horizontal="center" wrapText="1"/>
    </xf>
    <xf numFmtId="0" fontId="2" fillId="25" borderId="1" xfId="0" applyFont="1" applyFill="1" applyBorder="1" applyAlignment="1">
      <alignment horizontal="center" vertical="center"/>
    </xf>
    <xf numFmtId="0" fontId="2" fillId="25" borderId="1" xfId="0" applyFont="1" applyFill="1" applyBorder="1" applyAlignment="1">
      <alignment horizontal="center" vertical="center" wrapText="1"/>
    </xf>
    <xf numFmtId="0" fontId="2" fillId="16" borderId="4" xfId="0" applyFont="1" applyFill="1" applyBorder="1"/>
    <xf numFmtId="4" fontId="1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Border="1" applyAlignment="1"/>
    <xf numFmtId="2" fontId="1" fillId="0" borderId="0" xfId="0" applyNumberFormat="1" applyFont="1" applyFill="1" applyBorder="1" applyAlignment="1"/>
    <xf numFmtId="2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/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2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7EFFD"/>
      <color rgb="FFA4E0FE"/>
      <color rgb="FFB8E2FE"/>
      <color rgb="FF66CCFF"/>
      <color rgb="FF85DCFB"/>
      <color rgb="FFB4E5FE"/>
      <color rgb="FF58C7FE"/>
      <color rgb="FFF91F43"/>
      <color rgb="FF7CFCFC"/>
      <color rgb="FF9787F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-1</xdr:colOff>
      <xdr:row>51</xdr:row>
      <xdr:rowOff>190499</xdr:rowOff>
    </xdr:from>
    <xdr:to>
      <xdr:col>35</xdr:col>
      <xdr:colOff>480072</xdr:colOff>
      <xdr:row>66</xdr:row>
      <xdr:rowOff>136070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8285" y="10559142"/>
          <a:ext cx="7297251" cy="28030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178593</xdr:colOff>
      <xdr:row>24</xdr:row>
      <xdr:rowOff>95250</xdr:rowOff>
    </xdr:from>
    <xdr:to>
      <xdr:col>7</xdr:col>
      <xdr:colOff>440358</xdr:colOff>
      <xdr:row>27</xdr:row>
      <xdr:rowOff>158529</xdr:rowOff>
    </xdr:to>
    <xdr:pic>
      <xdr:nvPicPr>
        <xdr:cNvPr id="2" name="Picture 1" descr=" ">
          <a:extLst>
            <a:ext uri="{FF2B5EF4-FFF2-40B4-BE49-F238E27FC236}">
              <a16:creationId xmlns="" xmlns:a16="http://schemas.microsoft.com/office/drawing/2014/main" id="{4C6A6266-B5B7-42D3-A639-62B51C64CA3D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78656" y="5095875"/>
          <a:ext cx="4428952" cy="920529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178593</xdr:colOff>
      <xdr:row>24</xdr:row>
      <xdr:rowOff>95250</xdr:rowOff>
    </xdr:from>
    <xdr:to>
      <xdr:col>7</xdr:col>
      <xdr:colOff>440358</xdr:colOff>
      <xdr:row>27</xdr:row>
      <xdr:rowOff>158529</xdr:rowOff>
    </xdr:to>
    <xdr:pic>
      <xdr:nvPicPr>
        <xdr:cNvPr id="4" name="Picture 3" descr=" ">
          <a:extLst>
            <a:ext uri="{FF2B5EF4-FFF2-40B4-BE49-F238E27FC236}">
              <a16:creationId xmlns="" xmlns:a16="http://schemas.microsoft.com/office/drawing/2014/main" id="{4C6A6266-B5B7-42D3-A639-62B51C64CA3D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88193" y="5095875"/>
          <a:ext cx="4243215" cy="863379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178593</xdr:colOff>
      <xdr:row>24</xdr:row>
      <xdr:rowOff>95250</xdr:rowOff>
    </xdr:from>
    <xdr:to>
      <xdr:col>7</xdr:col>
      <xdr:colOff>440358</xdr:colOff>
      <xdr:row>27</xdr:row>
      <xdr:rowOff>158529</xdr:rowOff>
    </xdr:to>
    <xdr:pic>
      <xdr:nvPicPr>
        <xdr:cNvPr id="2" name="Picture 1" descr=" ">
          <a:extLst>
            <a:ext uri="{FF2B5EF4-FFF2-40B4-BE49-F238E27FC236}">
              <a16:creationId xmlns="" xmlns:a16="http://schemas.microsoft.com/office/drawing/2014/main" id="{4C6A6266-B5B7-42D3-A639-62B51C64CA3D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3418" y="5048250"/>
          <a:ext cx="4719465" cy="911004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178593</xdr:colOff>
      <xdr:row>26</xdr:row>
      <xdr:rowOff>95250</xdr:rowOff>
    </xdr:from>
    <xdr:to>
      <xdr:col>7</xdr:col>
      <xdr:colOff>440358</xdr:colOff>
      <xdr:row>29</xdr:row>
      <xdr:rowOff>158529</xdr:rowOff>
    </xdr:to>
    <xdr:pic>
      <xdr:nvPicPr>
        <xdr:cNvPr id="4" name="Picture 3" descr=" ">
          <a:extLst>
            <a:ext uri="{FF2B5EF4-FFF2-40B4-BE49-F238E27FC236}">
              <a16:creationId xmlns="" xmlns:a16="http://schemas.microsoft.com/office/drawing/2014/main" id="{4C6A6266-B5B7-42D3-A639-62B51C64CA3D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88193" y="5095875"/>
          <a:ext cx="4243215" cy="863379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304800</xdr:colOff>
      <xdr:row>3</xdr:row>
      <xdr:rowOff>97633</xdr:rowOff>
    </xdr:from>
    <xdr:to>
      <xdr:col>17</xdr:col>
      <xdr:colOff>321129</xdr:colOff>
      <xdr:row>7</xdr:row>
      <xdr:rowOff>21430</xdr:rowOff>
    </xdr:to>
    <xdr:cxnSp macro="">
      <xdr:nvCxnSpPr>
        <xdr:cNvPr id="2" name="Straight Arrow Connector 1">
          <a:extLst>
            <a:ext uri="{FF2B5EF4-FFF2-40B4-BE49-F238E27FC236}">
              <a16:creationId xmlns="" xmlns:a16="http://schemas.microsoft.com/office/drawing/2014/main" id="{74327837-415C-4C42-BE4B-6199BE59E16E}"/>
            </a:ext>
          </a:extLst>
        </xdr:cNvPr>
        <xdr:cNvCxnSpPr/>
      </xdr:nvCxnSpPr>
      <xdr:spPr>
        <a:xfrm flipV="1">
          <a:off x="11615738" y="681039"/>
          <a:ext cx="16329" cy="745329"/>
        </a:xfrm>
        <a:prstGeom prst="straightConnector1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316706</xdr:colOff>
      <xdr:row>3</xdr:row>
      <xdr:rowOff>164307</xdr:rowOff>
    </xdr:from>
    <xdr:to>
      <xdr:col>21</xdr:col>
      <xdr:colOff>326231</xdr:colOff>
      <xdr:row>6</xdr:row>
      <xdr:rowOff>190501</xdr:rowOff>
    </xdr:to>
    <xdr:cxnSp macro="">
      <xdr:nvCxnSpPr>
        <xdr:cNvPr id="3" name="Straight Arrow Connector 2">
          <a:extLst>
            <a:ext uri="{FF2B5EF4-FFF2-40B4-BE49-F238E27FC236}">
              <a16:creationId xmlns="" xmlns:a16="http://schemas.microsoft.com/office/drawing/2014/main" id="{F8C706E8-8E04-49DB-8405-129FD08DA0AA}"/>
            </a:ext>
          </a:extLst>
        </xdr:cNvPr>
        <xdr:cNvCxnSpPr/>
      </xdr:nvCxnSpPr>
      <xdr:spPr>
        <a:xfrm>
          <a:off x="14056519" y="747713"/>
          <a:ext cx="9525" cy="645319"/>
        </a:xfrm>
        <a:prstGeom prst="straightConnector1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K33"/>
  <sheetViews>
    <sheetView zoomScale="70" zoomScaleNormal="70" workbookViewId="0">
      <selection activeCell="C28" sqref="C28:D30"/>
    </sheetView>
  </sheetViews>
  <sheetFormatPr defaultRowHeight="15" x14ac:dyDescent="0.25"/>
  <cols>
    <col min="2" max="2" width="14.7109375" customWidth="1"/>
    <col min="4" max="4" width="10.28515625" customWidth="1"/>
    <col min="5" max="5" width="11.140625" customWidth="1"/>
    <col min="6" max="6" width="12" customWidth="1"/>
    <col min="7" max="7" width="11" customWidth="1"/>
    <col min="9" max="9" width="13.85546875" customWidth="1"/>
    <col min="10" max="10" width="11.42578125" customWidth="1"/>
    <col min="11" max="11" width="13.140625" customWidth="1"/>
    <col min="12" max="12" width="15.5703125" customWidth="1"/>
    <col min="13" max="13" width="12.7109375" customWidth="1"/>
    <col min="14" max="14" width="14.140625" customWidth="1"/>
    <col min="16" max="16" width="17.5703125" customWidth="1"/>
    <col min="20" max="20" width="11.140625" customWidth="1"/>
    <col min="26" max="26" width="18.7109375" customWidth="1"/>
    <col min="27" max="27" width="17.5703125" customWidth="1"/>
    <col min="28" max="28" width="15" customWidth="1"/>
    <col min="29" max="29" width="14.5703125" customWidth="1"/>
  </cols>
  <sheetData>
    <row r="2" spans="2:37" ht="15.75" x14ac:dyDescent="0.25">
      <c r="B2" s="189" t="s">
        <v>0</v>
      </c>
      <c r="C2" s="190"/>
      <c r="D2" s="190"/>
      <c r="E2" s="191"/>
      <c r="F2" s="192" t="s">
        <v>1</v>
      </c>
      <c r="G2" s="192" t="s">
        <v>2</v>
      </c>
      <c r="H2" s="3"/>
      <c r="I2" s="189" t="s">
        <v>3</v>
      </c>
      <c r="J2" s="190"/>
      <c r="K2" s="190"/>
      <c r="L2" s="190"/>
      <c r="M2" s="190"/>
      <c r="N2" s="191"/>
      <c r="O2" s="3"/>
      <c r="P2" s="16" t="s">
        <v>4</v>
      </c>
      <c r="Q2" s="188">
        <v>9</v>
      </c>
      <c r="R2" s="258"/>
      <c r="S2" s="259"/>
      <c r="T2" s="259"/>
      <c r="U2" s="259"/>
      <c r="V2" s="259"/>
      <c r="W2" s="259"/>
      <c r="X2" s="258"/>
      <c r="Y2" s="258"/>
      <c r="Z2" s="260"/>
      <c r="AA2" s="260"/>
      <c r="AB2" s="260"/>
      <c r="AC2" s="260"/>
      <c r="AD2" s="258"/>
      <c r="AE2" s="258"/>
      <c r="AF2" s="258"/>
      <c r="AG2" s="258"/>
      <c r="AH2" s="258"/>
      <c r="AI2" s="258"/>
      <c r="AJ2" s="258"/>
      <c r="AK2" s="258"/>
    </row>
    <row r="3" spans="2:37" ht="15.75" x14ac:dyDescent="0.25">
      <c r="B3" s="15" t="s">
        <v>5</v>
      </c>
      <c r="C3" s="15">
        <v>1</v>
      </c>
      <c r="D3" s="15">
        <v>2</v>
      </c>
      <c r="E3" s="15">
        <v>3</v>
      </c>
      <c r="F3" s="193"/>
      <c r="G3" s="193"/>
      <c r="H3" s="3"/>
      <c r="I3" s="192" t="s">
        <v>6</v>
      </c>
      <c r="J3" s="189" t="s">
        <v>7</v>
      </c>
      <c r="K3" s="190"/>
      <c r="L3" s="191"/>
      <c r="M3" s="192" t="s">
        <v>1</v>
      </c>
      <c r="N3" s="192" t="s">
        <v>2</v>
      </c>
      <c r="O3" s="3"/>
      <c r="P3" s="16" t="s">
        <v>8</v>
      </c>
      <c r="Q3" s="188">
        <v>3</v>
      </c>
      <c r="R3" s="258"/>
      <c r="S3" s="259"/>
      <c r="T3" s="261"/>
      <c r="U3" s="261"/>
      <c r="V3" s="261"/>
      <c r="W3" s="262"/>
      <c r="X3" s="258"/>
      <c r="Y3" s="258"/>
      <c r="Z3" s="263"/>
      <c r="AA3" s="263"/>
      <c r="AB3" s="263"/>
      <c r="AC3" s="263"/>
      <c r="AD3" s="258"/>
      <c r="AE3" s="258"/>
      <c r="AF3" s="258"/>
      <c r="AG3" s="258"/>
      <c r="AH3" s="258"/>
      <c r="AI3" s="258"/>
      <c r="AJ3" s="258"/>
      <c r="AK3" s="258"/>
    </row>
    <row r="4" spans="2:37" ht="15.75" x14ac:dyDescent="0.25">
      <c r="B4" s="14" t="s">
        <v>9</v>
      </c>
      <c r="C4" s="4">
        <v>30.89</v>
      </c>
      <c r="D4" s="4">
        <v>29.38</v>
      </c>
      <c r="E4" s="4">
        <v>29.66</v>
      </c>
      <c r="F4" s="21">
        <f>SUM(C4:E4)</f>
        <v>89.929999999999993</v>
      </c>
      <c r="G4" s="5">
        <f>AVERAGE(C4:E4)</f>
        <v>29.976666666666663</v>
      </c>
      <c r="H4" s="3"/>
      <c r="I4" s="193"/>
      <c r="J4" s="15" t="s">
        <v>10</v>
      </c>
      <c r="K4" s="15" t="s">
        <v>11</v>
      </c>
      <c r="L4" s="15" t="s">
        <v>12</v>
      </c>
      <c r="M4" s="193"/>
      <c r="N4" s="193"/>
      <c r="O4" s="3"/>
      <c r="P4" s="16" t="s">
        <v>13</v>
      </c>
      <c r="Q4" s="188">
        <v>3</v>
      </c>
      <c r="R4" s="258"/>
      <c r="S4" s="259"/>
      <c r="T4" s="261"/>
      <c r="U4" s="261"/>
      <c r="V4" s="261"/>
      <c r="W4" s="262"/>
      <c r="X4" s="258"/>
      <c r="Y4" s="258"/>
      <c r="Z4" s="264"/>
      <c r="AA4" s="264"/>
      <c r="AB4" s="264"/>
      <c r="AC4" s="257"/>
      <c r="AD4" s="258"/>
      <c r="AE4" s="258"/>
      <c r="AF4" s="258"/>
      <c r="AG4" s="258"/>
      <c r="AH4" s="258"/>
      <c r="AI4" s="258"/>
      <c r="AJ4" s="258"/>
      <c r="AK4" s="258"/>
    </row>
    <row r="5" spans="2:37" ht="15.75" x14ac:dyDescent="0.25">
      <c r="B5" s="14" t="s">
        <v>14</v>
      </c>
      <c r="C5" s="4">
        <v>33.35</v>
      </c>
      <c r="D5" s="4">
        <v>27.18</v>
      </c>
      <c r="E5" s="4">
        <v>22.51</v>
      </c>
      <c r="F5" s="21">
        <f t="shared" ref="F5:F12" si="0">SUM(C5:E5)</f>
        <v>83.04</v>
      </c>
      <c r="G5" s="5">
        <f t="shared" ref="G5:G12" si="1">AVERAGE(C5:E5)</f>
        <v>27.680000000000003</v>
      </c>
      <c r="H5" s="3"/>
      <c r="I5" s="14" t="s">
        <v>15</v>
      </c>
      <c r="J5" s="22">
        <f>F4</f>
        <v>89.929999999999993</v>
      </c>
      <c r="K5" s="22">
        <f>F5</f>
        <v>83.04</v>
      </c>
      <c r="L5" s="22">
        <f>F6</f>
        <v>58.72</v>
      </c>
      <c r="M5" s="4">
        <f>SUM(J5:L5)</f>
        <v>231.69</v>
      </c>
      <c r="N5" s="6">
        <f>M5/Q2</f>
        <v>25.743333333333332</v>
      </c>
      <c r="O5" s="3"/>
      <c r="P5" s="16" t="s">
        <v>16</v>
      </c>
      <c r="Q5" s="188">
        <v>3</v>
      </c>
      <c r="R5" s="258"/>
      <c r="S5" s="259"/>
      <c r="T5" s="261"/>
      <c r="U5" s="261"/>
      <c r="V5" s="261"/>
      <c r="W5" s="262"/>
      <c r="X5" s="258"/>
      <c r="Y5" s="258"/>
      <c r="Z5" s="264"/>
      <c r="AA5" s="264"/>
      <c r="AB5" s="264"/>
      <c r="AC5" s="257"/>
      <c r="AD5" s="258"/>
      <c r="AE5" s="258"/>
      <c r="AF5" s="258"/>
      <c r="AG5" s="258"/>
      <c r="AH5" s="258"/>
      <c r="AI5" s="258"/>
      <c r="AJ5" s="258"/>
      <c r="AK5" s="258"/>
    </row>
    <row r="6" spans="2:37" ht="15.75" x14ac:dyDescent="0.25">
      <c r="B6" s="14" t="s">
        <v>17</v>
      </c>
      <c r="C6" s="4">
        <v>20.149999999999999</v>
      </c>
      <c r="D6" s="4">
        <v>20.5</v>
      </c>
      <c r="E6" s="4">
        <v>18.07</v>
      </c>
      <c r="F6" s="21">
        <f t="shared" si="0"/>
        <v>58.72</v>
      </c>
      <c r="G6" s="5">
        <f t="shared" si="1"/>
        <v>19.573333333333334</v>
      </c>
      <c r="H6" s="3"/>
      <c r="I6" s="14" t="s">
        <v>18</v>
      </c>
      <c r="J6" s="22">
        <f>F7</f>
        <v>77.259999999999991</v>
      </c>
      <c r="K6" s="22">
        <f>F8</f>
        <v>54.66</v>
      </c>
      <c r="L6" s="22">
        <f>F9</f>
        <v>53.870000000000005</v>
      </c>
      <c r="M6" s="4">
        <f>SUM(J6:L6)</f>
        <v>185.79</v>
      </c>
      <c r="N6" s="6">
        <f>M6/Q2</f>
        <v>20.643333333333331</v>
      </c>
      <c r="O6" s="3"/>
      <c r="P6" s="3"/>
      <c r="Q6" s="3"/>
      <c r="R6" s="258"/>
      <c r="S6" s="262"/>
      <c r="T6" s="261"/>
      <c r="U6" s="261"/>
      <c r="V6" s="261"/>
      <c r="W6" s="262"/>
      <c r="X6" s="258"/>
      <c r="Y6" s="258"/>
      <c r="Z6" s="264"/>
      <c r="AA6" s="264"/>
      <c r="AB6" s="264"/>
      <c r="AC6" s="257"/>
      <c r="AD6" s="258"/>
      <c r="AE6" s="258"/>
      <c r="AF6" s="258"/>
      <c r="AG6" s="258"/>
      <c r="AH6" s="258"/>
      <c r="AI6" s="258"/>
      <c r="AJ6" s="258"/>
      <c r="AK6" s="258"/>
    </row>
    <row r="7" spans="2:37" ht="15.75" x14ac:dyDescent="0.25">
      <c r="B7" s="14" t="s">
        <v>19</v>
      </c>
      <c r="C7" s="4">
        <v>23.04</v>
      </c>
      <c r="D7" s="4">
        <v>31.01</v>
      </c>
      <c r="E7" s="4">
        <v>23.21</v>
      </c>
      <c r="F7" s="21">
        <f t="shared" si="0"/>
        <v>77.259999999999991</v>
      </c>
      <c r="G7" s="5">
        <f>AVERAGE(C7:E7)</f>
        <v>25.75333333333333</v>
      </c>
      <c r="H7" s="3"/>
      <c r="I7" s="14" t="s">
        <v>20</v>
      </c>
      <c r="J7" s="22">
        <f>F10</f>
        <v>72.400000000000006</v>
      </c>
      <c r="K7" s="22">
        <f>F11</f>
        <v>31.740000000000002</v>
      </c>
      <c r="L7" s="22">
        <f>F12</f>
        <v>51.55</v>
      </c>
      <c r="M7" s="4">
        <f>SUM(J7:L7)</f>
        <v>155.69</v>
      </c>
      <c r="N7" s="6">
        <f>M7/Q2</f>
        <v>17.298888888888889</v>
      </c>
      <c r="O7" s="3"/>
      <c r="P7" s="32" t="s">
        <v>21</v>
      </c>
      <c r="Q7" s="256">
        <f>F13^2/(Q4*Q5*Q3)</f>
        <v>12167.549959259257</v>
      </c>
      <c r="R7" s="258"/>
      <c r="S7" s="262"/>
      <c r="T7" s="261"/>
      <c r="U7" s="261"/>
      <c r="V7" s="261"/>
      <c r="W7" s="262"/>
      <c r="X7" s="258"/>
      <c r="Y7" s="258"/>
      <c r="Z7" s="264"/>
      <c r="AA7" s="263"/>
      <c r="AB7" s="264"/>
      <c r="AC7" s="257"/>
      <c r="AD7" s="258"/>
      <c r="AE7" s="258"/>
      <c r="AF7" s="258"/>
      <c r="AG7" s="258"/>
      <c r="AH7" s="258"/>
      <c r="AI7" s="258"/>
      <c r="AJ7" s="258"/>
      <c r="AK7" s="258"/>
    </row>
    <row r="8" spans="2:37" ht="15.75" x14ac:dyDescent="0.25">
      <c r="B8" s="14" t="s">
        <v>22</v>
      </c>
      <c r="C8" s="4">
        <v>19.809999999999999</v>
      </c>
      <c r="D8" s="4">
        <v>18.66</v>
      </c>
      <c r="E8" s="4">
        <v>16.190000000000001</v>
      </c>
      <c r="F8" s="21">
        <f t="shared" si="0"/>
        <v>54.66</v>
      </c>
      <c r="G8" s="5">
        <f t="shared" si="1"/>
        <v>18.22</v>
      </c>
      <c r="H8" s="3"/>
      <c r="I8" s="15" t="s">
        <v>1</v>
      </c>
      <c r="J8" s="4">
        <f>SUM(J5:J7)</f>
        <v>239.59</v>
      </c>
      <c r="K8" s="4">
        <f>SUM(K5:K7)</f>
        <v>169.44</v>
      </c>
      <c r="L8" s="4">
        <f>SUM(L5:L7)</f>
        <v>164.14</v>
      </c>
      <c r="M8" s="27">
        <f>SUM(M5:M7)</f>
        <v>573.17000000000007</v>
      </c>
      <c r="N8" s="29"/>
      <c r="O8" s="86"/>
      <c r="P8" s="32" t="s">
        <v>49</v>
      </c>
      <c r="Q8" s="256">
        <f>(SQRT(E24)/G13)*100</f>
        <v>21.565295364062177</v>
      </c>
      <c r="R8" s="258"/>
      <c r="S8" s="262"/>
      <c r="T8" s="261"/>
      <c r="U8" s="261"/>
      <c r="V8" s="261"/>
      <c r="W8" s="262"/>
      <c r="X8" s="258"/>
      <c r="Y8" s="258"/>
      <c r="Z8" s="264"/>
      <c r="AA8" s="263"/>
      <c r="AB8" s="264"/>
      <c r="AC8" s="257"/>
      <c r="AD8" s="258"/>
      <c r="AE8" s="258"/>
      <c r="AF8" s="258"/>
      <c r="AG8" s="258"/>
      <c r="AH8" s="258"/>
      <c r="AI8" s="258"/>
      <c r="AJ8" s="258"/>
      <c r="AK8" s="258"/>
    </row>
    <row r="9" spans="2:37" ht="15.75" x14ac:dyDescent="0.25">
      <c r="B9" s="14" t="s">
        <v>23</v>
      </c>
      <c r="C9" s="4">
        <v>21.23</v>
      </c>
      <c r="D9" s="4">
        <v>14.11</v>
      </c>
      <c r="E9" s="4">
        <v>18.53</v>
      </c>
      <c r="F9" s="21">
        <f t="shared" si="0"/>
        <v>53.870000000000005</v>
      </c>
      <c r="G9" s="5">
        <f t="shared" si="1"/>
        <v>17.956666666666667</v>
      </c>
      <c r="H9" s="3"/>
      <c r="I9" s="15" t="s">
        <v>2</v>
      </c>
      <c r="J9" s="6">
        <f>J8/Q2</f>
        <v>26.621111111111112</v>
      </c>
      <c r="K9" s="6">
        <f>K8/Q2</f>
        <v>18.826666666666668</v>
      </c>
      <c r="L9" s="6">
        <f>L8/Q2</f>
        <v>18.237777777777776</v>
      </c>
      <c r="M9" s="29"/>
      <c r="N9" s="29"/>
      <c r="O9" s="3"/>
      <c r="P9" s="3"/>
      <c r="Q9" s="3"/>
      <c r="R9" s="258"/>
      <c r="S9" s="259"/>
      <c r="T9" s="261"/>
      <c r="U9" s="261"/>
      <c r="V9" s="261"/>
      <c r="W9" s="262"/>
      <c r="X9" s="258"/>
      <c r="Y9" s="258"/>
      <c r="Z9" s="264"/>
      <c r="AA9" s="263"/>
      <c r="AB9" s="264"/>
      <c r="AC9" s="257"/>
      <c r="AD9" s="258"/>
      <c r="AE9" s="258"/>
      <c r="AF9" s="258"/>
      <c r="AG9" s="258"/>
      <c r="AH9" s="258"/>
      <c r="AI9" s="258"/>
      <c r="AJ9" s="258"/>
      <c r="AK9" s="258"/>
    </row>
    <row r="10" spans="2:37" ht="15.75" x14ac:dyDescent="0.25">
      <c r="B10" s="14" t="s">
        <v>24</v>
      </c>
      <c r="C10" s="4">
        <v>30.41</v>
      </c>
      <c r="D10" s="4">
        <v>22.17</v>
      </c>
      <c r="E10" s="4">
        <v>19.82</v>
      </c>
      <c r="F10" s="21">
        <f t="shared" si="0"/>
        <v>72.400000000000006</v>
      </c>
      <c r="G10" s="5">
        <f t="shared" si="1"/>
        <v>24.133333333333336</v>
      </c>
      <c r="H10" s="3"/>
      <c r="I10" s="3"/>
      <c r="J10" s="3"/>
      <c r="K10" s="3"/>
      <c r="L10" s="3"/>
      <c r="M10" s="3"/>
      <c r="N10" s="3"/>
      <c r="O10" s="3"/>
      <c r="P10" s="30"/>
      <c r="Q10" s="3"/>
      <c r="R10" s="258"/>
      <c r="S10" s="259"/>
      <c r="T10" s="261"/>
      <c r="U10" s="261"/>
      <c r="V10" s="261"/>
      <c r="W10" s="262"/>
      <c r="X10" s="258"/>
      <c r="Y10" s="258"/>
      <c r="Z10" s="264"/>
      <c r="AA10" s="263"/>
      <c r="AB10" s="264"/>
      <c r="AC10" s="257"/>
      <c r="AD10" s="258"/>
      <c r="AE10" s="258"/>
      <c r="AF10" s="258"/>
      <c r="AG10" s="258"/>
      <c r="AH10" s="258"/>
      <c r="AI10" s="258"/>
      <c r="AJ10" s="258"/>
      <c r="AK10" s="258"/>
    </row>
    <row r="11" spans="2:37" ht="15.75" x14ac:dyDescent="0.25">
      <c r="B11" s="14" t="s">
        <v>25</v>
      </c>
      <c r="C11" s="4" t="s">
        <v>111</v>
      </c>
      <c r="D11" s="4">
        <v>16.850000000000001</v>
      </c>
      <c r="E11" s="4">
        <v>14.89</v>
      </c>
      <c r="F11" s="21">
        <f t="shared" si="0"/>
        <v>31.740000000000002</v>
      </c>
      <c r="G11" s="5">
        <f t="shared" si="1"/>
        <v>15.870000000000001</v>
      </c>
      <c r="H11" s="3"/>
      <c r="I11" s="3"/>
      <c r="J11" s="30"/>
      <c r="K11" s="3"/>
      <c r="L11" s="3"/>
      <c r="M11" s="3"/>
      <c r="N11" s="3"/>
      <c r="O11" s="3"/>
      <c r="P11" s="3"/>
      <c r="Q11" s="3"/>
      <c r="R11" s="258"/>
      <c r="S11" s="259"/>
      <c r="T11" s="261"/>
      <c r="U11" s="261"/>
      <c r="V11" s="261"/>
      <c r="W11" s="262"/>
      <c r="X11" s="258"/>
      <c r="Y11" s="258"/>
      <c r="Z11" s="264"/>
      <c r="AA11" s="263"/>
      <c r="AB11" s="264"/>
      <c r="AC11" s="257"/>
      <c r="AD11" s="258"/>
      <c r="AE11" s="258"/>
      <c r="AF11" s="258"/>
      <c r="AG11" s="258"/>
      <c r="AH11" s="258"/>
      <c r="AI11" s="258"/>
      <c r="AJ11" s="258"/>
      <c r="AK11" s="258"/>
    </row>
    <row r="12" spans="2:37" ht="15.75" x14ac:dyDescent="0.25">
      <c r="B12" s="14" t="s">
        <v>26</v>
      </c>
      <c r="C12" s="4">
        <v>20.11</v>
      </c>
      <c r="D12" s="4">
        <v>17.04</v>
      </c>
      <c r="E12" s="4">
        <v>14.4</v>
      </c>
      <c r="F12" s="21">
        <f t="shared" si="0"/>
        <v>51.55</v>
      </c>
      <c r="G12" s="5">
        <f t="shared" si="1"/>
        <v>17.183333333333334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258"/>
      <c r="S12" s="259"/>
      <c r="T12" s="261"/>
      <c r="U12" s="261"/>
      <c r="V12" s="261"/>
      <c r="W12" s="262"/>
      <c r="X12" s="258"/>
      <c r="Y12" s="258"/>
      <c r="Z12" s="264"/>
      <c r="AA12" s="263"/>
      <c r="AB12" s="264"/>
      <c r="AC12" s="257"/>
      <c r="AD12" s="258"/>
      <c r="AE12" s="258"/>
      <c r="AF12" s="258"/>
      <c r="AG12" s="258"/>
      <c r="AH12" s="258"/>
      <c r="AI12" s="258"/>
      <c r="AJ12" s="258"/>
      <c r="AK12" s="258"/>
    </row>
    <row r="13" spans="2:37" ht="15.75" x14ac:dyDescent="0.25">
      <c r="B13" s="15" t="s">
        <v>1</v>
      </c>
      <c r="C13" s="7">
        <f>SUM(C4:C12)</f>
        <v>198.99</v>
      </c>
      <c r="D13" s="7">
        <f>SUM(D4:D12)</f>
        <v>196.89999999999998</v>
      </c>
      <c r="E13" s="7">
        <f>SUM(E4:E12)</f>
        <v>177.28</v>
      </c>
      <c r="F13" s="26">
        <f>SUM(F4:F12)</f>
        <v>573.16999999999996</v>
      </c>
      <c r="G13" s="31">
        <f>AVERAGE(G4:G12)</f>
        <v>21.816296296296297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258"/>
      <c r="S13" s="259"/>
      <c r="T13" s="261"/>
      <c r="U13" s="261"/>
      <c r="V13" s="261"/>
      <c r="W13" s="262"/>
      <c r="X13" s="258"/>
      <c r="Y13" s="258"/>
      <c r="Z13" s="264"/>
      <c r="AA13" s="263"/>
      <c r="AB13" s="264"/>
      <c r="AC13" s="257"/>
      <c r="AD13" s="258"/>
      <c r="AE13" s="258"/>
      <c r="AF13" s="258"/>
      <c r="AG13" s="258"/>
      <c r="AH13" s="258"/>
      <c r="AI13" s="258"/>
      <c r="AJ13" s="258"/>
      <c r="AK13" s="258"/>
    </row>
    <row r="14" spans="2:37" ht="15.75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258"/>
      <c r="S14" s="259"/>
      <c r="T14" s="261"/>
      <c r="U14" s="261"/>
      <c r="V14" s="261"/>
      <c r="W14" s="262"/>
      <c r="X14" s="258"/>
      <c r="Y14" s="258"/>
      <c r="Z14" s="264"/>
      <c r="AA14" s="263"/>
      <c r="AB14" s="264"/>
      <c r="AC14" s="257"/>
      <c r="AD14" s="258"/>
      <c r="AE14" s="258"/>
      <c r="AF14" s="258"/>
      <c r="AG14" s="258"/>
      <c r="AH14" s="258"/>
      <c r="AI14" s="258"/>
      <c r="AJ14" s="258"/>
      <c r="AK14" s="258"/>
    </row>
    <row r="15" spans="2:37" ht="15.75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258"/>
      <c r="S15" s="259"/>
      <c r="T15" s="261"/>
      <c r="U15" s="261"/>
      <c r="V15" s="261"/>
      <c r="W15" s="262"/>
      <c r="X15" s="258"/>
      <c r="Y15" s="258"/>
      <c r="Z15" s="264"/>
      <c r="AA15" s="263"/>
      <c r="AB15" s="264"/>
      <c r="AC15" s="257"/>
      <c r="AD15" s="258"/>
      <c r="AE15" s="258"/>
      <c r="AF15" s="258"/>
      <c r="AG15" s="258"/>
      <c r="AH15" s="258"/>
      <c r="AI15" s="258"/>
      <c r="AJ15" s="258"/>
      <c r="AK15" s="258"/>
    </row>
    <row r="16" spans="2:37" ht="15.75" x14ac:dyDescent="0.25">
      <c r="B16" s="194" t="s">
        <v>27</v>
      </c>
      <c r="C16" s="194"/>
      <c r="D16" s="194"/>
      <c r="E16" s="194"/>
      <c r="F16" s="194"/>
      <c r="G16" s="194"/>
      <c r="H16" s="194"/>
      <c r="I16" s="194"/>
      <c r="J16" s="3"/>
      <c r="K16" s="3"/>
      <c r="L16" s="25" t="s">
        <v>28</v>
      </c>
      <c r="M16" s="25" t="s">
        <v>29</v>
      </c>
      <c r="N16" s="25" t="s">
        <v>30</v>
      </c>
      <c r="O16" s="3"/>
      <c r="P16" s="3"/>
      <c r="Q16" s="3"/>
      <c r="R16" s="258"/>
      <c r="S16" s="259"/>
      <c r="T16" s="261"/>
      <c r="U16" s="261"/>
      <c r="V16" s="261"/>
      <c r="W16" s="262"/>
      <c r="X16" s="258"/>
      <c r="Y16" s="258"/>
      <c r="Z16" s="264"/>
      <c r="AA16" s="263"/>
      <c r="AB16" s="264"/>
      <c r="AC16" s="257"/>
      <c r="AD16" s="258"/>
      <c r="AE16" s="258"/>
      <c r="AF16" s="258"/>
      <c r="AG16" s="258"/>
      <c r="AH16" s="258"/>
      <c r="AI16" s="258"/>
      <c r="AJ16" s="258"/>
      <c r="AK16" s="258"/>
    </row>
    <row r="17" spans="2:37" ht="15.75" x14ac:dyDescent="0.25">
      <c r="B17" s="195" t="s">
        <v>31</v>
      </c>
      <c r="C17" s="195" t="s">
        <v>32</v>
      </c>
      <c r="D17" s="195" t="s">
        <v>33</v>
      </c>
      <c r="E17" s="195" t="s">
        <v>34</v>
      </c>
      <c r="F17" s="195" t="s">
        <v>35</v>
      </c>
      <c r="G17" s="195" t="s">
        <v>36</v>
      </c>
      <c r="H17" s="195"/>
      <c r="I17" s="195" t="s">
        <v>37</v>
      </c>
      <c r="J17" s="3"/>
      <c r="K17" s="3"/>
      <c r="L17" s="4">
        <f>SQRT(E24/Q2)</f>
        <v>1.5682495779317513</v>
      </c>
      <c r="M17" s="8">
        <v>3.65</v>
      </c>
      <c r="N17" s="4">
        <f>L17*M17</f>
        <v>5.7241109594508925</v>
      </c>
      <c r="O17" s="3"/>
      <c r="P17" s="3"/>
      <c r="Q17" s="3"/>
      <c r="R17" s="258"/>
      <c r="S17" s="259"/>
      <c r="T17" s="261"/>
      <c r="U17" s="261"/>
      <c r="V17" s="261"/>
      <c r="W17" s="262"/>
      <c r="X17" s="258"/>
      <c r="Y17" s="258"/>
      <c r="Z17" s="264"/>
      <c r="AA17" s="263"/>
      <c r="AB17" s="264"/>
      <c r="AC17" s="257"/>
      <c r="AD17" s="258"/>
      <c r="AE17" s="258"/>
      <c r="AF17" s="258"/>
      <c r="AG17" s="258"/>
      <c r="AH17" s="258"/>
      <c r="AI17" s="258"/>
      <c r="AJ17" s="258"/>
      <c r="AK17" s="258"/>
    </row>
    <row r="18" spans="2:37" ht="15.75" x14ac:dyDescent="0.25">
      <c r="B18" s="195"/>
      <c r="C18" s="195"/>
      <c r="D18" s="195"/>
      <c r="E18" s="195"/>
      <c r="F18" s="195"/>
      <c r="G18" s="18">
        <v>0.05</v>
      </c>
      <c r="H18" s="18">
        <v>0.01</v>
      </c>
      <c r="I18" s="195"/>
      <c r="J18" s="3"/>
      <c r="K18" s="3"/>
      <c r="L18" s="34" t="s">
        <v>38</v>
      </c>
      <c r="M18" s="196">
        <f>M17*L17</f>
        <v>5.7241109594508925</v>
      </c>
      <c r="N18" s="197"/>
      <c r="O18" s="3"/>
      <c r="P18" s="3"/>
      <c r="Q18" s="3"/>
      <c r="R18" s="258"/>
      <c r="S18" s="259"/>
      <c r="T18" s="261"/>
      <c r="U18" s="261"/>
      <c r="V18" s="261"/>
      <c r="W18" s="262"/>
      <c r="X18" s="258"/>
      <c r="Y18" s="258"/>
      <c r="Z18" s="264"/>
      <c r="AA18" s="263"/>
      <c r="AB18" s="264"/>
      <c r="AC18" s="257"/>
      <c r="AD18" s="258"/>
      <c r="AE18" s="258"/>
      <c r="AF18" s="258"/>
      <c r="AG18" s="258"/>
      <c r="AH18" s="258"/>
      <c r="AI18" s="258"/>
      <c r="AJ18" s="258"/>
      <c r="AK18" s="258"/>
    </row>
    <row r="19" spans="2:37" ht="15.75" x14ac:dyDescent="0.25">
      <c r="B19" s="17" t="s">
        <v>39</v>
      </c>
      <c r="C19" s="8">
        <f>Q3-1</f>
        <v>2</v>
      </c>
      <c r="D19" s="4">
        <f>SUMSQ(C13:E13)/(Q4*Q5)-Q7</f>
        <v>31.875429629631981</v>
      </c>
      <c r="E19" s="4">
        <f t="shared" ref="E19:E25" si="2">D19/C19</f>
        <v>15.93771481481599</v>
      </c>
      <c r="F19" s="19">
        <f>E19/E24</f>
        <v>0.72003429680542508</v>
      </c>
      <c r="G19" s="4">
        <f>FINV(G18,C19,C24)</f>
        <v>3.6337234675916301</v>
      </c>
      <c r="H19" s="4">
        <f>FINV(H18,C19,C24)</f>
        <v>6.2262352803113821</v>
      </c>
      <c r="I19" s="23" t="str">
        <f>IF(F19&lt;G19,"tn",IF(F19&lt;H19,"*","**"))</f>
        <v>tn</v>
      </c>
      <c r="J19" s="3"/>
      <c r="K19" s="3"/>
      <c r="L19" s="3"/>
      <c r="M19" s="3"/>
      <c r="N19" s="3"/>
      <c r="O19" s="3"/>
      <c r="P19" s="3"/>
      <c r="Q19" s="3"/>
      <c r="R19" s="258"/>
      <c r="S19" s="259"/>
      <c r="T19" s="261"/>
      <c r="U19" s="261"/>
      <c r="V19" s="261"/>
      <c r="W19" s="262"/>
      <c r="X19" s="258"/>
      <c r="Y19" s="258"/>
      <c r="Z19" s="264"/>
      <c r="AA19" s="263"/>
      <c r="AB19" s="264"/>
      <c r="AC19" s="257"/>
      <c r="AD19" s="258"/>
      <c r="AE19" s="258"/>
      <c r="AF19" s="258"/>
      <c r="AG19" s="258"/>
      <c r="AH19" s="258"/>
      <c r="AI19" s="258"/>
      <c r="AJ19" s="258"/>
      <c r="AK19" s="258"/>
    </row>
    <row r="20" spans="2:37" ht="15.75" x14ac:dyDescent="0.25">
      <c r="B20" s="17" t="s">
        <v>40</v>
      </c>
      <c r="C20" s="8">
        <f>Q4*Q5-1</f>
        <v>8</v>
      </c>
      <c r="D20" s="4">
        <f>SUMSQ(F4:F12)/Q3-Q7</f>
        <v>897.94174074074363</v>
      </c>
      <c r="E20" s="4">
        <f t="shared" si="2"/>
        <v>112.24271759259295</v>
      </c>
      <c r="F20" s="19">
        <f>E20/E24</f>
        <v>5.0709030229466858</v>
      </c>
      <c r="G20" s="4">
        <f>FINV(G18,C20,C24)</f>
        <v>2.5910961798744014</v>
      </c>
      <c r="H20" s="4">
        <f>FINV(H18,C20,C24)</f>
        <v>3.8895721399261927</v>
      </c>
      <c r="I20" s="24" t="str">
        <f>IF(F20&lt;G20,"tn",IF(F20&lt;H20,"*","**"))</f>
        <v>**</v>
      </c>
      <c r="J20" s="3" t="s">
        <v>112</v>
      </c>
      <c r="K20" s="3"/>
      <c r="L20" s="9" t="s">
        <v>40</v>
      </c>
      <c r="M20" s="9" t="s">
        <v>41</v>
      </c>
      <c r="N20" s="9" t="s">
        <v>42</v>
      </c>
      <c r="O20" s="3"/>
      <c r="P20" s="3"/>
      <c r="Q20" s="3"/>
      <c r="R20" s="258"/>
      <c r="S20" s="259"/>
      <c r="T20" s="261"/>
      <c r="U20" s="261"/>
      <c r="V20" s="261"/>
      <c r="W20" s="262"/>
      <c r="X20" s="258"/>
      <c r="Y20" s="258"/>
      <c r="Z20" s="264"/>
      <c r="AA20" s="263"/>
      <c r="AB20" s="264"/>
      <c r="AC20" s="257"/>
      <c r="AD20" s="258"/>
      <c r="AE20" s="258"/>
      <c r="AF20" s="258"/>
      <c r="AG20" s="258"/>
      <c r="AH20" s="258"/>
      <c r="AI20" s="258"/>
      <c r="AJ20" s="258"/>
      <c r="AK20" s="258"/>
    </row>
    <row r="21" spans="2:37" ht="15.75" x14ac:dyDescent="0.25">
      <c r="B21" s="17" t="s">
        <v>43</v>
      </c>
      <c r="C21" s="8">
        <f>Q4-1</f>
        <v>2</v>
      </c>
      <c r="D21" s="4">
        <f>SUMSQ(M5:M7)/(Q4*Q3)-Q7</f>
        <v>325.51185185185386</v>
      </c>
      <c r="E21" s="4">
        <f t="shared" si="2"/>
        <v>162.75592592592693</v>
      </c>
      <c r="F21" s="19">
        <f>E21/E24</f>
        <v>7.3529894364811215</v>
      </c>
      <c r="G21" s="4">
        <f>FINV(G18,C21,C24)</f>
        <v>3.6337234675916301</v>
      </c>
      <c r="H21" s="4">
        <f>FINV(H18,C21,C24)</f>
        <v>6.2262352803113821</v>
      </c>
      <c r="I21" s="24" t="str">
        <f>IF(F21&lt;G21,"tn",IF(F21&lt;H21,"*","**"))</f>
        <v>**</v>
      </c>
      <c r="J21" s="3" t="s">
        <v>112</v>
      </c>
      <c r="K21" s="3"/>
      <c r="L21" s="10" t="s">
        <v>15</v>
      </c>
      <c r="M21" s="5">
        <f>N5</f>
        <v>25.743333333333332</v>
      </c>
      <c r="N21" s="163" t="s">
        <v>115</v>
      </c>
      <c r="O21" s="11">
        <f>M21+M$24</f>
        <v>31.467444292784226</v>
      </c>
      <c r="P21" s="3"/>
      <c r="Q21" s="3"/>
      <c r="R21" s="258"/>
      <c r="S21" s="258"/>
      <c r="T21" s="258"/>
      <c r="U21" s="258"/>
      <c r="V21" s="258"/>
      <c r="W21" s="258"/>
      <c r="X21" s="258"/>
      <c r="Y21" s="258"/>
      <c r="Z21" s="264"/>
      <c r="AA21" s="263"/>
      <c r="AB21" s="264"/>
      <c r="AC21" s="257"/>
      <c r="AD21" s="258"/>
      <c r="AE21" s="258"/>
      <c r="AF21" s="258"/>
      <c r="AG21" s="258"/>
      <c r="AH21" s="258"/>
      <c r="AI21" s="258"/>
      <c r="AJ21" s="258"/>
      <c r="AK21" s="258"/>
    </row>
    <row r="22" spans="2:37" ht="15.75" x14ac:dyDescent="0.25">
      <c r="B22" s="17" t="s">
        <v>16</v>
      </c>
      <c r="C22" s="8">
        <f>Q5-1</f>
        <v>2</v>
      </c>
      <c r="D22" s="4">
        <f>SUMSQ(J8:L8)/(Q5*Q3)-Q7</f>
        <v>394.14129629629679</v>
      </c>
      <c r="E22" s="4">
        <f>D22/C22</f>
        <v>197.07064814814839</v>
      </c>
      <c r="F22" s="19">
        <f>E22/E24</f>
        <v>8.9032604240371249</v>
      </c>
      <c r="G22" s="4">
        <f>FINV(G18,C22,C24)</f>
        <v>3.6337234675916301</v>
      </c>
      <c r="H22" s="4">
        <f>FINV(H18,C22,C24)</f>
        <v>6.2262352803113821</v>
      </c>
      <c r="I22" s="24" t="str">
        <f>IF(F22&lt;G22,"tn",IF(F22&lt;H22,"*","**"))</f>
        <v>**</v>
      </c>
      <c r="J22" s="3" t="s">
        <v>112</v>
      </c>
      <c r="K22" s="3"/>
      <c r="L22" s="10" t="s">
        <v>18</v>
      </c>
      <c r="M22" s="5">
        <f>N6</f>
        <v>20.643333333333331</v>
      </c>
      <c r="N22" s="163" t="s">
        <v>113</v>
      </c>
      <c r="O22" s="11">
        <f>M22+M$24</f>
        <v>26.367444292784224</v>
      </c>
      <c r="P22" s="3"/>
      <c r="Q22" s="3"/>
      <c r="R22" s="258"/>
      <c r="S22" s="258"/>
      <c r="T22" s="258"/>
      <c r="U22" s="258"/>
      <c r="V22" s="258"/>
      <c r="W22" s="258"/>
      <c r="X22" s="258"/>
      <c r="Y22" s="258"/>
      <c r="Z22" s="264"/>
      <c r="AA22" s="263"/>
      <c r="AB22" s="264"/>
      <c r="AC22" s="257"/>
      <c r="AD22" s="258"/>
      <c r="AE22" s="258"/>
      <c r="AF22" s="258"/>
      <c r="AG22" s="258"/>
      <c r="AH22" s="258"/>
      <c r="AI22" s="258"/>
      <c r="AJ22" s="258"/>
      <c r="AK22" s="258"/>
    </row>
    <row r="23" spans="2:37" ht="15.75" x14ac:dyDescent="0.25">
      <c r="B23" s="17" t="s">
        <v>46</v>
      </c>
      <c r="C23" s="8">
        <f>C21*C22</f>
        <v>4</v>
      </c>
      <c r="D23" s="4">
        <f>D20-D21-D22</f>
        <v>178.28859259259298</v>
      </c>
      <c r="E23" s="4">
        <f t="shared" si="2"/>
        <v>44.572148148148244</v>
      </c>
      <c r="F23" s="19">
        <f>E23/E24</f>
        <v>2.0136811156342485</v>
      </c>
      <c r="G23" s="4">
        <f>FINV(G18,C23,C24)</f>
        <v>3.0069172799243447</v>
      </c>
      <c r="H23" s="4">
        <f>FINV(H18,C23,C24)</f>
        <v>4.772577999723211</v>
      </c>
      <c r="I23" s="23" t="str">
        <f>IF(F23&lt;G23,"tn",IF(F23&lt;H23,"*","**"))</f>
        <v>tn</v>
      </c>
      <c r="J23" s="3"/>
      <c r="K23" s="3"/>
      <c r="L23" s="10" t="s">
        <v>20</v>
      </c>
      <c r="M23" s="5">
        <f>N7</f>
        <v>17.298888888888889</v>
      </c>
      <c r="N23" s="163" t="s">
        <v>114</v>
      </c>
      <c r="O23" s="11">
        <f>M23+M$24</f>
        <v>23.022999848339783</v>
      </c>
      <c r="P23" s="3"/>
      <c r="Q23" s="3"/>
      <c r="R23" s="258"/>
      <c r="S23" s="259"/>
      <c r="T23" s="259"/>
      <c r="U23" s="258"/>
      <c r="V23" s="258"/>
      <c r="W23" s="258"/>
      <c r="X23" s="258"/>
      <c r="Y23" s="258"/>
      <c r="Z23" s="264"/>
      <c r="AA23" s="263"/>
      <c r="AB23" s="264"/>
      <c r="AC23" s="257"/>
      <c r="AD23" s="258"/>
      <c r="AE23" s="258"/>
      <c r="AF23" s="258"/>
      <c r="AG23" s="258"/>
      <c r="AH23" s="258"/>
      <c r="AI23" s="258"/>
      <c r="AJ23" s="258"/>
      <c r="AK23" s="258"/>
    </row>
    <row r="24" spans="2:37" ht="15.75" x14ac:dyDescent="0.25">
      <c r="B24" s="17" t="s">
        <v>47</v>
      </c>
      <c r="C24" s="8">
        <f>C25-C19-C20</f>
        <v>16</v>
      </c>
      <c r="D24" s="4">
        <f>D25-D19-D20</f>
        <v>354.15457037036867</v>
      </c>
      <c r="E24" s="4">
        <f t="shared" si="2"/>
        <v>22.134660648148042</v>
      </c>
      <c r="F24" s="28"/>
      <c r="G24" s="28"/>
      <c r="H24" s="28"/>
      <c r="I24" s="28"/>
      <c r="J24" s="3"/>
      <c r="K24" s="3"/>
      <c r="L24" s="34" t="s">
        <v>38</v>
      </c>
      <c r="M24" s="196">
        <f>M17*L17</f>
        <v>5.7241109594508925</v>
      </c>
      <c r="N24" s="197"/>
      <c r="O24" s="3"/>
      <c r="P24" s="3"/>
      <c r="Q24" s="3"/>
      <c r="R24" s="258"/>
      <c r="S24" s="265"/>
      <c r="T24" s="262"/>
      <c r="U24" s="258"/>
      <c r="V24" s="258"/>
      <c r="W24" s="258"/>
      <c r="X24" s="258"/>
      <c r="Y24" s="258"/>
      <c r="Z24" s="264"/>
      <c r="AA24" s="263"/>
      <c r="AB24" s="264"/>
      <c r="AC24" s="257"/>
      <c r="AD24" s="258"/>
      <c r="AE24" s="258"/>
      <c r="AF24" s="258"/>
      <c r="AG24" s="258"/>
      <c r="AH24" s="258"/>
      <c r="AI24" s="258"/>
      <c r="AJ24" s="258"/>
      <c r="AK24" s="258"/>
    </row>
    <row r="25" spans="2:37" ht="15.75" x14ac:dyDescent="0.25">
      <c r="B25" s="17" t="s">
        <v>48</v>
      </c>
      <c r="C25" s="8">
        <f>Q4*Q5*Q3-1</f>
        <v>26</v>
      </c>
      <c r="D25" s="12">
        <f>SUMSQ(C4:E12)-Q7</f>
        <v>1283.9717407407443</v>
      </c>
      <c r="E25" s="4">
        <f t="shared" si="2"/>
        <v>49.383528490028624</v>
      </c>
      <c r="F25" s="28"/>
      <c r="G25" s="28"/>
      <c r="H25" s="28"/>
      <c r="I25" s="28"/>
      <c r="J25" s="3"/>
      <c r="K25" s="3"/>
      <c r="L25" s="10" t="s">
        <v>10</v>
      </c>
      <c r="M25" s="5">
        <f>J9</f>
        <v>26.621111111111112</v>
      </c>
      <c r="N25" s="163" t="s">
        <v>115</v>
      </c>
      <c r="O25" s="11">
        <f>M25+M$28</f>
        <v>32.345222070562002</v>
      </c>
      <c r="P25" s="3"/>
      <c r="Q25" s="3"/>
      <c r="R25" s="258"/>
      <c r="S25" s="265"/>
      <c r="T25" s="262"/>
      <c r="U25" s="258"/>
      <c r="V25" s="258"/>
      <c r="W25" s="258"/>
      <c r="X25" s="258"/>
      <c r="Y25" s="258"/>
      <c r="Z25" s="264"/>
      <c r="AA25" s="263"/>
      <c r="AB25" s="264"/>
      <c r="AC25" s="257"/>
      <c r="AD25" s="258"/>
      <c r="AE25" s="258"/>
      <c r="AF25" s="258"/>
      <c r="AG25" s="258"/>
      <c r="AH25" s="258"/>
      <c r="AI25" s="258"/>
      <c r="AJ25" s="258"/>
      <c r="AK25" s="258"/>
    </row>
    <row r="26" spans="2:37" ht="15.75" x14ac:dyDescent="0.25">
      <c r="L26" s="13" t="s">
        <v>11</v>
      </c>
      <c r="M26" s="5">
        <f>K9</f>
        <v>18.826666666666668</v>
      </c>
      <c r="N26" s="163" t="s">
        <v>113</v>
      </c>
      <c r="O26" s="11">
        <f>M26+M$28</f>
        <v>24.550777626117561</v>
      </c>
      <c r="R26" s="258"/>
      <c r="S26" s="265"/>
      <c r="T26" s="262"/>
      <c r="U26" s="258"/>
      <c r="V26" s="258"/>
      <c r="W26" s="258"/>
      <c r="X26" s="258"/>
      <c r="Y26" s="258"/>
      <c r="Z26" s="264"/>
      <c r="AA26" s="263"/>
      <c r="AB26" s="264"/>
      <c r="AC26" s="257"/>
      <c r="AD26" s="258"/>
      <c r="AE26" s="258"/>
      <c r="AF26" s="258"/>
      <c r="AG26" s="258"/>
      <c r="AH26" s="258"/>
      <c r="AI26" s="258"/>
      <c r="AJ26" s="258"/>
      <c r="AK26" s="258"/>
    </row>
    <row r="27" spans="2:37" ht="15.75" x14ac:dyDescent="0.25">
      <c r="L27" s="13" t="s">
        <v>12</v>
      </c>
      <c r="M27" s="5">
        <f>L9</f>
        <v>18.237777777777776</v>
      </c>
      <c r="N27" s="163" t="s">
        <v>114</v>
      </c>
      <c r="O27" s="11">
        <f>M27+M$28</f>
        <v>23.961888737228669</v>
      </c>
      <c r="R27" s="258"/>
      <c r="S27" s="265"/>
      <c r="T27" s="262"/>
      <c r="U27" s="258"/>
      <c r="V27" s="258"/>
      <c r="W27" s="258"/>
      <c r="X27" s="258"/>
      <c r="Y27" s="258"/>
      <c r="Z27" s="264"/>
      <c r="AA27" s="263"/>
      <c r="AB27" s="264"/>
      <c r="AC27" s="257"/>
      <c r="AD27" s="258"/>
      <c r="AE27" s="258"/>
      <c r="AF27" s="258"/>
      <c r="AG27" s="258"/>
      <c r="AH27" s="258"/>
      <c r="AI27" s="258"/>
      <c r="AJ27" s="258"/>
      <c r="AK27" s="258"/>
    </row>
    <row r="28" spans="2:37" ht="15.75" x14ac:dyDescent="0.25">
      <c r="C28" s="40"/>
      <c r="L28" s="32" t="s">
        <v>38</v>
      </c>
      <c r="M28" s="35">
        <f>M17*L17</f>
        <v>5.7241109594508925</v>
      </c>
      <c r="N28" s="33"/>
      <c r="R28" s="258"/>
      <c r="S28" s="265"/>
      <c r="T28" s="262"/>
      <c r="U28" s="258"/>
      <c r="V28" s="258"/>
      <c r="W28" s="258"/>
      <c r="X28" s="258"/>
      <c r="Y28" s="258"/>
      <c r="Z28" s="264"/>
      <c r="AA28" s="263"/>
      <c r="AB28" s="264"/>
      <c r="AC28" s="257"/>
      <c r="AD28" s="258"/>
      <c r="AE28" s="258"/>
      <c r="AF28" s="258"/>
      <c r="AG28" s="258"/>
      <c r="AH28" s="258"/>
      <c r="AI28" s="258"/>
      <c r="AJ28" s="258"/>
      <c r="AK28" s="258"/>
    </row>
    <row r="29" spans="2:37" ht="15.75" x14ac:dyDescent="0.25">
      <c r="C29" s="40"/>
      <c r="R29" s="258"/>
      <c r="S29" s="265"/>
      <c r="T29" s="262"/>
      <c r="U29" s="258"/>
      <c r="V29" s="258"/>
      <c r="W29" s="258"/>
      <c r="X29" s="258"/>
      <c r="Y29" s="258"/>
      <c r="Z29" s="264"/>
      <c r="AA29" s="263"/>
      <c r="AB29" s="264"/>
      <c r="AC29" s="257"/>
      <c r="AD29" s="258"/>
      <c r="AE29" s="258"/>
      <c r="AF29" s="258"/>
      <c r="AG29" s="258"/>
      <c r="AH29" s="258"/>
      <c r="AI29" s="258"/>
      <c r="AJ29" s="258"/>
      <c r="AK29" s="258"/>
    </row>
    <row r="30" spans="2:37" ht="15.75" x14ac:dyDescent="0.25">
      <c r="C30" s="40"/>
      <c r="R30" s="258"/>
      <c r="S30" s="265"/>
      <c r="T30" s="262"/>
      <c r="U30" s="258"/>
      <c r="V30" s="258"/>
      <c r="W30" s="258"/>
      <c r="X30" s="258"/>
      <c r="Y30" s="258"/>
      <c r="Z30" s="264"/>
      <c r="AA30" s="263"/>
      <c r="AB30" s="264"/>
      <c r="AC30" s="257"/>
      <c r="AD30" s="258"/>
      <c r="AE30" s="258"/>
      <c r="AF30" s="258"/>
      <c r="AG30" s="258"/>
      <c r="AH30" s="258"/>
      <c r="AI30" s="258"/>
      <c r="AJ30" s="258"/>
      <c r="AK30" s="258"/>
    </row>
    <row r="31" spans="2:37" ht="15.75" x14ac:dyDescent="0.25">
      <c r="R31" s="258"/>
      <c r="S31" s="265"/>
      <c r="T31" s="262"/>
      <c r="U31" s="258"/>
      <c r="V31" s="258"/>
      <c r="W31" s="258"/>
      <c r="X31" s="258"/>
      <c r="Y31" s="258"/>
      <c r="Z31" s="258"/>
      <c r="AA31" s="258"/>
      <c r="AB31" s="258"/>
      <c r="AC31" s="258"/>
      <c r="AD31" s="258"/>
      <c r="AE31" s="258"/>
      <c r="AF31" s="258"/>
      <c r="AG31" s="258"/>
      <c r="AH31" s="258"/>
      <c r="AI31" s="258"/>
      <c r="AJ31" s="258"/>
      <c r="AK31" s="258"/>
    </row>
    <row r="32" spans="2:37" ht="15.75" x14ac:dyDescent="0.25">
      <c r="R32" s="258"/>
      <c r="S32" s="265"/>
      <c r="T32" s="262"/>
      <c r="U32" s="258"/>
      <c r="V32" s="258"/>
      <c r="W32" s="258"/>
      <c r="X32" s="258"/>
      <c r="Y32" s="258"/>
      <c r="Z32" s="258"/>
      <c r="AA32" s="258"/>
      <c r="AB32" s="258"/>
      <c r="AC32" s="258"/>
      <c r="AD32" s="258"/>
      <c r="AE32" s="258"/>
      <c r="AF32" s="258"/>
      <c r="AG32" s="258"/>
      <c r="AH32" s="258"/>
      <c r="AI32" s="258"/>
      <c r="AJ32" s="258"/>
      <c r="AK32" s="258"/>
    </row>
    <row r="33" spans="18:37" x14ac:dyDescent="0.25">
      <c r="R33" s="258"/>
      <c r="S33" s="258"/>
      <c r="T33" s="258"/>
      <c r="U33" s="258"/>
      <c r="V33" s="258"/>
      <c r="W33" s="258"/>
      <c r="X33" s="258"/>
      <c r="Y33" s="258"/>
      <c r="Z33" s="258"/>
      <c r="AA33" s="258"/>
      <c r="AB33" s="258"/>
      <c r="AC33" s="258"/>
      <c r="AD33" s="258"/>
      <c r="AE33" s="258"/>
      <c r="AF33" s="258"/>
      <c r="AG33" s="258"/>
      <c r="AH33" s="258"/>
      <c r="AI33" s="258"/>
      <c r="AJ33" s="258"/>
      <c r="AK33" s="258"/>
    </row>
  </sheetData>
  <mergeCells count="18">
    <mergeCell ref="M18:N18"/>
    <mergeCell ref="M24:N24"/>
    <mergeCell ref="B16:I16"/>
    <mergeCell ref="B17:B18"/>
    <mergeCell ref="C17:C18"/>
    <mergeCell ref="D17:D18"/>
    <mergeCell ref="E17:E18"/>
    <mergeCell ref="F17:F18"/>
    <mergeCell ref="G17:H17"/>
    <mergeCell ref="I17:I18"/>
    <mergeCell ref="B2:E2"/>
    <mergeCell ref="F2:F3"/>
    <mergeCell ref="G2:G3"/>
    <mergeCell ref="I2:N2"/>
    <mergeCell ref="I3:I4"/>
    <mergeCell ref="J3:L3"/>
    <mergeCell ref="M3:M4"/>
    <mergeCell ref="N3:N4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topLeftCell="H19" zoomScale="80" zoomScaleNormal="80" workbookViewId="0">
      <selection activeCell="M23" sqref="M23:X42"/>
    </sheetView>
  </sheetViews>
  <sheetFormatPr defaultRowHeight="15" x14ac:dyDescent="0.25"/>
  <cols>
    <col min="2" max="2" width="14" customWidth="1"/>
    <col min="14" max="14" width="11" customWidth="1"/>
  </cols>
  <sheetData>
    <row r="1" spans="2:26" x14ac:dyDescent="0.25">
      <c r="B1" s="106"/>
      <c r="C1" s="106">
        <v>1</v>
      </c>
      <c r="D1" s="106">
        <v>2</v>
      </c>
      <c r="E1" s="106">
        <v>3</v>
      </c>
      <c r="F1" s="106">
        <v>4</v>
      </c>
      <c r="G1" s="106">
        <v>5</v>
      </c>
      <c r="H1" s="106">
        <v>6</v>
      </c>
      <c r="I1" s="106">
        <v>7</v>
      </c>
      <c r="J1" s="106">
        <v>8</v>
      </c>
      <c r="K1" s="106">
        <v>9</v>
      </c>
      <c r="L1" s="106"/>
      <c r="M1" s="106"/>
      <c r="N1" s="106"/>
      <c r="O1" s="106">
        <v>1</v>
      </c>
      <c r="P1" s="106">
        <v>2</v>
      </c>
      <c r="Q1" s="106">
        <v>3</v>
      </c>
      <c r="R1" s="106">
        <v>4</v>
      </c>
      <c r="S1" s="106">
        <v>5</v>
      </c>
      <c r="T1" s="106">
        <v>6</v>
      </c>
      <c r="U1" s="106">
        <v>7</v>
      </c>
      <c r="V1" s="106">
        <v>8</v>
      </c>
      <c r="W1" s="106">
        <v>9</v>
      </c>
      <c r="X1" s="106"/>
      <c r="Y1" s="106"/>
      <c r="Z1" s="106"/>
    </row>
    <row r="2" spans="2:26" ht="15.75" x14ac:dyDescent="0.25">
      <c r="B2" s="233" t="s">
        <v>51</v>
      </c>
      <c r="C2" s="233" t="s">
        <v>76</v>
      </c>
      <c r="D2" s="233"/>
      <c r="E2" s="233"/>
      <c r="F2" s="233"/>
      <c r="G2" s="233"/>
      <c r="H2" s="233"/>
      <c r="I2" s="233"/>
      <c r="J2" s="233"/>
      <c r="K2" s="103"/>
      <c r="L2" s="233" t="s">
        <v>1</v>
      </c>
      <c r="M2" s="3"/>
      <c r="N2" s="55" t="s">
        <v>52</v>
      </c>
      <c r="O2" s="42"/>
      <c r="P2" s="42"/>
      <c r="Q2" s="42"/>
      <c r="R2" s="42"/>
      <c r="S2" s="42"/>
      <c r="T2" s="42"/>
      <c r="U2" s="42"/>
      <c r="V2" s="42"/>
      <c r="W2" s="42"/>
      <c r="X2" s="43"/>
      <c r="Y2" s="106"/>
      <c r="Z2" s="69"/>
    </row>
    <row r="3" spans="2:26" ht="15.75" x14ac:dyDescent="0.25">
      <c r="B3" s="233"/>
      <c r="C3" s="103">
        <v>890</v>
      </c>
      <c r="D3" s="103">
        <v>873</v>
      </c>
      <c r="E3" s="103">
        <v>356</v>
      </c>
      <c r="F3" s="103">
        <v>851</v>
      </c>
      <c r="G3" s="103">
        <v>234</v>
      </c>
      <c r="H3" s="103">
        <v>941</v>
      </c>
      <c r="I3" s="103">
        <v>763</v>
      </c>
      <c r="J3" s="103">
        <v>567</v>
      </c>
      <c r="K3" s="103">
        <v>563</v>
      </c>
      <c r="L3" s="233"/>
      <c r="M3" s="44"/>
      <c r="N3" s="228" t="s">
        <v>51</v>
      </c>
      <c r="O3" s="230" t="s">
        <v>5</v>
      </c>
      <c r="P3" s="231"/>
      <c r="Q3" s="231"/>
      <c r="R3" s="231"/>
      <c r="S3" s="231"/>
      <c r="T3" s="231"/>
      <c r="U3" s="231"/>
      <c r="V3" s="231"/>
      <c r="W3" s="232"/>
      <c r="X3" s="233" t="s">
        <v>1</v>
      </c>
      <c r="Y3" s="106"/>
      <c r="Z3" s="69"/>
    </row>
    <row r="4" spans="2:26" ht="15.75" x14ac:dyDescent="0.25">
      <c r="B4" s="20" t="s">
        <v>62</v>
      </c>
      <c r="C4" s="56">
        <v>2</v>
      </c>
      <c r="D4" s="56">
        <v>2</v>
      </c>
      <c r="E4" s="56">
        <v>3</v>
      </c>
      <c r="F4" s="56">
        <v>3</v>
      </c>
      <c r="G4" s="56">
        <v>3</v>
      </c>
      <c r="H4" s="56">
        <v>2</v>
      </c>
      <c r="I4" s="56">
        <v>2</v>
      </c>
      <c r="J4" s="56">
        <v>4</v>
      </c>
      <c r="K4" s="56">
        <v>4</v>
      </c>
      <c r="L4" s="103">
        <f>SUM(C4:K4)</f>
        <v>25</v>
      </c>
      <c r="M4" s="3"/>
      <c r="N4" s="229"/>
      <c r="O4" s="103" t="s">
        <v>9</v>
      </c>
      <c r="P4" s="103" t="s">
        <v>14</v>
      </c>
      <c r="Q4" s="103" t="s">
        <v>17</v>
      </c>
      <c r="R4" s="103" t="s">
        <v>19</v>
      </c>
      <c r="S4" s="103" t="s">
        <v>22</v>
      </c>
      <c r="T4" s="103" t="s">
        <v>23</v>
      </c>
      <c r="U4" s="103" t="s">
        <v>24</v>
      </c>
      <c r="V4" s="103" t="s">
        <v>25</v>
      </c>
      <c r="W4" s="103" t="s">
        <v>26</v>
      </c>
      <c r="X4" s="233"/>
      <c r="Y4" s="106"/>
      <c r="Z4" s="106"/>
    </row>
    <row r="5" spans="2:26" ht="15.75" x14ac:dyDescent="0.25">
      <c r="B5" s="103" t="s">
        <v>63</v>
      </c>
      <c r="C5" s="56">
        <v>5</v>
      </c>
      <c r="D5" s="56">
        <v>3</v>
      </c>
      <c r="E5" s="56">
        <v>5</v>
      </c>
      <c r="F5" s="56">
        <v>2</v>
      </c>
      <c r="G5" s="56">
        <v>3</v>
      </c>
      <c r="H5" s="56">
        <v>4</v>
      </c>
      <c r="I5" s="56">
        <v>5</v>
      </c>
      <c r="J5" s="56">
        <v>3</v>
      </c>
      <c r="K5" s="56">
        <v>4</v>
      </c>
      <c r="L5" s="103">
        <f>SUM(C5:K5)</f>
        <v>34</v>
      </c>
      <c r="M5" s="3"/>
      <c r="N5" s="103">
        <v>1</v>
      </c>
      <c r="O5" s="60">
        <f>(1+2+3+4)/4</f>
        <v>2.5</v>
      </c>
      <c r="P5" s="60">
        <f>(1+2+3+4)/4</f>
        <v>2.5</v>
      </c>
      <c r="Q5" s="60">
        <f>(5+6+7)/3</f>
        <v>6</v>
      </c>
      <c r="R5" s="60">
        <f>(5+6+7)/3</f>
        <v>6</v>
      </c>
      <c r="S5" s="60">
        <f>(5+6+7)/3</f>
        <v>6</v>
      </c>
      <c r="T5" s="60">
        <f>(1+2+3+4)/4</f>
        <v>2.5</v>
      </c>
      <c r="U5" s="60">
        <f>(1+2+3+4)/4</f>
        <v>2.5</v>
      </c>
      <c r="V5" s="60">
        <f>(8+9)/2</f>
        <v>8.5</v>
      </c>
      <c r="W5" s="60">
        <f>(8+9)/2</f>
        <v>8.5</v>
      </c>
      <c r="X5" s="4">
        <f>SUM(O5:W5)</f>
        <v>45</v>
      </c>
      <c r="Y5" s="106"/>
      <c r="Z5" s="106"/>
    </row>
    <row r="6" spans="2:26" ht="15.75" x14ac:dyDescent="0.25">
      <c r="B6" s="103" t="s">
        <v>64</v>
      </c>
      <c r="C6" s="56">
        <v>3</v>
      </c>
      <c r="D6" s="56">
        <v>5</v>
      </c>
      <c r="E6" s="56">
        <v>4</v>
      </c>
      <c r="F6" s="56">
        <v>3</v>
      </c>
      <c r="G6" s="56">
        <v>3</v>
      </c>
      <c r="H6" s="56">
        <v>3</v>
      </c>
      <c r="I6" s="56">
        <v>4</v>
      </c>
      <c r="J6" s="56">
        <v>2</v>
      </c>
      <c r="K6" s="56">
        <v>2</v>
      </c>
      <c r="L6" s="103">
        <f>SUM(C6:K6)</f>
        <v>29</v>
      </c>
      <c r="M6" s="3"/>
      <c r="N6" s="103">
        <v>2</v>
      </c>
      <c r="O6" s="60">
        <f>(7+8+9)/3</f>
        <v>8</v>
      </c>
      <c r="P6" s="60">
        <f>(2+3+4)/3</f>
        <v>3</v>
      </c>
      <c r="Q6" s="60">
        <f>(7+8+9)/3</f>
        <v>8</v>
      </c>
      <c r="R6" s="60">
        <f>1</f>
        <v>1</v>
      </c>
      <c r="S6" s="60">
        <f>(2+3+4)/3</f>
        <v>3</v>
      </c>
      <c r="T6" s="60">
        <f>(5+6)/2</f>
        <v>5.5</v>
      </c>
      <c r="U6" s="60">
        <f>(7+8+9)/3</f>
        <v>8</v>
      </c>
      <c r="V6" s="60">
        <f>(2+3+4)/3</f>
        <v>3</v>
      </c>
      <c r="W6" s="60">
        <f>(5+6)/2</f>
        <v>5.5</v>
      </c>
      <c r="X6" s="4">
        <f>SUM(O6:W6)</f>
        <v>45</v>
      </c>
      <c r="Y6" s="106"/>
      <c r="Z6" s="66"/>
    </row>
    <row r="7" spans="2:26" ht="15.75" x14ac:dyDescent="0.25">
      <c r="B7" s="103" t="s">
        <v>65</v>
      </c>
      <c r="C7" s="56">
        <v>5</v>
      </c>
      <c r="D7" s="56">
        <v>4</v>
      </c>
      <c r="E7" s="56">
        <v>4</v>
      </c>
      <c r="F7" s="56">
        <v>4</v>
      </c>
      <c r="G7" s="56">
        <v>3</v>
      </c>
      <c r="H7" s="56">
        <v>5</v>
      </c>
      <c r="I7" s="56">
        <v>2</v>
      </c>
      <c r="J7" s="56">
        <v>4</v>
      </c>
      <c r="K7" s="56">
        <v>3</v>
      </c>
      <c r="L7" s="103">
        <f>SUM(C7:K7)</f>
        <v>34</v>
      </c>
      <c r="M7" s="3"/>
      <c r="N7" s="103">
        <v>3</v>
      </c>
      <c r="O7" s="60">
        <f>(3+4+5+6)/4</f>
        <v>4.5</v>
      </c>
      <c r="P7" s="60">
        <f>9/1</f>
        <v>9</v>
      </c>
      <c r="Q7" s="60">
        <f>(7+8)/2</f>
        <v>7.5</v>
      </c>
      <c r="R7" s="60">
        <f t="shared" ref="R7:T7" si="0">(3+4+5+6)/4</f>
        <v>4.5</v>
      </c>
      <c r="S7" s="60">
        <f t="shared" si="0"/>
        <v>4.5</v>
      </c>
      <c r="T7" s="60">
        <f t="shared" si="0"/>
        <v>4.5</v>
      </c>
      <c r="U7" s="60">
        <f>(7+8)/2</f>
        <v>7.5</v>
      </c>
      <c r="V7" s="60">
        <f>(1+2)/2</f>
        <v>1.5</v>
      </c>
      <c r="W7" s="60">
        <f>(1+2)/2</f>
        <v>1.5</v>
      </c>
      <c r="X7" s="4">
        <f>SUM(O7:W7)</f>
        <v>45</v>
      </c>
      <c r="Y7" s="106"/>
      <c r="Z7" s="68"/>
    </row>
    <row r="8" spans="2:26" ht="15.75" x14ac:dyDescent="0.25">
      <c r="B8" s="103" t="s">
        <v>66</v>
      </c>
      <c r="C8" s="56">
        <v>3</v>
      </c>
      <c r="D8" s="56">
        <v>4</v>
      </c>
      <c r="E8" s="56">
        <v>5</v>
      </c>
      <c r="F8" s="56">
        <v>2</v>
      </c>
      <c r="G8" s="56">
        <v>2</v>
      </c>
      <c r="H8" s="56">
        <v>5</v>
      </c>
      <c r="I8" s="56">
        <v>2</v>
      </c>
      <c r="J8" s="56">
        <v>3</v>
      </c>
      <c r="K8" s="56">
        <v>3</v>
      </c>
      <c r="L8" s="103">
        <f>SUM(C8:K8)</f>
        <v>29</v>
      </c>
      <c r="M8" s="3"/>
      <c r="N8" s="103">
        <v>4</v>
      </c>
      <c r="O8" s="60">
        <f>(8+9)/2</f>
        <v>8.5</v>
      </c>
      <c r="P8" s="60">
        <f>(4+5+6+7)/4</f>
        <v>5.5</v>
      </c>
      <c r="Q8" s="60">
        <f t="shared" ref="Q8:R8" si="1">(4+5+6+7)/4</f>
        <v>5.5</v>
      </c>
      <c r="R8" s="60">
        <f t="shared" si="1"/>
        <v>5.5</v>
      </c>
      <c r="S8" s="60">
        <f>(2+3)/2</f>
        <v>2.5</v>
      </c>
      <c r="T8" s="60">
        <f>(8+9)/2</f>
        <v>8.5</v>
      </c>
      <c r="U8" s="60">
        <f>1</f>
        <v>1</v>
      </c>
      <c r="V8" s="60">
        <f>(4+5+6+7)/4</f>
        <v>5.5</v>
      </c>
      <c r="W8" s="60">
        <f>(2+3)/2</f>
        <v>2.5</v>
      </c>
      <c r="X8" s="4">
        <f>SUM(O8:W8)</f>
        <v>45</v>
      </c>
      <c r="Y8" s="106"/>
      <c r="Z8" s="68"/>
    </row>
    <row r="9" spans="2:26" ht="15.75" x14ac:dyDescent="0.25">
      <c r="B9" s="103" t="s">
        <v>67</v>
      </c>
      <c r="C9" s="56">
        <v>5</v>
      </c>
      <c r="D9" s="56">
        <v>4</v>
      </c>
      <c r="E9" s="56">
        <v>4</v>
      </c>
      <c r="F9" s="56">
        <v>3</v>
      </c>
      <c r="G9" s="56">
        <v>3</v>
      </c>
      <c r="H9" s="56">
        <v>3</v>
      </c>
      <c r="I9" s="56">
        <v>1</v>
      </c>
      <c r="J9" s="56">
        <v>4</v>
      </c>
      <c r="K9" s="56">
        <v>2</v>
      </c>
      <c r="L9" s="103">
        <f t="shared" ref="L9:L17" si="2">SUM(C9:K9)</f>
        <v>29</v>
      </c>
      <c r="M9" s="3"/>
      <c r="N9" s="103">
        <v>5</v>
      </c>
      <c r="O9" s="60">
        <f>(4+5+6)/3</f>
        <v>5</v>
      </c>
      <c r="P9" s="60">
        <f>7/1</f>
        <v>7</v>
      </c>
      <c r="Q9" s="60">
        <f>(8+9)/2</f>
        <v>8.5</v>
      </c>
      <c r="R9" s="60">
        <f>(1+2+3)/3</f>
        <v>2</v>
      </c>
      <c r="S9" s="60">
        <f>(1+2+3)/3</f>
        <v>2</v>
      </c>
      <c r="T9" s="60">
        <f>(8+9)/2</f>
        <v>8.5</v>
      </c>
      <c r="U9" s="60">
        <f>(1+2+3)/3</f>
        <v>2</v>
      </c>
      <c r="V9" s="60">
        <f>(4+5+6)/3</f>
        <v>5</v>
      </c>
      <c r="W9" s="60">
        <f>(4+5+6)/3</f>
        <v>5</v>
      </c>
      <c r="X9" s="4">
        <f t="shared" ref="X9:X19" si="3">SUM(O9:W9)</f>
        <v>45</v>
      </c>
      <c r="Y9" s="106"/>
      <c r="Z9" s="68"/>
    </row>
    <row r="10" spans="2:26" ht="15.75" x14ac:dyDescent="0.25">
      <c r="B10" s="103" t="s">
        <v>68</v>
      </c>
      <c r="C10" s="56">
        <v>4</v>
      </c>
      <c r="D10" s="56">
        <v>4</v>
      </c>
      <c r="E10" s="56">
        <v>4</v>
      </c>
      <c r="F10" s="56">
        <v>4</v>
      </c>
      <c r="G10" s="56">
        <v>4</v>
      </c>
      <c r="H10" s="56">
        <v>4</v>
      </c>
      <c r="I10" s="56">
        <v>4</v>
      </c>
      <c r="J10" s="56">
        <v>3</v>
      </c>
      <c r="K10" s="56">
        <v>4</v>
      </c>
      <c r="L10" s="103">
        <f t="shared" si="2"/>
        <v>35</v>
      </c>
      <c r="M10" s="3"/>
      <c r="N10" s="103">
        <v>6</v>
      </c>
      <c r="O10" s="60">
        <f>9/1</f>
        <v>9</v>
      </c>
      <c r="P10" s="60">
        <f>(6+7+8)/3</f>
        <v>7</v>
      </c>
      <c r="Q10" s="60">
        <f>(6+7+8)/3</f>
        <v>7</v>
      </c>
      <c r="R10" s="60">
        <f t="shared" ref="R10:S10" si="4">(3+4+5)/3</f>
        <v>4</v>
      </c>
      <c r="S10" s="60">
        <f t="shared" si="4"/>
        <v>4</v>
      </c>
      <c r="T10" s="60">
        <f>(3+4+5)/3</f>
        <v>4</v>
      </c>
      <c r="U10" s="60">
        <f>1</f>
        <v>1</v>
      </c>
      <c r="V10" s="60">
        <f>(6+7+8)/3</f>
        <v>7</v>
      </c>
      <c r="W10" s="60">
        <f>2/1</f>
        <v>2</v>
      </c>
      <c r="X10" s="4">
        <f t="shared" si="3"/>
        <v>45</v>
      </c>
      <c r="Y10" s="106"/>
      <c r="Z10" s="68"/>
    </row>
    <row r="11" spans="2:26" ht="15.75" x14ac:dyDescent="0.25">
      <c r="B11" s="103" t="s">
        <v>69</v>
      </c>
      <c r="C11" s="56">
        <v>4</v>
      </c>
      <c r="D11" s="56">
        <v>4</v>
      </c>
      <c r="E11" s="56">
        <v>4</v>
      </c>
      <c r="F11" s="56">
        <v>4</v>
      </c>
      <c r="G11" s="56">
        <v>4</v>
      </c>
      <c r="H11" s="56">
        <v>4</v>
      </c>
      <c r="I11" s="56">
        <v>4</v>
      </c>
      <c r="J11" s="56">
        <v>4</v>
      </c>
      <c r="K11" s="56">
        <v>3</v>
      </c>
      <c r="L11" s="103">
        <f t="shared" si="2"/>
        <v>35</v>
      </c>
      <c r="M11" s="3"/>
      <c r="N11" s="103">
        <v>7</v>
      </c>
      <c r="O11" s="60">
        <f t="shared" ref="O11:V12" si="5">(2+3+4+5+6+7+8+9)/8</f>
        <v>5.5</v>
      </c>
      <c r="P11" s="60">
        <f t="shared" si="5"/>
        <v>5.5</v>
      </c>
      <c r="Q11" s="60">
        <f t="shared" si="5"/>
        <v>5.5</v>
      </c>
      <c r="R11" s="60">
        <f t="shared" si="5"/>
        <v>5.5</v>
      </c>
      <c r="S11" s="60">
        <f t="shared" si="5"/>
        <v>5.5</v>
      </c>
      <c r="T11" s="60">
        <f t="shared" si="5"/>
        <v>5.5</v>
      </c>
      <c r="U11" s="60">
        <f t="shared" si="5"/>
        <v>5.5</v>
      </c>
      <c r="V11" s="60">
        <f>1</f>
        <v>1</v>
      </c>
      <c r="W11" s="60">
        <f>(2+3+4+5+6+7+8+9)/8</f>
        <v>5.5</v>
      </c>
      <c r="X11" s="4">
        <f t="shared" si="3"/>
        <v>45</v>
      </c>
      <c r="Y11" s="106"/>
      <c r="Z11" s="68"/>
    </row>
    <row r="12" spans="2:26" ht="15.75" x14ac:dyDescent="0.25">
      <c r="B12" s="103" t="s">
        <v>70</v>
      </c>
      <c r="C12" s="56">
        <v>4</v>
      </c>
      <c r="D12" s="56">
        <v>4</v>
      </c>
      <c r="E12" s="56">
        <v>3</v>
      </c>
      <c r="F12" s="56">
        <v>3</v>
      </c>
      <c r="G12" s="56">
        <v>4</v>
      </c>
      <c r="H12" s="56">
        <v>3</v>
      </c>
      <c r="I12" s="56">
        <v>4</v>
      </c>
      <c r="J12" s="56">
        <v>4</v>
      </c>
      <c r="K12" s="56">
        <v>4</v>
      </c>
      <c r="L12" s="103">
        <f t="shared" si="2"/>
        <v>33</v>
      </c>
      <c r="M12" s="3"/>
      <c r="N12" s="103">
        <v>8</v>
      </c>
      <c r="O12" s="60">
        <f t="shared" si="5"/>
        <v>5.5</v>
      </c>
      <c r="P12" s="60">
        <f t="shared" si="5"/>
        <v>5.5</v>
      </c>
      <c r="Q12" s="60">
        <f t="shared" si="5"/>
        <v>5.5</v>
      </c>
      <c r="R12" s="60">
        <f t="shared" si="5"/>
        <v>5.5</v>
      </c>
      <c r="S12" s="60">
        <f t="shared" si="5"/>
        <v>5.5</v>
      </c>
      <c r="T12" s="60">
        <f t="shared" si="5"/>
        <v>5.5</v>
      </c>
      <c r="U12" s="60">
        <f t="shared" si="5"/>
        <v>5.5</v>
      </c>
      <c r="V12" s="60">
        <f t="shared" si="5"/>
        <v>5.5</v>
      </c>
      <c r="W12" s="60">
        <f>1</f>
        <v>1</v>
      </c>
      <c r="X12" s="4">
        <f t="shared" si="3"/>
        <v>45</v>
      </c>
      <c r="Y12" s="106"/>
      <c r="Z12" s="68"/>
    </row>
    <row r="13" spans="2:26" ht="15.75" x14ac:dyDescent="0.25">
      <c r="B13" s="103" t="s">
        <v>71</v>
      </c>
      <c r="C13" s="56">
        <v>4</v>
      </c>
      <c r="D13" s="56">
        <v>4</v>
      </c>
      <c r="E13" s="56">
        <v>4</v>
      </c>
      <c r="F13" s="56">
        <v>4</v>
      </c>
      <c r="G13" s="56">
        <v>3</v>
      </c>
      <c r="H13" s="56">
        <v>4</v>
      </c>
      <c r="I13" s="56">
        <v>1</v>
      </c>
      <c r="J13" s="56">
        <v>4</v>
      </c>
      <c r="K13" s="56">
        <v>4</v>
      </c>
      <c r="L13" s="103">
        <f t="shared" si="2"/>
        <v>32</v>
      </c>
      <c r="M13" s="146"/>
      <c r="N13" s="103">
        <v>9</v>
      </c>
      <c r="O13" s="60">
        <f>(4+5+6+7+8+9)/6</f>
        <v>6.5</v>
      </c>
      <c r="P13" s="60">
        <f>(4+5+6+7+8+9)/6</f>
        <v>6.5</v>
      </c>
      <c r="Q13" s="60">
        <f>(1+2+3)/3</f>
        <v>2</v>
      </c>
      <c r="R13" s="60">
        <f>(1+2+3)/3</f>
        <v>2</v>
      </c>
      <c r="S13" s="60">
        <f>(4+5+6+7+8+9)/6</f>
        <v>6.5</v>
      </c>
      <c r="T13" s="60">
        <f>(1+2+3)/3</f>
        <v>2</v>
      </c>
      <c r="U13" s="60">
        <f t="shared" ref="U13:W13" si="6">(4+5+6+7+8+9)/6</f>
        <v>6.5</v>
      </c>
      <c r="V13" s="60">
        <f t="shared" si="6"/>
        <v>6.5</v>
      </c>
      <c r="W13" s="60">
        <f t="shared" si="6"/>
        <v>6.5</v>
      </c>
      <c r="X13" s="4">
        <f t="shared" si="3"/>
        <v>45</v>
      </c>
      <c r="Y13" s="106"/>
      <c r="Z13" s="68"/>
    </row>
    <row r="14" spans="2:26" ht="15.75" x14ac:dyDescent="0.25">
      <c r="B14" s="103" t="s">
        <v>72</v>
      </c>
      <c r="C14" s="56">
        <v>4</v>
      </c>
      <c r="D14" s="56">
        <v>2</v>
      </c>
      <c r="E14" s="56">
        <v>4</v>
      </c>
      <c r="F14" s="56">
        <v>4</v>
      </c>
      <c r="G14" s="56">
        <v>4</v>
      </c>
      <c r="H14" s="56">
        <v>2</v>
      </c>
      <c r="I14" s="56">
        <v>4</v>
      </c>
      <c r="J14" s="56">
        <v>4</v>
      </c>
      <c r="K14" s="56">
        <v>4</v>
      </c>
      <c r="L14" s="103">
        <f>SUM(C14:K14)</f>
        <v>32</v>
      </c>
      <c r="M14" s="146"/>
      <c r="N14" s="103">
        <v>10</v>
      </c>
      <c r="O14" s="60">
        <f t="shared" ref="O14:S17" si="7">(3+4+5+6+7+8+9)/7</f>
        <v>6</v>
      </c>
      <c r="P14" s="60">
        <f t="shared" si="7"/>
        <v>6</v>
      </c>
      <c r="Q14" s="60">
        <f t="shared" si="7"/>
        <v>6</v>
      </c>
      <c r="R14" s="60">
        <f>(3+4+5+6+7+8+9)/7</f>
        <v>6</v>
      </c>
      <c r="S14" s="60">
        <f>2/1</f>
        <v>2</v>
      </c>
      <c r="T14" s="60">
        <f>(3+4+5+6+7+8+9)/7</f>
        <v>6</v>
      </c>
      <c r="U14" s="60">
        <f>1</f>
        <v>1</v>
      </c>
      <c r="V14" s="60">
        <f t="shared" ref="V14:W17" si="8">(3+4+5+6+7+8+9)/7</f>
        <v>6</v>
      </c>
      <c r="W14" s="60">
        <f t="shared" si="8"/>
        <v>6</v>
      </c>
      <c r="X14" s="4">
        <f t="shared" si="3"/>
        <v>45</v>
      </c>
      <c r="Y14" s="106"/>
      <c r="Z14" s="68"/>
    </row>
    <row r="15" spans="2:26" ht="15.75" x14ac:dyDescent="0.25">
      <c r="B15" s="103" t="s">
        <v>73</v>
      </c>
      <c r="C15" s="56">
        <v>4</v>
      </c>
      <c r="D15" s="56">
        <v>4</v>
      </c>
      <c r="E15" s="56">
        <v>4</v>
      </c>
      <c r="F15" s="56">
        <v>4</v>
      </c>
      <c r="G15" s="56">
        <v>4</v>
      </c>
      <c r="H15" s="56">
        <v>4</v>
      </c>
      <c r="I15" s="56">
        <v>4</v>
      </c>
      <c r="J15" s="56">
        <v>4</v>
      </c>
      <c r="K15" s="56">
        <v>4</v>
      </c>
      <c r="L15" s="103">
        <f t="shared" si="2"/>
        <v>36</v>
      </c>
      <c r="M15" s="146"/>
      <c r="N15" s="103">
        <v>11</v>
      </c>
      <c r="O15" s="60">
        <f>(3+4+5+6+7+8+9)/7</f>
        <v>6</v>
      </c>
      <c r="P15" s="60">
        <f>(1+2)/2</f>
        <v>1.5</v>
      </c>
      <c r="Q15" s="60">
        <f t="shared" si="7"/>
        <v>6</v>
      </c>
      <c r="R15" s="60">
        <f t="shared" si="7"/>
        <v>6</v>
      </c>
      <c r="S15" s="60">
        <f t="shared" si="7"/>
        <v>6</v>
      </c>
      <c r="T15" s="60">
        <f>(1+2)/2</f>
        <v>1.5</v>
      </c>
      <c r="U15" s="60">
        <f t="shared" ref="U15:U17" si="9">(3+4+5+6+7+8+9)/7</f>
        <v>6</v>
      </c>
      <c r="V15" s="60">
        <f t="shared" si="8"/>
        <v>6</v>
      </c>
      <c r="W15" s="60">
        <f t="shared" si="8"/>
        <v>6</v>
      </c>
      <c r="X15" s="4">
        <f>SUM(O15:W15)</f>
        <v>45</v>
      </c>
      <c r="Y15" s="106"/>
      <c r="Z15" s="68"/>
    </row>
    <row r="16" spans="2:26" ht="15.75" x14ac:dyDescent="0.25">
      <c r="B16" s="103" t="s">
        <v>74</v>
      </c>
      <c r="C16" s="56">
        <v>4</v>
      </c>
      <c r="D16" s="56">
        <v>4</v>
      </c>
      <c r="E16" s="56">
        <v>4</v>
      </c>
      <c r="F16" s="56">
        <v>4</v>
      </c>
      <c r="G16" s="56">
        <v>4</v>
      </c>
      <c r="H16" s="56">
        <v>2</v>
      </c>
      <c r="I16" s="56">
        <v>4</v>
      </c>
      <c r="J16" s="56">
        <v>4</v>
      </c>
      <c r="K16" s="56">
        <v>2</v>
      </c>
      <c r="L16" s="103">
        <f>SUM(C16:K16)</f>
        <v>32</v>
      </c>
      <c r="M16" s="146"/>
      <c r="N16" s="103">
        <v>12</v>
      </c>
      <c r="O16" s="60">
        <f>(1+2+3+4+5+6+7+8+9)/9</f>
        <v>5</v>
      </c>
      <c r="P16" s="60">
        <f t="shared" ref="P16:W16" si="10">(1+2+3+4+5+6+7+8+9)/9</f>
        <v>5</v>
      </c>
      <c r="Q16" s="60">
        <f t="shared" si="10"/>
        <v>5</v>
      </c>
      <c r="R16" s="60">
        <f t="shared" si="10"/>
        <v>5</v>
      </c>
      <c r="S16" s="60">
        <f t="shared" si="10"/>
        <v>5</v>
      </c>
      <c r="T16" s="60">
        <f t="shared" si="10"/>
        <v>5</v>
      </c>
      <c r="U16" s="60">
        <f t="shared" si="10"/>
        <v>5</v>
      </c>
      <c r="V16" s="60">
        <f t="shared" si="10"/>
        <v>5</v>
      </c>
      <c r="W16" s="60">
        <f t="shared" si="10"/>
        <v>5</v>
      </c>
      <c r="X16" s="4">
        <f t="shared" si="3"/>
        <v>45</v>
      </c>
      <c r="Y16" s="106"/>
      <c r="Z16" s="68"/>
    </row>
    <row r="17" spans="1:26" ht="15.75" x14ac:dyDescent="0.25">
      <c r="B17" s="103" t="s">
        <v>75</v>
      </c>
      <c r="C17" s="56">
        <v>3</v>
      </c>
      <c r="D17" s="56">
        <v>3</v>
      </c>
      <c r="E17" s="56">
        <v>3</v>
      </c>
      <c r="F17" s="56">
        <v>4</v>
      </c>
      <c r="G17" s="56">
        <v>5</v>
      </c>
      <c r="H17" s="56">
        <v>3</v>
      </c>
      <c r="I17" s="56">
        <v>3</v>
      </c>
      <c r="J17" s="56">
        <v>2</v>
      </c>
      <c r="K17" s="56">
        <v>3</v>
      </c>
      <c r="L17" s="103">
        <f t="shared" si="2"/>
        <v>29</v>
      </c>
      <c r="M17" s="146"/>
      <c r="N17" s="103">
        <v>13</v>
      </c>
      <c r="O17" s="60">
        <f>(3+4+5+6+7+8+9)/7</f>
        <v>6</v>
      </c>
      <c r="P17" s="60">
        <f t="shared" si="7"/>
        <v>6</v>
      </c>
      <c r="Q17" s="60">
        <f t="shared" si="7"/>
        <v>6</v>
      </c>
      <c r="R17" s="60">
        <f t="shared" si="7"/>
        <v>6</v>
      </c>
      <c r="S17" s="60">
        <f t="shared" si="7"/>
        <v>6</v>
      </c>
      <c r="T17" s="60">
        <f>(1+2)/2</f>
        <v>1.5</v>
      </c>
      <c r="U17" s="60">
        <f t="shared" si="9"/>
        <v>6</v>
      </c>
      <c r="V17" s="60">
        <f t="shared" si="8"/>
        <v>6</v>
      </c>
      <c r="W17" s="60">
        <f>(1+2)/2</f>
        <v>1.5</v>
      </c>
      <c r="X17" s="4">
        <f t="shared" si="3"/>
        <v>45</v>
      </c>
      <c r="Y17" s="106"/>
      <c r="Z17" s="68"/>
    </row>
    <row r="18" spans="1:26" ht="15.75" x14ac:dyDescent="0.25">
      <c r="B18" s="103" t="s">
        <v>60</v>
      </c>
      <c r="C18" s="56">
        <v>4</v>
      </c>
      <c r="D18" s="56">
        <v>4</v>
      </c>
      <c r="E18" s="56">
        <v>4</v>
      </c>
      <c r="F18" s="56">
        <v>4</v>
      </c>
      <c r="G18" s="56">
        <v>4</v>
      </c>
      <c r="H18" s="56">
        <v>4</v>
      </c>
      <c r="I18" s="56">
        <v>4</v>
      </c>
      <c r="J18" s="56">
        <v>4</v>
      </c>
      <c r="K18" s="56">
        <v>4</v>
      </c>
      <c r="L18" s="103">
        <f>SUM(C18:K18)</f>
        <v>36</v>
      </c>
      <c r="M18" s="146"/>
      <c r="N18" s="103">
        <v>14</v>
      </c>
      <c r="O18" s="39">
        <f t="shared" ref="O18:Q18" si="11">(2+3+4+5+6+7)/6</f>
        <v>4.5</v>
      </c>
      <c r="P18" s="39">
        <f t="shared" si="11"/>
        <v>4.5</v>
      </c>
      <c r="Q18" s="39">
        <f t="shared" si="11"/>
        <v>4.5</v>
      </c>
      <c r="R18" s="39">
        <f>8/1</f>
        <v>8</v>
      </c>
      <c r="S18" s="39">
        <f>9/1</f>
        <v>9</v>
      </c>
      <c r="T18" s="39">
        <f t="shared" ref="T18:U18" si="12">(2+3+4+5+6+7)/6</f>
        <v>4.5</v>
      </c>
      <c r="U18" s="39">
        <f t="shared" si="12"/>
        <v>4.5</v>
      </c>
      <c r="V18" s="39">
        <f>1</f>
        <v>1</v>
      </c>
      <c r="W18" s="39">
        <f>(2+3+4+5+6+7)/6</f>
        <v>4.5</v>
      </c>
      <c r="X18" s="4">
        <f t="shared" si="3"/>
        <v>45</v>
      </c>
      <c r="Y18" s="106"/>
      <c r="Z18" s="68"/>
    </row>
    <row r="19" spans="1:26" ht="15.75" x14ac:dyDescent="0.25">
      <c r="B19" s="103" t="s">
        <v>1</v>
      </c>
      <c r="C19" s="103">
        <f>SUM(C4:C18)</f>
        <v>58</v>
      </c>
      <c r="D19" s="103">
        <f t="shared" ref="D19:J19" si="13">SUM(D4:D18)</f>
        <v>55</v>
      </c>
      <c r="E19" s="103">
        <f t="shared" si="13"/>
        <v>59</v>
      </c>
      <c r="F19" s="103">
        <f t="shared" si="13"/>
        <v>52</v>
      </c>
      <c r="G19" s="103">
        <f t="shared" si="13"/>
        <v>53</v>
      </c>
      <c r="H19" s="103">
        <f t="shared" si="13"/>
        <v>52</v>
      </c>
      <c r="I19" s="103">
        <f t="shared" si="13"/>
        <v>48</v>
      </c>
      <c r="J19" s="103">
        <f t="shared" si="13"/>
        <v>53</v>
      </c>
      <c r="K19" s="103">
        <f>SUM(K4:K18)</f>
        <v>50</v>
      </c>
      <c r="L19" s="103">
        <f>SUM(L4:L18)</f>
        <v>480</v>
      </c>
      <c r="M19" s="146"/>
      <c r="N19" s="103">
        <v>15</v>
      </c>
      <c r="O19" s="39">
        <f>(1+2+3+4+5+6+7+8+9)/9</f>
        <v>5</v>
      </c>
      <c r="P19" s="39">
        <f t="shared" ref="P19:W19" si="14">(1+2+3+4+5+6+7+8+9)/9</f>
        <v>5</v>
      </c>
      <c r="Q19" s="39">
        <f t="shared" si="14"/>
        <v>5</v>
      </c>
      <c r="R19" s="39">
        <f t="shared" si="14"/>
        <v>5</v>
      </c>
      <c r="S19" s="39">
        <f t="shared" si="14"/>
        <v>5</v>
      </c>
      <c r="T19" s="39">
        <f t="shared" si="14"/>
        <v>5</v>
      </c>
      <c r="U19" s="39">
        <f t="shared" si="14"/>
        <v>5</v>
      </c>
      <c r="V19" s="39">
        <f t="shared" si="14"/>
        <v>5</v>
      </c>
      <c r="W19" s="39">
        <f t="shared" si="14"/>
        <v>5</v>
      </c>
      <c r="X19" s="4">
        <f t="shared" si="3"/>
        <v>45</v>
      </c>
      <c r="Y19" s="106"/>
      <c r="Z19" s="68"/>
    </row>
    <row r="20" spans="1:26" ht="18" customHeight="1" x14ac:dyDescent="0.25">
      <c r="B20" s="10" t="s">
        <v>53</v>
      </c>
      <c r="C20" s="39">
        <f>AVERAGE(C4:C18)</f>
        <v>3.8666666666666667</v>
      </c>
      <c r="D20" s="39">
        <f t="shared" ref="D20:K20" si="15">AVERAGE(D4:D18)</f>
        <v>3.6666666666666665</v>
      </c>
      <c r="E20" s="39">
        <f t="shared" si="15"/>
        <v>3.9333333333333331</v>
      </c>
      <c r="F20" s="39">
        <f t="shared" si="15"/>
        <v>3.4666666666666668</v>
      </c>
      <c r="G20" s="39">
        <f t="shared" si="15"/>
        <v>3.5333333333333332</v>
      </c>
      <c r="H20" s="39">
        <f t="shared" si="15"/>
        <v>3.4666666666666668</v>
      </c>
      <c r="I20" s="39">
        <f t="shared" si="15"/>
        <v>3.2</v>
      </c>
      <c r="J20" s="39">
        <f>AVERAGE(J4:J18)</f>
        <v>3.5333333333333332</v>
      </c>
      <c r="K20" s="39">
        <f t="shared" si="15"/>
        <v>3.3333333333333335</v>
      </c>
      <c r="L20" s="20"/>
      <c r="M20" s="106"/>
      <c r="N20" s="103" t="s">
        <v>1</v>
      </c>
      <c r="O20" s="4">
        <f>SUM(O5:O19)</f>
        <v>87.5</v>
      </c>
      <c r="P20" s="4">
        <f>SUM(P5:P19)</f>
        <v>79.5</v>
      </c>
      <c r="Q20" s="4">
        <f t="shared" ref="Q20:V20" si="16">SUM(Q5:Q19)</f>
        <v>88</v>
      </c>
      <c r="R20" s="4">
        <f t="shared" si="16"/>
        <v>72</v>
      </c>
      <c r="S20" s="4">
        <f>SUM(S5:S19)</f>
        <v>72.5</v>
      </c>
      <c r="T20" s="4">
        <f t="shared" si="16"/>
        <v>70</v>
      </c>
      <c r="U20" s="4">
        <f>SUM(U5:U19)</f>
        <v>67</v>
      </c>
      <c r="V20" s="4">
        <f t="shared" si="16"/>
        <v>72.5</v>
      </c>
      <c r="W20" s="4">
        <f>SUM(W5:W19)</f>
        <v>66</v>
      </c>
      <c r="X20" s="39">
        <f>SUM(X5:X19)</f>
        <v>675</v>
      </c>
      <c r="Y20" s="106"/>
      <c r="Z20" s="66"/>
    </row>
    <row r="21" spans="1:26" ht="15.75" x14ac:dyDescent="0.25">
      <c r="B21" s="67"/>
      <c r="C21" s="47"/>
      <c r="D21" s="47"/>
      <c r="E21" s="47"/>
      <c r="F21" s="47"/>
      <c r="G21" s="47"/>
      <c r="H21" s="47"/>
      <c r="I21" s="47"/>
      <c r="J21" s="47"/>
      <c r="K21" s="47"/>
      <c r="L21" s="66"/>
      <c r="M21" s="106"/>
      <c r="N21" s="10" t="s">
        <v>53</v>
      </c>
      <c r="O21" s="39">
        <f>AVERAGE(O5:O19)</f>
        <v>5.833333333333333</v>
      </c>
      <c r="P21" s="39">
        <f t="shared" ref="P21:V21" si="17">AVERAGE(P5:P19)</f>
        <v>5.3</v>
      </c>
      <c r="Q21" s="39">
        <f t="shared" si="17"/>
        <v>5.8666666666666663</v>
      </c>
      <c r="R21" s="39">
        <f>AVERAGE(R5:R19)</f>
        <v>4.8</v>
      </c>
      <c r="S21" s="39">
        <f t="shared" si="17"/>
        <v>4.833333333333333</v>
      </c>
      <c r="T21" s="39">
        <f t="shared" si="17"/>
        <v>4.666666666666667</v>
      </c>
      <c r="U21" s="39">
        <f>AVERAGE(U5:U19)</f>
        <v>4.4666666666666668</v>
      </c>
      <c r="V21" s="39">
        <f t="shared" si="17"/>
        <v>4.833333333333333</v>
      </c>
      <c r="W21" s="39">
        <f>AVERAGE(W5:W19)</f>
        <v>4.4000000000000004</v>
      </c>
      <c r="X21" s="37"/>
      <c r="Y21" s="106"/>
      <c r="Z21" s="66"/>
    </row>
    <row r="22" spans="1:26" x14ac:dyDescent="0.25"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106"/>
      <c r="Z22" s="106"/>
    </row>
    <row r="23" spans="1:26" x14ac:dyDescent="0.25"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06"/>
      <c r="Z23" s="106"/>
    </row>
    <row r="24" spans="1:26" ht="15.75" x14ac:dyDescent="0.25"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72"/>
      <c r="N24" s="66"/>
      <c r="O24" s="68"/>
      <c r="P24" s="68"/>
      <c r="Q24" s="68"/>
      <c r="R24" s="68"/>
      <c r="S24" s="66"/>
      <c r="T24" s="66"/>
      <c r="U24" s="66"/>
      <c r="V24" s="67"/>
      <c r="W24" s="67"/>
      <c r="X24" s="69"/>
      <c r="Y24" s="40"/>
      <c r="Z24" s="40"/>
    </row>
    <row r="25" spans="1:26" ht="31.5" customHeight="1" x14ac:dyDescent="0.25">
      <c r="B25" s="106"/>
      <c r="C25" s="106"/>
      <c r="D25" s="106"/>
      <c r="E25" s="106"/>
      <c r="F25" s="106"/>
      <c r="G25" s="106"/>
      <c r="H25" s="106"/>
      <c r="I25" s="106"/>
      <c r="J25" s="69"/>
      <c r="K25" s="69"/>
      <c r="L25" s="106"/>
      <c r="M25" s="172"/>
      <c r="N25" s="68"/>
      <c r="O25" s="68"/>
      <c r="P25" s="68"/>
      <c r="Q25" s="68"/>
      <c r="R25" s="68"/>
      <c r="S25" s="68"/>
      <c r="T25" s="272"/>
      <c r="U25" s="273"/>
      <c r="V25" s="273"/>
      <c r="W25" s="67"/>
      <c r="X25" s="69"/>
      <c r="Y25" s="40"/>
      <c r="Z25" s="40"/>
    </row>
    <row r="26" spans="1:26" ht="15.75" x14ac:dyDescent="0.25">
      <c r="B26" s="106"/>
      <c r="C26" s="106"/>
      <c r="D26" s="106"/>
      <c r="E26" s="106"/>
      <c r="F26" s="106"/>
      <c r="G26" s="106"/>
      <c r="H26" s="106"/>
      <c r="I26" s="106"/>
      <c r="J26" s="69"/>
      <c r="K26" s="69"/>
      <c r="L26" s="106"/>
      <c r="M26" s="172"/>
      <c r="N26" s="68"/>
      <c r="O26" s="259"/>
      <c r="P26" s="259"/>
      <c r="Q26" s="259"/>
      <c r="R26" s="259"/>
      <c r="S26" s="259"/>
      <c r="T26" s="47"/>
      <c r="U26" s="267"/>
      <c r="V26" s="267"/>
      <c r="W26" s="67"/>
      <c r="X26" s="271"/>
      <c r="Y26" s="40"/>
      <c r="Z26" s="40"/>
    </row>
    <row r="27" spans="1:26" ht="15.75" x14ac:dyDescent="0.25"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72"/>
      <c r="N27" s="68"/>
      <c r="O27" s="259"/>
      <c r="P27" s="259"/>
      <c r="Q27" s="259"/>
      <c r="R27" s="259"/>
      <c r="S27" s="259"/>
      <c r="T27" s="47"/>
      <c r="U27" s="267"/>
      <c r="V27" s="267"/>
      <c r="W27" s="67"/>
      <c r="X27" s="271"/>
      <c r="Y27" s="40"/>
      <c r="Z27" s="40"/>
    </row>
    <row r="28" spans="1:26" ht="15.75" x14ac:dyDescent="0.25"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72"/>
      <c r="N28" s="68"/>
      <c r="O28" s="259"/>
      <c r="P28" s="259"/>
      <c r="Q28" s="259"/>
      <c r="R28" s="259"/>
      <c r="S28" s="259"/>
      <c r="T28" s="47"/>
      <c r="U28" s="267"/>
      <c r="V28" s="267"/>
      <c r="W28" s="67"/>
      <c r="X28" s="271"/>
      <c r="Y28" s="40"/>
      <c r="Z28" s="40"/>
    </row>
    <row r="29" spans="1:26" ht="16.5" thickBot="1" x14ac:dyDescent="0.3"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72"/>
      <c r="N29" s="68"/>
      <c r="O29" s="259"/>
      <c r="P29" s="259"/>
      <c r="Q29" s="259"/>
      <c r="R29" s="259"/>
      <c r="S29" s="259"/>
      <c r="T29" s="47"/>
      <c r="U29" s="267"/>
      <c r="V29" s="267"/>
      <c r="W29" s="67"/>
      <c r="X29" s="271"/>
      <c r="Y29" s="40"/>
      <c r="Z29" s="40"/>
    </row>
    <row r="30" spans="1:26" ht="15.75" x14ac:dyDescent="0.25">
      <c r="B30" s="234" t="s">
        <v>54</v>
      </c>
      <c r="C30" s="234" t="s">
        <v>55</v>
      </c>
      <c r="D30" s="236"/>
      <c r="E30" s="106"/>
      <c r="F30" s="106"/>
      <c r="G30" s="57" t="s">
        <v>57</v>
      </c>
      <c r="H30" s="58">
        <v>9</v>
      </c>
      <c r="I30" s="106"/>
      <c r="J30" s="72"/>
      <c r="K30" s="106"/>
      <c r="L30" s="106"/>
      <c r="M30" s="172"/>
      <c r="N30" s="68"/>
      <c r="O30" s="259"/>
      <c r="P30" s="259"/>
      <c r="Q30" s="259"/>
      <c r="R30" s="259"/>
      <c r="S30" s="259"/>
      <c r="T30" s="47"/>
      <c r="U30" s="267"/>
      <c r="V30" s="267"/>
      <c r="W30" s="67"/>
      <c r="X30" s="271"/>
      <c r="Y30" s="40"/>
      <c r="Z30" s="40"/>
    </row>
    <row r="31" spans="1:26" ht="15.75" x14ac:dyDescent="0.25">
      <c r="A31" s="61"/>
      <c r="B31" s="235"/>
      <c r="C31" s="235"/>
      <c r="D31" s="237"/>
      <c r="E31" s="106"/>
      <c r="F31" s="106"/>
      <c r="G31" s="57" t="s">
        <v>58</v>
      </c>
      <c r="H31" s="58">
        <v>15</v>
      </c>
      <c r="I31" s="106"/>
      <c r="J31" s="106"/>
      <c r="K31" s="106"/>
      <c r="L31" s="106"/>
      <c r="M31" s="172"/>
      <c r="N31" s="68"/>
      <c r="O31" s="259"/>
      <c r="P31" s="259"/>
      <c r="Q31" s="259"/>
      <c r="R31" s="259"/>
      <c r="S31" s="259"/>
      <c r="T31" s="47"/>
      <c r="U31" s="267"/>
      <c r="V31" s="267"/>
      <c r="W31" s="67"/>
      <c r="X31" s="271"/>
      <c r="Y31" s="40"/>
      <c r="Z31" s="40"/>
    </row>
    <row r="32" spans="1:26" ht="15.75" x14ac:dyDescent="0.25">
      <c r="A32" s="61"/>
      <c r="B32" s="48"/>
      <c r="C32" s="48"/>
      <c r="D32" s="49"/>
      <c r="E32" s="106"/>
      <c r="F32" s="106"/>
      <c r="G32" s="106"/>
      <c r="H32" s="106"/>
      <c r="I32" s="106"/>
      <c r="J32" s="106"/>
      <c r="K32" s="106"/>
      <c r="L32" s="106"/>
      <c r="M32" s="172"/>
      <c r="N32" s="68"/>
      <c r="O32" s="259"/>
      <c r="P32" s="259"/>
      <c r="Q32" s="259"/>
      <c r="R32" s="259"/>
      <c r="S32" s="259"/>
      <c r="T32" s="47"/>
      <c r="U32" s="267"/>
      <c r="V32" s="267"/>
      <c r="W32" s="67"/>
      <c r="X32" s="271"/>
      <c r="Y32" s="40"/>
      <c r="Z32" s="40"/>
    </row>
    <row r="33" spans="1:26" ht="15.75" x14ac:dyDescent="0.25">
      <c r="A33" s="61"/>
      <c r="B33" s="73" t="s">
        <v>43</v>
      </c>
      <c r="C33" s="1">
        <f>(12/((H31*H30)*(H30+1))*SUMSQ(O20:W20)-3*(H31)*(H30+1))</f>
        <v>4.7733333333333121</v>
      </c>
      <c r="D33" s="77" t="s">
        <v>44</v>
      </c>
      <c r="E33" s="106"/>
      <c r="F33" s="106"/>
      <c r="G33" s="106"/>
      <c r="H33" s="106"/>
      <c r="I33" s="106"/>
      <c r="J33" s="106"/>
      <c r="K33" s="106"/>
      <c r="L33" s="106"/>
      <c r="M33" s="172"/>
      <c r="N33" s="68"/>
      <c r="O33" s="259"/>
      <c r="P33" s="259"/>
      <c r="Q33" s="259"/>
      <c r="R33" s="259"/>
      <c r="S33" s="259"/>
      <c r="T33" s="47"/>
      <c r="U33" s="267"/>
      <c r="V33" s="267"/>
      <c r="W33" s="67"/>
      <c r="X33" s="271"/>
      <c r="Y33" s="40"/>
      <c r="Z33" s="40"/>
    </row>
    <row r="34" spans="1:26" ht="15.75" x14ac:dyDescent="0.25">
      <c r="A34" s="61"/>
      <c r="B34" s="73" t="s">
        <v>56</v>
      </c>
      <c r="C34" s="1">
        <f>_xlfn.CHISQ.INV.RT(0.05,8)</f>
        <v>15.507313055865453</v>
      </c>
      <c r="D34" s="50"/>
      <c r="E34" s="106"/>
      <c r="F34" s="106"/>
      <c r="G34" s="106"/>
      <c r="H34" s="106"/>
      <c r="I34" s="106"/>
      <c r="J34" s="106"/>
      <c r="K34" s="106"/>
      <c r="L34" s="106"/>
      <c r="M34" s="172"/>
      <c r="N34" s="68"/>
      <c r="O34" s="259"/>
      <c r="P34" s="259"/>
      <c r="Q34" s="259"/>
      <c r="R34" s="259"/>
      <c r="S34" s="259"/>
      <c r="T34" s="47"/>
      <c r="U34" s="267"/>
      <c r="V34" s="267"/>
      <c r="W34" s="67"/>
      <c r="X34" s="271"/>
      <c r="Y34" s="40"/>
      <c r="Z34" s="40"/>
    </row>
    <row r="35" spans="1:26" ht="16.5" thickBot="1" x14ac:dyDescent="0.3">
      <c r="A35" s="61"/>
      <c r="B35" s="51"/>
      <c r="C35" s="52"/>
      <c r="D35" s="53"/>
      <c r="E35" s="106"/>
      <c r="F35" s="106"/>
      <c r="G35" s="106"/>
      <c r="H35" s="106"/>
      <c r="I35" s="106"/>
      <c r="J35" s="106"/>
      <c r="K35" s="106"/>
      <c r="L35" s="106"/>
      <c r="M35" s="172"/>
      <c r="N35" s="68"/>
      <c r="O35" s="259"/>
      <c r="P35" s="259"/>
      <c r="Q35" s="259"/>
      <c r="R35" s="259"/>
      <c r="S35" s="259"/>
      <c r="T35" s="267"/>
      <c r="U35" s="267"/>
      <c r="V35" s="267"/>
      <c r="W35" s="67"/>
      <c r="X35" s="69"/>
      <c r="Y35" s="40"/>
      <c r="Z35" s="40"/>
    </row>
    <row r="36" spans="1:26" ht="15.75" x14ac:dyDescent="0.25">
      <c r="A36" s="61"/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72"/>
      <c r="N36" s="68"/>
      <c r="O36" s="67"/>
      <c r="P36" s="69"/>
      <c r="Q36" s="69"/>
      <c r="R36" s="69"/>
      <c r="S36" s="69"/>
      <c r="T36" s="69"/>
      <c r="U36" s="69"/>
      <c r="V36" s="264"/>
      <c r="W36" s="67"/>
      <c r="X36" s="69"/>
      <c r="Y36" s="40"/>
      <c r="Z36" s="40"/>
    </row>
    <row r="37" spans="1:26" ht="15.75" x14ac:dyDescent="0.25">
      <c r="B37" s="106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72"/>
      <c r="N37" s="68"/>
      <c r="O37" s="70"/>
      <c r="P37" s="70"/>
      <c r="Q37" s="70"/>
      <c r="R37" s="70"/>
      <c r="S37" s="70"/>
      <c r="T37" s="70"/>
      <c r="U37" s="70"/>
      <c r="V37" s="70"/>
      <c r="W37" s="67"/>
      <c r="X37" s="69"/>
      <c r="Y37" s="40"/>
      <c r="Z37" s="40"/>
    </row>
    <row r="38" spans="1:26" ht="15.75" x14ac:dyDescent="0.25"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72"/>
      <c r="N38" s="66"/>
      <c r="O38" s="70"/>
      <c r="P38" s="70"/>
      <c r="Q38" s="70"/>
      <c r="R38" s="70"/>
      <c r="S38" s="70"/>
      <c r="T38" s="70"/>
      <c r="U38" s="70"/>
      <c r="V38" s="70"/>
      <c r="W38" s="67"/>
      <c r="X38" s="69"/>
      <c r="Y38" s="40"/>
      <c r="Z38" s="40"/>
    </row>
    <row r="39" spans="1:26" ht="15.75" x14ac:dyDescent="0.25"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69"/>
      <c r="N39" s="66"/>
      <c r="O39" s="71"/>
      <c r="P39" s="71"/>
      <c r="Q39" s="71"/>
      <c r="R39" s="71"/>
      <c r="S39" s="71"/>
      <c r="T39" s="71"/>
      <c r="U39" s="71"/>
      <c r="V39" s="71"/>
      <c r="W39" s="67"/>
      <c r="X39" s="69"/>
      <c r="Y39" s="40"/>
      <c r="Z39" s="40"/>
    </row>
    <row r="40" spans="1:26" x14ac:dyDescent="0.25">
      <c r="M40" s="172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</row>
    <row r="41" spans="1:26" x14ac:dyDescent="0.25">
      <c r="M41" s="172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</row>
    <row r="42" spans="1:26" x14ac:dyDescent="0.25">
      <c r="M42" s="172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</row>
  </sheetData>
  <mergeCells count="8">
    <mergeCell ref="X3:X4"/>
    <mergeCell ref="B2:B3"/>
    <mergeCell ref="C2:J2"/>
    <mergeCell ref="L2:L3"/>
    <mergeCell ref="N3:N4"/>
    <mergeCell ref="O3:W3"/>
    <mergeCell ref="B30:B31"/>
    <mergeCell ref="C30:D3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43"/>
  <sheetViews>
    <sheetView topLeftCell="A10" zoomScale="60" zoomScaleNormal="60" workbookViewId="0">
      <selection activeCell="K36" sqref="K36"/>
    </sheetView>
  </sheetViews>
  <sheetFormatPr defaultRowHeight="15" x14ac:dyDescent="0.25"/>
  <cols>
    <col min="2" max="2" width="13.5703125" customWidth="1"/>
    <col min="14" max="14" width="12.7109375" customWidth="1"/>
    <col min="18" max="18" width="11.7109375" customWidth="1"/>
    <col min="19" max="19" width="9.42578125" customWidth="1"/>
    <col min="20" max="20" width="12.7109375" customWidth="1"/>
    <col min="21" max="21" width="13.85546875" customWidth="1"/>
    <col min="22" max="22" width="14.140625" customWidth="1"/>
    <col min="23" max="23" width="9.5703125" customWidth="1"/>
    <col min="24" max="24" width="11.7109375" customWidth="1"/>
  </cols>
  <sheetData>
    <row r="2" spans="2:26" x14ac:dyDescent="0.25"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</row>
    <row r="3" spans="2:26" x14ac:dyDescent="0.25">
      <c r="B3" s="106"/>
      <c r="C3" s="106">
        <v>1</v>
      </c>
      <c r="D3" s="106">
        <v>2</v>
      </c>
      <c r="E3" s="106">
        <v>3</v>
      </c>
      <c r="F3" s="106">
        <v>4</v>
      </c>
      <c r="G3" s="106">
        <v>5</v>
      </c>
      <c r="H3" s="106">
        <v>6</v>
      </c>
      <c r="I3" s="106">
        <v>7</v>
      </c>
      <c r="J3" s="106">
        <v>8</v>
      </c>
      <c r="K3" s="106">
        <v>9</v>
      </c>
      <c r="L3" s="106"/>
      <c r="M3" s="106"/>
      <c r="N3" s="106"/>
      <c r="O3" s="106">
        <v>1</v>
      </c>
      <c r="P3" s="106">
        <v>2</v>
      </c>
      <c r="Q3" s="106">
        <v>3</v>
      </c>
      <c r="R3" s="106">
        <v>4</v>
      </c>
      <c r="S3" s="106">
        <v>5</v>
      </c>
      <c r="T3" s="106">
        <v>6</v>
      </c>
      <c r="U3" s="106">
        <v>7</v>
      </c>
      <c r="V3" s="106">
        <v>8</v>
      </c>
      <c r="W3" s="106">
        <v>9</v>
      </c>
      <c r="X3" s="106"/>
      <c r="Y3" s="106"/>
      <c r="Z3" s="106"/>
    </row>
    <row r="4" spans="2:26" ht="15.75" x14ac:dyDescent="0.25">
      <c r="B4" s="233" t="s">
        <v>51</v>
      </c>
      <c r="C4" s="233" t="s">
        <v>76</v>
      </c>
      <c r="D4" s="233"/>
      <c r="E4" s="233"/>
      <c r="F4" s="233"/>
      <c r="G4" s="233"/>
      <c r="H4" s="233"/>
      <c r="I4" s="233"/>
      <c r="J4" s="233"/>
      <c r="K4" s="103"/>
      <c r="L4" s="233" t="s">
        <v>1</v>
      </c>
      <c r="M4" s="3"/>
      <c r="N4" s="55" t="s">
        <v>52</v>
      </c>
      <c r="O4" s="42"/>
      <c r="P4" s="42"/>
      <c r="Q4" s="42"/>
      <c r="R4" s="42"/>
      <c r="S4" s="42"/>
      <c r="T4" s="42"/>
      <c r="U4" s="42"/>
      <c r="V4" s="42"/>
      <c r="W4" s="42"/>
      <c r="X4" s="43"/>
      <c r="Y4" s="106"/>
      <c r="Z4" s="69"/>
    </row>
    <row r="5" spans="2:26" ht="15.75" x14ac:dyDescent="0.25">
      <c r="B5" s="233"/>
      <c r="C5" s="103">
        <v>890</v>
      </c>
      <c r="D5" s="103">
        <v>873</v>
      </c>
      <c r="E5" s="103">
        <v>356</v>
      </c>
      <c r="F5" s="103">
        <v>851</v>
      </c>
      <c r="G5" s="103">
        <v>234</v>
      </c>
      <c r="H5" s="103">
        <v>941</v>
      </c>
      <c r="I5" s="103">
        <v>763</v>
      </c>
      <c r="J5" s="103">
        <v>567</v>
      </c>
      <c r="K5" s="103">
        <v>563</v>
      </c>
      <c r="L5" s="233"/>
      <c r="M5" s="44"/>
      <c r="N5" s="228" t="s">
        <v>51</v>
      </c>
      <c r="O5" s="230" t="s">
        <v>5</v>
      </c>
      <c r="P5" s="231"/>
      <c r="Q5" s="231"/>
      <c r="R5" s="231"/>
      <c r="S5" s="231"/>
      <c r="T5" s="231"/>
      <c r="U5" s="231"/>
      <c r="V5" s="231"/>
      <c r="W5" s="232"/>
      <c r="X5" s="233" t="s">
        <v>1</v>
      </c>
      <c r="Y5" s="106"/>
      <c r="Z5" s="69"/>
    </row>
    <row r="6" spans="2:26" ht="15.75" x14ac:dyDescent="0.25">
      <c r="B6" s="20" t="s">
        <v>62</v>
      </c>
      <c r="C6" s="56">
        <v>1</v>
      </c>
      <c r="D6" s="56">
        <v>3</v>
      </c>
      <c r="E6" s="56">
        <v>3</v>
      </c>
      <c r="F6" s="56">
        <v>2</v>
      </c>
      <c r="G6" s="56">
        <v>3</v>
      </c>
      <c r="H6" s="56">
        <v>1</v>
      </c>
      <c r="I6" s="56">
        <v>2</v>
      </c>
      <c r="J6" s="56">
        <v>3</v>
      </c>
      <c r="K6" s="56">
        <v>4</v>
      </c>
      <c r="L6" s="103">
        <f>SUM(C6:K6)</f>
        <v>22</v>
      </c>
      <c r="M6" s="3"/>
      <c r="N6" s="229"/>
      <c r="O6" s="103" t="s">
        <v>9</v>
      </c>
      <c r="P6" s="103" t="s">
        <v>14</v>
      </c>
      <c r="Q6" s="103" t="s">
        <v>17</v>
      </c>
      <c r="R6" s="103" t="s">
        <v>19</v>
      </c>
      <c r="S6" s="103" t="s">
        <v>22</v>
      </c>
      <c r="T6" s="103" t="s">
        <v>23</v>
      </c>
      <c r="U6" s="103" t="s">
        <v>24</v>
      </c>
      <c r="V6" s="103" t="s">
        <v>25</v>
      </c>
      <c r="W6" s="103" t="s">
        <v>26</v>
      </c>
      <c r="X6" s="233"/>
      <c r="Y6" s="106"/>
      <c r="Z6" s="106"/>
    </row>
    <row r="7" spans="2:26" ht="15.75" x14ac:dyDescent="0.25">
      <c r="B7" s="103" t="s">
        <v>63</v>
      </c>
      <c r="C7" s="56">
        <v>3</v>
      </c>
      <c r="D7" s="56">
        <v>4</v>
      </c>
      <c r="E7" s="56">
        <v>3</v>
      </c>
      <c r="F7" s="56">
        <v>3</v>
      </c>
      <c r="G7" s="56">
        <v>2</v>
      </c>
      <c r="H7" s="56">
        <v>2</v>
      </c>
      <c r="I7" s="56">
        <v>4</v>
      </c>
      <c r="J7" s="56">
        <v>3</v>
      </c>
      <c r="K7" s="56">
        <v>3</v>
      </c>
      <c r="L7" s="103">
        <f>SUM(C7:K7)</f>
        <v>27</v>
      </c>
      <c r="M7" s="3"/>
      <c r="N7" s="103">
        <v>1</v>
      </c>
      <c r="O7" s="60">
        <f>(1+2)/2</f>
        <v>1.5</v>
      </c>
      <c r="P7" s="60">
        <f>(5+6+7+8)/4</f>
        <v>6.5</v>
      </c>
      <c r="Q7" s="60">
        <f>(5+6+7+8)/4</f>
        <v>6.5</v>
      </c>
      <c r="R7" s="60">
        <f>(3+4)/2</f>
        <v>3.5</v>
      </c>
      <c r="S7" s="60">
        <f>(5+6+7+8)/4</f>
        <v>6.5</v>
      </c>
      <c r="T7" s="60">
        <f>(1+2)/2</f>
        <v>1.5</v>
      </c>
      <c r="U7" s="60">
        <f>(3+4)/2</f>
        <v>3.5</v>
      </c>
      <c r="V7" s="60">
        <f>(5+6+7+8)/4</f>
        <v>6.5</v>
      </c>
      <c r="W7" s="60">
        <f>9/1</f>
        <v>9</v>
      </c>
      <c r="X7" s="4">
        <f>SUM(O7:W7)</f>
        <v>45</v>
      </c>
      <c r="Y7" s="106"/>
      <c r="Z7" s="106"/>
    </row>
    <row r="8" spans="2:26" ht="15.75" x14ac:dyDescent="0.25">
      <c r="B8" s="103" t="s">
        <v>64</v>
      </c>
      <c r="C8" s="56">
        <v>4</v>
      </c>
      <c r="D8" s="56">
        <v>1</v>
      </c>
      <c r="E8" s="56">
        <v>1</v>
      </c>
      <c r="F8" s="56">
        <v>2</v>
      </c>
      <c r="G8" s="56">
        <v>2</v>
      </c>
      <c r="H8" s="56">
        <v>3</v>
      </c>
      <c r="I8" s="56">
        <v>3</v>
      </c>
      <c r="J8" s="56">
        <v>4</v>
      </c>
      <c r="K8" s="56">
        <v>2</v>
      </c>
      <c r="L8" s="103">
        <f>SUM(C8:K8)</f>
        <v>22</v>
      </c>
      <c r="M8" s="3"/>
      <c r="N8" s="103">
        <v>2</v>
      </c>
      <c r="O8" s="60">
        <f>(3+4+5+6+7)/5</f>
        <v>5</v>
      </c>
      <c r="P8" s="60">
        <f>(8+9)/2</f>
        <v>8.5</v>
      </c>
      <c r="Q8" s="60">
        <f t="shared" ref="Q8:R8" si="0">(3+4+5+6+7)/5</f>
        <v>5</v>
      </c>
      <c r="R8" s="60">
        <f t="shared" si="0"/>
        <v>5</v>
      </c>
      <c r="S8" s="60">
        <f>(1+2)/2</f>
        <v>1.5</v>
      </c>
      <c r="T8" s="60">
        <f>(1+2)/2</f>
        <v>1.5</v>
      </c>
      <c r="U8" s="60">
        <f>(8+9)/2</f>
        <v>8.5</v>
      </c>
      <c r="V8" s="60">
        <f t="shared" ref="V8:W8" si="1">(3+4+5+6+7)/5</f>
        <v>5</v>
      </c>
      <c r="W8" s="60">
        <f t="shared" si="1"/>
        <v>5</v>
      </c>
      <c r="X8" s="4">
        <f>SUM(O8:W8)</f>
        <v>45</v>
      </c>
      <c r="Y8" s="106"/>
      <c r="Z8" s="66"/>
    </row>
    <row r="9" spans="2:26" ht="15.75" x14ac:dyDescent="0.25">
      <c r="B9" s="103" t="s">
        <v>65</v>
      </c>
      <c r="C9" s="56">
        <v>4</v>
      </c>
      <c r="D9" s="56">
        <v>2</v>
      </c>
      <c r="E9" s="56">
        <v>2</v>
      </c>
      <c r="F9" s="56">
        <v>3</v>
      </c>
      <c r="G9" s="56">
        <v>3</v>
      </c>
      <c r="H9" s="56">
        <v>3</v>
      </c>
      <c r="I9" s="56">
        <v>4</v>
      </c>
      <c r="J9" s="56">
        <v>5</v>
      </c>
      <c r="K9" s="56">
        <v>4</v>
      </c>
      <c r="L9" s="103">
        <f>SUM(C9:K9)</f>
        <v>30</v>
      </c>
      <c r="M9" s="3"/>
      <c r="N9" s="103">
        <v>3</v>
      </c>
      <c r="O9" s="60">
        <f>(8+9)/2</f>
        <v>8.5</v>
      </c>
      <c r="P9" s="60">
        <f t="shared" ref="P9:Q10" si="2">(1+2)/2</f>
        <v>1.5</v>
      </c>
      <c r="Q9" s="60">
        <f t="shared" si="2"/>
        <v>1.5</v>
      </c>
      <c r="R9" s="60">
        <f>(3+4+5)/3</f>
        <v>4</v>
      </c>
      <c r="S9" s="60">
        <f>(3+4+5)/3</f>
        <v>4</v>
      </c>
      <c r="T9" s="60">
        <f>(6+7)/2</f>
        <v>6.5</v>
      </c>
      <c r="U9" s="60">
        <f>(6+7)/2</f>
        <v>6.5</v>
      </c>
      <c r="V9" s="60">
        <f>(8+9)/2</f>
        <v>8.5</v>
      </c>
      <c r="W9" s="60">
        <f>(3+4+5)/3</f>
        <v>4</v>
      </c>
      <c r="X9" s="4">
        <f>SUM(O9:W9)</f>
        <v>45</v>
      </c>
      <c r="Y9" s="106"/>
      <c r="Z9" s="68"/>
    </row>
    <row r="10" spans="2:26" ht="15.75" x14ac:dyDescent="0.25">
      <c r="B10" s="103" t="s">
        <v>66</v>
      </c>
      <c r="C10" s="56">
        <v>4</v>
      </c>
      <c r="D10" s="56">
        <v>2</v>
      </c>
      <c r="E10" s="56">
        <v>1</v>
      </c>
      <c r="F10" s="56">
        <v>2</v>
      </c>
      <c r="G10" s="56">
        <v>3</v>
      </c>
      <c r="H10" s="56">
        <v>1</v>
      </c>
      <c r="I10" s="56">
        <v>2</v>
      </c>
      <c r="J10" s="56">
        <v>1</v>
      </c>
      <c r="K10" s="56">
        <v>3</v>
      </c>
      <c r="L10" s="103">
        <f>SUM(C10:K10)</f>
        <v>19</v>
      </c>
      <c r="M10" s="3"/>
      <c r="N10" s="103">
        <v>4</v>
      </c>
      <c r="O10" s="60">
        <f>(6+7+8)/3</f>
        <v>7</v>
      </c>
      <c r="P10" s="60">
        <f t="shared" si="2"/>
        <v>1.5</v>
      </c>
      <c r="Q10" s="60">
        <f t="shared" si="2"/>
        <v>1.5</v>
      </c>
      <c r="R10" s="60">
        <f>(3+4+5)/3</f>
        <v>4</v>
      </c>
      <c r="S10" s="60">
        <f t="shared" ref="S10:T10" si="3">(3+4+5)/3</f>
        <v>4</v>
      </c>
      <c r="T10" s="60">
        <f t="shared" si="3"/>
        <v>4</v>
      </c>
      <c r="U10" s="60">
        <f>(6+7+8)/3</f>
        <v>7</v>
      </c>
      <c r="V10" s="60">
        <f>9/1</f>
        <v>9</v>
      </c>
      <c r="W10" s="60">
        <f>(6+7+8)/3</f>
        <v>7</v>
      </c>
      <c r="X10" s="4">
        <f>SUM(O10:W10)</f>
        <v>45</v>
      </c>
      <c r="Y10" s="106"/>
      <c r="Z10" s="68"/>
    </row>
    <row r="11" spans="2:26" ht="15.75" x14ac:dyDescent="0.25">
      <c r="B11" s="103" t="s">
        <v>67</v>
      </c>
      <c r="C11" s="56">
        <v>4</v>
      </c>
      <c r="D11" s="56">
        <v>1</v>
      </c>
      <c r="E11" s="56">
        <v>2</v>
      </c>
      <c r="F11" s="56">
        <v>3</v>
      </c>
      <c r="G11" s="56">
        <v>1</v>
      </c>
      <c r="H11" s="56">
        <v>4</v>
      </c>
      <c r="I11" s="56">
        <v>2</v>
      </c>
      <c r="J11" s="56">
        <v>3</v>
      </c>
      <c r="K11" s="56">
        <v>2</v>
      </c>
      <c r="L11" s="103">
        <f t="shared" ref="L11:L19" si="4">SUM(C11:K11)</f>
        <v>22</v>
      </c>
      <c r="M11" s="3"/>
      <c r="N11" s="103">
        <v>5</v>
      </c>
      <c r="O11" s="60">
        <f>9/1</f>
        <v>9</v>
      </c>
      <c r="P11" s="60">
        <f>(4+5+6)/3</f>
        <v>5</v>
      </c>
      <c r="Q11" s="60">
        <f>(1+2+3)/3</f>
        <v>2</v>
      </c>
      <c r="R11" s="60">
        <f>(4+5+6)/3</f>
        <v>5</v>
      </c>
      <c r="S11" s="60">
        <f>(7+8)/2</f>
        <v>7.5</v>
      </c>
      <c r="T11" s="60">
        <f>(1+2+3)/3</f>
        <v>2</v>
      </c>
      <c r="U11" s="60">
        <f>(4+5+6)/3</f>
        <v>5</v>
      </c>
      <c r="V11" s="60">
        <f>(1+2+3)/3</f>
        <v>2</v>
      </c>
      <c r="W11" s="60">
        <f>(7+8)/2</f>
        <v>7.5</v>
      </c>
      <c r="X11" s="4">
        <f t="shared" ref="X11:X21" si="5">SUM(O11:W11)</f>
        <v>45</v>
      </c>
      <c r="Y11" s="106"/>
      <c r="Z11" s="68"/>
    </row>
    <row r="12" spans="2:26" ht="15.75" x14ac:dyDescent="0.25">
      <c r="B12" s="103" t="s">
        <v>68</v>
      </c>
      <c r="C12" s="56">
        <v>2</v>
      </c>
      <c r="D12" s="56">
        <v>3</v>
      </c>
      <c r="E12" s="56">
        <v>4</v>
      </c>
      <c r="F12" s="56">
        <v>3</v>
      </c>
      <c r="G12" s="56">
        <v>4</v>
      </c>
      <c r="H12" s="56">
        <v>4</v>
      </c>
      <c r="I12" s="56">
        <v>4</v>
      </c>
      <c r="J12" s="56">
        <v>4</v>
      </c>
      <c r="K12" s="56">
        <v>4</v>
      </c>
      <c r="L12" s="103">
        <f t="shared" si="4"/>
        <v>32</v>
      </c>
      <c r="M12" s="3"/>
      <c r="N12" s="103">
        <v>6</v>
      </c>
      <c r="O12" s="60">
        <f>(8+9)/2</f>
        <v>8.5</v>
      </c>
      <c r="P12" s="60">
        <f>(1+2)/2</f>
        <v>1.5</v>
      </c>
      <c r="Q12" s="60">
        <f>(3+4+5)/3</f>
        <v>4</v>
      </c>
      <c r="R12" s="60">
        <f>(6+7)/2</f>
        <v>6.5</v>
      </c>
      <c r="S12" s="60">
        <f>(1+2)/2</f>
        <v>1.5</v>
      </c>
      <c r="T12" s="60">
        <f>(8+9)/2</f>
        <v>8.5</v>
      </c>
      <c r="U12" s="60">
        <f>(3+4+5)/3</f>
        <v>4</v>
      </c>
      <c r="V12" s="60">
        <f>(6+7)/2</f>
        <v>6.5</v>
      </c>
      <c r="W12" s="60">
        <f>(3+4+5)/3</f>
        <v>4</v>
      </c>
      <c r="X12" s="4">
        <f t="shared" si="5"/>
        <v>45</v>
      </c>
      <c r="Y12" s="106"/>
      <c r="Z12" s="68"/>
    </row>
    <row r="13" spans="2:26" ht="15.75" x14ac:dyDescent="0.25">
      <c r="B13" s="103" t="s">
        <v>69</v>
      </c>
      <c r="C13" s="56">
        <v>3</v>
      </c>
      <c r="D13" s="56">
        <v>3</v>
      </c>
      <c r="E13" s="56">
        <v>2</v>
      </c>
      <c r="F13" s="56">
        <v>3</v>
      </c>
      <c r="G13" s="56">
        <v>2</v>
      </c>
      <c r="H13" s="56">
        <v>4</v>
      </c>
      <c r="I13" s="56">
        <v>4</v>
      </c>
      <c r="J13" s="56">
        <v>3</v>
      </c>
      <c r="K13" s="56">
        <v>3</v>
      </c>
      <c r="L13" s="103">
        <f t="shared" si="4"/>
        <v>27</v>
      </c>
      <c r="M13" s="3"/>
      <c r="N13" s="103">
        <v>7</v>
      </c>
      <c r="O13" s="60">
        <f>1</f>
        <v>1</v>
      </c>
      <c r="P13" s="60">
        <f>(2+3)/2</f>
        <v>2.5</v>
      </c>
      <c r="Q13" s="60">
        <f>(4+5+6+7+8+9)/6</f>
        <v>6.5</v>
      </c>
      <c r="R13" s="60">
        <f>(2+3)/2</f>
        <v>2.5</v>
      </c>
      <c r="S13" s="60">
        <f t="shared" ref="S13:W13" si="6">(4+5+6+7+8+9)/6</f>
        <v>6.5</v>
      </c>
      <c r="T13" s="60">
        <f t="shared" si="6"/>
        <v>6.5</v>
      </c>
      <c r="U13" s="60">
        <f t="shared" si="6"/>
        <v>6.5</v>
      </c>
      <c r="V13" s="60">
        <f t="shared" si="6"/>
        <v>6.5</v>
      </c>
      <c r="W13" s="60">
        <f t="shared" si="6"/>
        <v>6.5</v>
      </c>
      <c r="X13" s="4">
        <f t="shared" si="5"/>
        <v>45</v>
      </c>
      <c r="Y13" s="106"/>
      <c r="Z13" s="68"/>
    </row>
    <row r="14" spans="2:26" ht="15.75" x14ac:dyDescent="0.25">
      <c r="B14" s="103" t="s">
        <v>70</v>
      </c>
      <c r="C14" s="56">
        <v>3</v>
      </c>
      <c r="D14" s="56">
        <v>4</v>
      </c>
      <c r="E14" s="56">
        <v>4</v>
      </c>
      <c r="F14" s="56">
        <v>3</v>
      </c>
      <c r="G14" s="56">
        <v>4</v>
      </c>
      <c r="H14" s="56">
        <v>3</v>
      </c>
      <c r="I14" s="56">
        <v>4</v>
      </c>
      <c r="J14" s="56">
        <v>3</v>
      </c>
      <c r="K14" s="56">
        <v>4</v>
      </c>
      <c r="L14" s="103">
        <f t="shared" si="4"/>
        <v>32</v>
      </c>
      <c r="M14" s="3"/>
      <c r="N14" s="103">
        <v>8</v>
      </c>
      <c r="O14" s="60">
        <f>(3+4+5+6+7)/5</f>
        <v>5</v>
      </c>
      <c r="P14" s="60">
        <f>(3+4+5+6+7)/5</f>
        <v>5</v>
      </c>
      <c r="Q14" s="60">
        <f>(1+2)/2</f>
        <v>1.5</v>
      </c>
      <c r="R14" s="60">
        <f>(3+4+5+6+7)/5</f>
        <v>5</v>
      </c>
      <c r="S14" s="60">
        <f>(1+2)/2</f>
        <v>1.5</v>
      </c>
      <c r="T14" s="60">
        <f>(8+9)/2</f>
        <v>8.5</v>
      </c>
      <c r="U14" s="60">
        <f>(8+9)/2</f>
        <v>8.5</v>
      </c>
      <c r="V14" s="60">
        <f t="shared" ref="V14:W14" si="7">(3+4+5+6+7)/5</f>
        <v>5</v>
      </c>
      <c r="W14" s="60">
        <f t="shared" si="7"/>
        <v>5</v>
      </c>
      <c r="X14" s="4">
        <f t="shared" si="5"/>
        <v>45</v>
      </c>
      <c r="Y14" s="106"/>
      <c r="Z14" s="68"/>
    </row>
    <row r="15" spans="2:26" ht="15.75" x14ac:dyDescent="0.25">
      <c r="B15" s="103" t="s">
        <v>71</v>
      </c>
      <c r="C15" s="56">
        <v>2</v>
      </c>
      <c r="D15" s="56">
        <v>1</v>
      </c>
      <c r="E15" s="56">
        <v>1</v>
      </c>
      <c r="F15" s="56">
        <v>4</v>
      </c>
      <c r="G15" s="56">
        <v>1</v>
      </c>
      <c r="H15" s="56">
        <v>1</v>
      </c>
      <c r="I15" s="56">
        <v>1</v>
      </c>
      <c r="J15" s="56">
        <v>4</v>
      </c>
      <c r="K15" s="56">
        <v>3</v>
      </c>
      <c r="L15" s="103">
        <f t="shared" si="4"/>
        <v>18</v>
      </c>
      <c r="M15" s="146"/>
      <c r="N15" s="103">
        <v>9</v>
      </c>
      <c r="O15" s="60">
        <f>(1+2+3+4)/4</f>
        <v>2.5</v>
      </c>
      <c r="P15" s="60">
        <f>(5+6+7+8+9)/5</f>
        <v>7</v>
      </c>
      <c r="Q15" s="60">
        <f>(5+6+7+8+9)/5</f>
        <v>7</v>
      </c>
      <c r="R15" s="60">
        <f>(1+2+3+4)/4</f>
        <v>2.5</v>
      </c>
      <c r="S15" s="60">
        <f>(5+6+7+8+9)/5</f>
        <v>7</v>
      </c>
      <c r="T15" s="60">
        <f>(1+2+3+4)/4</f>
        <v>2.5</v>
      </c>
      <c r="U15" s="60">
        <f>(5+6+7+8+9)/5</f>
        <v>7</v>
      </c>
      <c r="V15" s="60">
        <f>(1+2+3+4)/4</f>
        <v>2.5</v>
      </c>
      <c r="W15" s="60">
        <f>(5+6+7+8+9)/5</f>
        <v>7</v>
      </c>
      <c r="X15" s="4">
        <f t="shared" si="5"/>
        <v>45</v>
      </c>
      <c r="Y15" s="106"/>
      <c r="Z15" s="68"/>
    </row>
    <row r="16" spans="2:26" ht="15.75" x14ac:dyDescent="0.25">
      <c r="B16" s="103" t="s">
        <v>72</v>
      </c>
      <c r="C16" s="56">
        <v>4</v>
      </c>
      <c r="D16" s="56">
        <v>4</v>
      </c>
      <c r="E16" s="56">
        <v>4</v>
      </c>
      <c r="F16" s="56">
        <v>4</v>
      </c>
      <c r="G16" s="56">
        <v>4</v>
      </c>
      <c r="H16" s="56">
        <v>4</v>
      </c>
      <c r="I16" s="56">
        <v>4</v>
      </c>
      <c r="J16" s="56">
        <v>4</v>
      </c>
      <c r="K16" s="56">
        <v>4</v>
      </c>
      <c r="L16" s="103">
        <f>SUM(C16:K16)</f>
        <v>36</v>
      </c>
      <c r="M16" s="146"/>
      <c r="N16" s="103">
        <v>10</v>
      </c>
      <c r="O16" s="60">
        <f>6/1</f>
        <v>6</v>
      </c>
      <c r="P16" s="60">
        <f>(1+2+3+4+5)/5</f>
        <v>3</v>
      </c>
      <c r="Q16" s="60">
        <f>(1+2+3+4+5)/5</f>
        <v>3</v>
      </c>
      <c r="R16" s="60">
        <f>(8+9)/2</f>
        <v>8.5</v>
      </c>
      <c r="S16" s="60">
        <f t="shared" ref="S16:U16" si="8">(1+2+3+4+5)/5</f>
        <v>3</v>
      </c>
      <c r="T16" s="60">
        <f t="shared" si="8"/>
        <v>3</v>
      </c>
      <c r="U16" s="60">
        <f t="shared" si="8"/>
        <v>3</v>
      </c>
      <c r="V16" s="60">
        <f>(8+9)/2</f>
        <v>8.5</v>
      </c>
      <c r="W16" s="60">
        <f>7/1</f>
        <v>7</v>
      </c>
      <c r="X16" s="4">
        <f t="shared" si="5"/>
        <v>45</v>
      </c>
      <c r="Y16" s="106"/>
      <c r="Z16" s="68"/>
    </row>
    <row r="17" spans="1:28" ht="15.75" x14ac:dyDescent="0.25">
      <c r="B17" s="103" t="s">
        <v>73</v>
      </c>
      <c r="C17" s="56">
        <v>4</v>
      </c>
      <c r="D17" s="56">
        <v>3</v>
      </c>
      <c r="E17" s="56">
        <v>2</v>
      </c>
      <c r="F17" s="56">
        <v>4</v>
      </c>
      <c r="G17" s="56">
        <v>3</v>
      </c>
      <c r="H17" s="56">
        <v>3</v>
      </c>
      <c r="I17" s="56">
        <v>2</v>
      </c>
      <c r="J17" s="56">
        <v>4</v>
      </c>
      <c r="K17" s="56">
        <v>3</v>
      </c>
      <c r="L17" s="103">
        <f t="shared" si="4"/>
        <v>28</v>
      </c>
      <c r="M17" s="146"/>
      <c r="N17" s="103">
        <v>11</v>
      </c>
      <c r="O17" s="60">
        <f>(1+2+3+4+5+6+7+8+9)/9</f>
        <v>5</v>
      </c>
      <c r="P17" s="60">
        <f t="shared" ref="P17:W17" si="9">(1+2+3+4+5+6+7+8+9)/9</f>
        <v>5</v>
      </c>
      <c r="Q17" s="60">
        <f t="shared" si="9"/>
        <v>5</v>
      </c>
      <c r="R17" s="60">
        <f t="shared" si="9"/>
        <v>5</v>
      </c>
      <c r="S17" s="60">
        <f t="shared" si="9"/>
        <v>5</v>
      </c>
      <c r="T17" s="60">
        <f t="shared" si="9"/>
        <v>5</v>
      </c>
      <c r="U17" s="60">
        <f t="shared" si="9"/>
        <v>5</v>
      </c>
      <c r="V17" s="60">
        <f t="shared" si="9"/>
        <v>5</v>
      </c>
      <c r="W17" s="60">
        <f t="shared" si="9"/>
        <v>5</v>
      </c>
      <c r="X17" s="4">
        <f t="shared" si="5"/>
        <v>45</v>
      </c>
      <c r="Y17" s="106"/>
      <c r="Z17" s="68"/>
    </row>
    <row r="18" spans="1:28" ht="15.75" x14ac:dyDescent="0.25">
      <c r="B18" s="103" t="s">
        <v>74</v>
      </c>
      <c r="C18" s="56">
        <v>4</v>
      </c>
      <c r="D18" s="56">
        <v>2</v>
      </c>
      <c r="E18" s="56">
        <v>4</v>
      </c>
      <c r="F18" s="56">
        <v>4</v>
      </c>
      <c r="G18" s="56">
        <v>2</v>
      </c>
      <c r="H18" s="56">
        <v>2</v>
      </c>
      <c r="I18" s="56">
        <v>4</v>
      </c>
      <c r="J18" s="56">
        <v>4</v>
      </c>
      <c r="K18" s="56">
        <v>2</v>
      </c>
      <c r="L18" s="103">
        <f>SUM(C18:K18)</f>
        <v>28</v>
      </c>
      <c r="M18" s="146"/>
      <c r="N18" s="103">
        <v>12</v>
      </c>
      <c r="O18" s="60">
        <f>(7+8+9)/3</f>
        <v>8</v>
      </c>
      <c r="P18" s="60">
        <f>(3+4+5+6)/4</f>
        <v>4.5</v>
      </c>
      <c r="Q18" s="60">
        <f>(1+2)/2</f>
        <v>1.5</v>
      </c>
      <c r="R18" s="60">
        <f>(7+8+9)/3</f>
        <v>8</v>
      </c>
      <c r="S18" s="60">
        <f t="shared" ref="S18:T18" si="10">(3+4+5+6)/4</f>
        <v>4.5</v>
      </c>
      <c r="T18" s="60">
        <f t="shared" si="10"/>
        <v>4.5</v>
      </c>
      <c r="U18" s="60">
        <f>(1+2)/2</f>
        <v>1.5</v>
      </c>
      <c r="V18" s="60">
        <f>(7+8+9)/3</f>
        <v>8</v>
      </c>
      <c r="W18" s="60">
        <f>(3+4+5+6)/4</f>
        <v>4.5</v>
      </c>
      <c r="X18" s="4">
        <f t="shared" si="5"/>
        <v>45</v>
      </c>
      <c r="Y18" s="106"/>
      <c r="Z18" s="68"/>
    </row>
    <row r="19" spans="1:28" ht="15.75" x14ac:dyDescent="0.25">
      <c r="B19" s="103" t="s">
        <v>75</v>
      </c>
      <c r="C19" s="56">
        <v>3</v>
      </c>
      <c r="D19" s="56">
        <v>4</v>
      </c>
      <c r="E19" s="56">
        <v>4</v>
      </c>
      <c r="F19" s="56">
        <v>4</v>
      </c>
      <c r="G19" s="56">
        <v>4</v>
      </c>
      <c r="H19" s="56">
        <v>2</v>
      </c>
      <c r="I19" s="56">
        <v>3</v>
      </c>
      <c r="J19" s="56">
        <v>3</v>
      </c>
      <c r="K19" s="56">
        <v>4</v>
      </c>
      <c r="L19" s="103">
        <f t="shared" si="4"/>
        <v>31</v>
      </c>
      <c r="M19" s="146"/>
      <c r="N19" s="103">
        <v>13</v>
      </c>
      <c r="O19" s="60">
        <f>(5+6+7+8+9)/5</f>
        <v>7</v>
      </c>
      <c r="P19" s="60">
        <f>(1+2+3+4)/4</f>
        <v>2.5</v>
      </c>
      <c r="Q19" s="60">
        <f t="shared" ref="Q19:S20" si="11">(5+6+7+8+9)/5</f>
        <v>7</v>
      </c>
      <c r="R19" s="60">
        <f t="shared" si="11"/>
        <v>7</v>
      </c>
      <c r="S19" s="60">
        <f t="shared" ref="S19:T19" si="12">(1+2+3+4)/4</f>
        <v>2.5</v>
      </c>
      <c r="T19" s="60">
        <f t="shared" si="12"/>
        <v>2.5</v>
      </c>
      <c r="U19" s="60">
        <f t="shared" ref="U19:V19" si="13">(5+6+7+8+9)/5</f>
        <v>7</v>
      </c>
      <c r="V19" s="60">
        <f t="shared" si="13"/>
        <v>7</v>
      </c>
      <c r="W19" s="60">
        <f>(1+2+3+4)/4</f>
        <v>2.5</v>
      </c>
      <c r="X19" s="4">
        <f t="shared" si="5"/>
        <v>45</v>
      </c>
      <c r="Y19" s="106"/>
      <c r="Z19" s="68"/>
    </row>
    <row r="20" spans="1:28" ht="15.75" customHeight="1" x14ac:dyDescent="0.25">
      <c r="B20" s="103" t="s">
        <v>60</v>
      </c>
      <c r="C20" s="56">
        <v>4</v>
      </c>
      <c r="D20" s="56">
        <v>4</v>
      </c>
      <c r="E20" s="56">
        <v>4</v>
      </c>
      <c r="F20" s="56">
        <v>4</v>
      </c>
      <c r="G20" s="56">
        <v>4</v>
      </c>
      <c r="H20" s="56">
        <v>4</v>
      </c>
      <c r="I20" s="56">
        <v>4</v>
      </c>
      <c r="J20" s="56">
        <v>4</v>
      </c>
      <c r="K20" s="56">
        <v>4</v>
      </c>
      <c r="L20" s="103">
        <f>SUM(C20:K20)</f>
        <v>36</v>
      </c>
      <c r="M20" s="146"/>
      <c r="N20" s="103">
        <v>14</v>
      </c>
      <c r="O20" s="39">
        <f>(2+3+4)/3</f>
        <v>3</v>
      </c>
      <c r="P20" s="39">
        <f>(5+6+7+8+9)/5</f>
        <v>7</v>
      </c>
      <c r="Q20" s="39">
        <f t="shared" si="11"/>
        <v>7</v>
      </c>
      <c r="R20" s="39">
        <f t="shared" si="11"/>
        <v>7</v>
      </c>
      <c r="S20" s="39">
        <f t="shared" si="11"/>
        <v>7</v>
      </c>
      <c r="T20" s="39">
        <f>1</f>
        <v>1</v>
      </c>
      <c r="U20" s="39">
        <f>(2+3+4)/3</f>
        <v>3</v>
      </c>
      <c r="V20" s="39">
        <f>(2+3+4)/3</f>
        <v>3</v>
      </c>
      <c r="W20" s="39">
        <f>(5+6+7+8+9)/5</f>
        <v>7</v>
      </c>
      <c r="X20" s="4">
        <f t="shared" si="5"/>
        <v>45</v>
      </c>
      <c r="Y20" s="106"/>
      <c r="Z20" s="68"/>
    </row>
    <row r="21" spans="1:28" ht="15.75" x14ac:dyDescent="0.25">
      <c r="B21" s="103" t="s">
        <v>1</v>
      </c>
      <c r="C21" s="103">
        <f>SUM(C6:C20)</f>
        <v>49</v>
      </c>
      <c r="D21" s="103">
        <f t="shared" ref="D21:K21" si="14">SUM(D6:D20)</f>
        <v>41</v>
      </c>
      <c r="E21" s="103">
        <f t="shared" si="14"/>
        <v>41</v>
      </c>
      <c r="F21" s="103">
        <f t="shared" si="14"/>
        <v>48</v>
      </c>
      <c r="G21" s="103">
        <f t="shared" si="14"/>
        <v>42</v>
      </c>
      <c r="H21" s="103">
        <f t="shared" si="14"/>
        <v>41</v>
      </c>
      <c r="I21" s="103">
        <f t="shared" si="14"/>
        <v>47</v>
      </c>
      <c r="J21" s="103">
        <f t="shared" si="14"/>
        <v>52</v>
      </c>
      <c r="K21" s="103">
        <f t="shared" si="14"/>
        <v>49</v>
      </c>
      <c r="L21" s="103">
        <f>SUM(L6:L20)</f>
        <v>410</v>
      </c>
      <c r="M21" s="146"/>
      <c r="N21" s="103">
        <v>15</v>
      </c>
      <c r="O21" s="60">
        <f>(1+2+3+4+5+6+7+8+9)/9</f>
        <v>5</v>
      </c>
      <c r="P21" s="60">
        <f t="shared" ref="P21:W21" si="15">(1+2+3+4+5+6+7+8+9)/9</f>
        <v>5</v>
      </c>
      <c r="Q21" s="60">
        <f t="shared" si="15"/>
        <v>5</v>
      </c>
      <c r="R21" s="60">
        <f t="shared" si="15"/>
        <v>5</v>
      </c>
      <c r="S21" s="60">
        <f t="shared" si="15"/>
        <v>5</v>
      </c>
      <c r="T21" s="60">
        <f t="shared" si="15"/>
        <v>5</v>
      </c>
      <c r="U21" s="60">
        <f t="shared" si="15"/>
        <v>5</v>
      </c>
      <c r="V21" s="60">
        <f t="shared" si="15"/>
        <v>5</v>
      </c>
      <c r="W21" s="60">
        <f t="shared" si="15"/>
        <v>5</v>
      </c>
      <c r="X21" s="4">
        <f t="shared" si="5"/>
        <v>45</v>
      </c>
      <c r="Y21" s="106"/>
      <c r="Z21" s="68"/>
    </row>
    <row r="22" spans="1:28" ht="15.75" x14ac:dyDescent="0.25">
      <c r="B22" s="10" t="s">
        <v>53</v>
      </c>
      <c r="C22" s="39">
        <f>AVERAGE(C6:C20)</f>
        <v>3.2666666666666666</v>
      </c>
      <c r="D22" s="39">
        <f t="shared" ref="D22:K22" si="16">AVERAGE(D6:D20)</f>
        <v>2.7333333333333334</v>
      </c>
      <c r="E22" s="39">
        <f t="shared" si="16"/>
        <v>2.7333333333333334</v>
      </c>
      <c r="F22" s="39">
        <f t="shared" si="16"/>
        <v>3.2</v>
      </c>
      <c r="G22" s="39">
        <f t="shared" si="16"/>
        <v>2.8</v>
      </c>
      <c r="H22" s="39">
        <f t="shared" si="16"/>
        <v>2.7333333333333334</v>
      </c>
      <c r="I22" s="39">
        <f t="shared" si="16"/>
        <v>3.1333333333333333</v>
      </c>
      <c r="J22" s="39">
        <f t="shared" si="16"/>
        <v>3.4666666666666668</v>
      </c>
      <c r="K22" s="39">
        <f t="shared" si="16"/>
        <v>3.2666666666666666</v>
      </c>
      <c r="L22" s="20"/>
      <c r="M22" s="106"/>
      <c r="N22" s="103" t="s">
        <v>1</v>
      </c>
      <c r="O22" s="4">
        <f>SUM(O7:O21)</f>
        <v>82</v>
      </c>
      <c r="P22" s="4">
        <f>SUM(P7:P21)</f>
        <v>66</v>
      </c>
      <c r="Q22" s="4">
        <f t="shared" ref="Q22:V22" si="17">SUM(Q7:Q21)</f>
        <v>64</v>
      </c>
      <c r="R22" s="4">
        <f t="shared" si="17"/>
        <v>78.5</v>
      </c>
      <c r="S22" s="4">
        <f t="shared" si="17"/>
        <v>67</v>
      </c>
      <c r="T22" s="4">
        <f t="shared" si="17"/>
        <v>62.5</v>
      </c>
      <c r="U22" s="4">
        <f>SUM(U7:U21)</f>
        <v>81</v>
      </c>
      <c r="V22" s="4">
        <f t="shared" si="17"/>
        <v>88</v>
      </c>
      <c r="W22" s="4">
        <f>SUM(W7:W21)</f>
        <v>86</v>
      </c>
      <c r="X22" s="39">
        <f>SUM(X7:X21)</f>
        <v>675</v>
      </c>
      <c r="Y22" s="106"/>
      <c r="Z22" s="66"/>
    </row>
    <row r="23" spans="1:28" ht="15.75" x14ac:dyDescent="0.25">
      <c r="B23" s="67"/>
      <c r="C23" s="47"/>
      <c r="D23" s="47"/>
      <c r="E23" s="47"/>
      <c r="F23" s="47"/>
      <c r="G23" s="47"/>
      <c r="H23" s="47"/>
      <c r="I23" s="47"/>
      <c r="J23" s="47"/>
      <c r="K23" s="47"/>
      <c r="L23" s="66"/>
      <c r="M23" s="106"/>
      <c r="N23" s="10" t="s">
        <v>53</v>
      </c>
      <c r="O23" s="39">
        <f>AVERAGE(O7:O21)</f>
        <v>5.4666666666666668</v>
      </c>
      <c r="P23" s="39">
        <f t="shared" ref="P23:V23" si="18">AVERAGE(P7:P21)</f>
        <v>4.4000000000000004</v>
      </c>
      <c r="Q23" s="39">
        <f t="shared" si="18"/>
        <v>4.2666666666666666</v>
      </c>
      <c r="R23" s="39">
        <f>AVERAGE(R7:R21)</f>
        <v>5.2333333333333334</v>
      </c>
      <c r="S23" s="39">
        <f t="shared" si="18"/>
        <v>4.4666666666666668</v>
      </c>
      <c r="T23" s="39">
        <f t="shared" si="18"/>
        <v>4.166666666666667</v>
      </c>
      <c r="U23" s="39">
        <f t="shared" si="18"/>
        <v>5.4</v>
      </c>
      <c r="V23" s="39">
        <f t="shared" si="18"/>
        <v>5.8666666666666663</v>
      </c>
      <c r="W23" s="39">
        <f>AVERAGE(W7:W21)</f>
        <v>5.7333333333333334</v>
      </c>
      <c r="X23" s="37"/>
      <c r="Y23" s="106"/>
      <c r="Z23" s="66"/>
    </row>
    <row r="24" spans="1:28" x14ac:dyDescent="0.25"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</row>
    <row r="25" spans="1:28" x14ac:dyDescent="0.25"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72"/>
      <c r="N25" s="172"/>
      <c r="O25" s="172"/>
      <c r="P25" s="172"/>
      <c r="Q25" s="172"/>
      <c r="R25" s="172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</row>
    <row r="26" spans="1:28" ht="31.5" customHeight="1" x14ac:dyDescent="0.25"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72"/>
      <c r="N26" s="66"/>
      <c r="O26" s="68"/>
      <c r="P26" s="68"/>
      <c r="Q26" s="68"/>
      <c r="R26" s="68"/>
      <c r="S26" s="66"/>
      <c r="T26" s="66"/>
      <c r="U26" s="66"/>
      <c r="V26" s="67"/>
      <c r="W26" s="67"/>
      <c r="X26" s="69"/>
      <c r="Y26" s="69"/>
      <c r="Z26" s="69"/>
      <c r="AA26" s="172"/>
      <c r="AB26" s="172"/>
    </row>
    <row r="27" spans="1:28" ht="31.5" customHeight="1" x14ac:dyDescent="0.25">
      <c r="B27" s="106"/>
      <c r="C27" s="106"/>
      <c r="D27" s="106"/>
      <c r="E27" s="106"/>
      <c r="F27" s="106"/>
      <c r="G27" s="106"/>
      <c r="H27" s="106"/>
      <c r="I27" s="106"/>
      <c r="J27" s="69"/>
      <c r="K27" s="69"/>
      <c r="L27" s="106"/>
      <c r="M27" s="172"/>
      <c r="N27" s="68"/>
      <c r="O27" s="68"/>
      <c r="P27" s="68"/>
      <c r="Q27" s="68"/>
      <c r="R27" s="68"/>
      <c r="S27" s="68"/>
      <c r="T27" s="272"/>
      <c r="U27" s="273"/>
      <c r="V27" s="273"/>
      <c r="W27" s="67"/>
      <c r="X27" s="69"/>
      <c r="Y27" s="69"/>
      <c r="Z27" s="69"/>
      <c r="AA27" s="172"/>
      <c r="AB27" s="172"/>
    </row>
    <row r="28" spans="1:28" ht="15.75" x14ac:dyDescent="0.25">
      <c r="B28" s="106"/>
      <c r="C28" s="106"/>
      <c r="D28" s="106"/>
      <c r="E28" s="106"/>
      <c r="F28" s="106"/>
      <c r="G28" s="106"/>
      <c r="H28" s="106"/>
      <c r="I28" s="106"/>
      <c r="J28" s="69"/>
      <c r="K28" s="69"/>
      <c r="L28" s="106"/>
      <c r="M28" s="172"/>
      <c r="N28" s="68"/>
      <c r="O28" s="259"/>
      <c r="P28" s="259"/>
      <c r="Q28" s="259"/>
      <c r="R28" s="259"/>
      <c r="S28" s="259"/>
      <c r="T28" s="47"/>
      <c r="U28" s="267"/>
      <c r="V28" s="267"/>
      <c r="W28" s="67"/>
      <c r="X28" s="271"/>
      <c r="Y28" s="69"/>
      <c r="Z28" s="69"/>
      <c r="AA28" s="172"/>
      <c r="AB28" s="172"/>
    </row>
    <row r="29" spans="1:28" ht="15.75" x14ac:dyDescent="0.25"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72"/>
      <c r="N29" s="68"/>
      <c r="O29" s="259"/>
      <c r="P29" s="259"/>
      <c r="Q29" s="259"/>
      <c r="R29" s="259"/>
      <c r="S29" s="259"/>
      <c r="T29" s="47"/>
      <c r="U29" s="267"/>
      <c r="V29" s="267"/>
      <c r="W29" s="67"/>
      <c r="X29" s="271"/>
      <c r="Y29" s="69"/>
      <c r="Z29" s="69"/>
      <c r="AA29" s="172"/>
      <c r="AB29" s="172"/>
    </row>
    <row r="30" spans="1:28" ht="15.75" x14ac:dyDescent="0.25"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72"/>
      <c r="N30" s="68"/>
      <c r="O30" s="259"/>
      <c r="P30" s="259"/>
      <c r="Q30" s="259"/>
      <c r="R30" s="259"/>
      <c r="S30" s="259"/>
      <c r="T30" s="47"/>
      <c r="U30" s="267"/>
      <c r="V30" s="267"/>
      <c r="W30" s="67"/>
      <c r="X30" s="271"/>
      <c r="Y30" s="69"/>
      <c r="Z30" s="69"/>
      <c r="AA30" s="172"/>
      <c r="AB30" s="172"/>
    </row>
    <row r="31" spans="1:28" ht="16.5" thickBot="1" x14ac:dyDescent="0.3">
      <c r="A31" s="72"/>
      <c r="B31" s="106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72"/>
      <c r="N31" s="68"/>
      <c r="O31" s="259"/>
      <c r="P31" s="259"/>
      <c r="Q31" s="259"/>
      <c r="R31" s="259"/>
      <c r="S31" s="259"/>
      <c r="T31" s="47"/>
      <c r="U31" s="267"/>
      <c r="V31" s="267"/>
      <c r="W31" s="67"/>
      <c r="X31" s="271"/>
      <c r="Y31" s="69"/>
      <c r="Z31" s="69"/>
      <c r="AA31" s="172"/>
      <c r="AB31" s="172"/>
    </row>
    <row r="32" spans="1:28" ht="15.75" x14ac:dyDescent="0.25">
      <c r="A32" s="61"/>
      <c r="B32" s="234" t="s">
        <v>54</v>
      </c>
      <c r="C32" s="234" t="s">
        <v>55</v>
      </c>
      <c r="D32" s="236"/>
      <c r="E32" s="106"/>
      <c r="F32" s="106"/>
      <c r="G32" s="57" t="s">
        <v>57</v>
      </c>
      <c r="H32" s="58">
        <v>9</v>
      </c>
      <c r="I32" s="106"/>
      <c r="J32" s="72"/>
      <c r="K32" s="106"/>
      <c r="L32" s="106"/>
      <c r="M32" s="172"/>
      <c r="N32" s="68"/>
      <c r="O32" s="259"/>
      <c r="P32" s="259"/>
      <c r="Q32" s="259"/>
      <c r="R32" s="259"/>
      <c r="S32" s="259"/>
      <c r="T32" s="47"/>
      <c r="U32" s="267"/>
      <c r="V32" s="267"/>
      <c r="W32" s="67"/>
      <c r="X32" s="271"/>
      <c r="Y32" s="69"/>
      <c r="Z32" s="69"/>
      <c r="AA32" s="172"/>
      <c r="AB32" s="172"/>
    </row>
    <row r="33" spans="1:28" ht="15.75" x14ac:dyDescent="0.25">
      <c r="A33" s="61"/>
      <c r="B33" s="235"/>
      <c r="C33" s="235"/>
      <c r="D33" s="237"/>
      <c r="E33" s="106"/>
      <c r="F33" s="106"/>
      <c r="G33" s="57" t="s">
        <v>58</v>
      </c>
      <c r="H33" s="58">
        <v>15</v>
      </c>
      <c r="I33" s="106"/>
      <c r="J33" s="106"/>
      <c r="K33" s="106"/>
      <c r="L33" s="106"/>
      <c r="M33" s="172"/>
      <c r="N33" s="68"/>
      <c r="O33" s="259"/>
      <c r="P33" s="259"/>
      <c r="Q33" s="259"/>
      <c r="R33" s="259"/>
      <c r="S33" s="259"/>
      <c r="T33" s="47"/>
      <c r="U33" s="267"/>
      <c r="V33" s="267"/>
      <c r="W33" s="67"/>
      <c r="X33" s="271"/>
      <c r="Y33" s="69"/>
      <c r="Z33" s="69"/>
      <c r="AA33" s="172"/>
      <c r="AB33" s="172"/>
    </row>
    <row r="34" spans="1:28" ht="15.75" x14ac:dyDescent="0.25">
      <c r="A34" s="61"/>
      <c r="B34" s="48"/>
      <c r="C34" s="48"/>
      <c r="D34" s="49"/>
      <c r="E34" s="106"/>
      <c r="F34" s="106"/>
      <c r="G34" s="106"/>
      <c r="H34" s="106"/>
      <c r="I34" s="106"/>
      <c r="J34" s="106"/>
      <c r="K34" s="106"/>
      <c r="L34" s="106"/>
      <c r="M34" s="172"/>
      <c r="N34" s="68"/>
      <c r="O34" s="259"/>
      <c r="P34" s="259"/>
      <c r="Q34" s="259"/>
      <c r="R34" s="259"/>
      <c r="S34" s="259"/>
      <c r="T34" s="47"/>
      <c r="U34" s="267"/>
      <c r="V34" s="267"/>
      <c r="W34" s="67"/>
      <c r="X34" s="271"/>
      <c r="Y34" s="69"/>
      <c r="Z34" s="69"/>
      <c r="AA34" s="172"/>
      <c r="AB34" s="172"/>
    </row>
    <row r="35" spans="1:28" ht="15.75" x14ac:dyDescent="0.25">
      <c r="A35" s="61"/>
      <c r="B35" s="73" t="s">
        <v>43</v>
      </c>
      <c r="C35" s="1">
        <f>(12/((H33*H32)*(H32+1))*SUMSQ(O22:W22)-3*(H33)*(H32+1))</f>
        <v>7.1955555555555293</v>
      </c>
      <c r="D35" s="77" t="s">
        <v>44</v>
      </c>
      <c r="E35" s="106"/>
      <c r="F35" s="106"/>
      <c r="G35" s="106"/>
      <c r="H35" s="106"/>
      <c r="I35" s="106"/>
      <c r="J35" s="106"/>
      <c r="K35" s="106"/>
      <c r="L35" s="106"/>
      <c r="M35" s="172"/>
      <c r="N35" s="68"/>
      <c r="O35" s="259"/>
      <c r="P35" s="259"/>
      <c r="Q35" s="259"/>
      <c r="R35" s="259"/>
      <c r="S35" s="259"/>
      <c r="T35" s="47"/>
      <c r="U35" s="267"/>
      <c r="V35" s="267"/>
      <c r="W35" s="67"/>
      <c r="X35" s="271"/>
      <c r="Y35" s="69"/>
      <c r="Z35" s="69"/>
      <c r="AA35" s="172"/>
      <c r="AB35" s="172"/>
    </row>
    <row r="36" spans="1:28" ht="15.75" x14ac:dyDescent="0.25">
      <c r="A36" s="61"/>
      <c r="B36" s="73" t="s">
        <v>56</v>
      </c>
      <c r="C36" s="1">
        <f>_xlfn.CHISQ.INV.RT(0.05,8)</f>
        <v>15.507313055865453</v>
      </c>
      <c r="D36" s="50"/>
      <c r="E36" s="106"/>
      <c r="F36" s="106"/>
      <c r="G36" s="106"/>
      <c r="H36" s="106"/>
      <c r="I36" s="106"/>
      <c r="J36" s="106"/>
      <c r="K36" s="106"/>
      <c r="L36" s="106"/>
      <c r="M36" s="172"/>
      <c r="N36" s="68"/>
      <c r="O36" s="259"/>
      <c r="P36" s="259"/>
      <c r="Q36" s="259"/>
      <c r="R36" s="259"/>
      <c r="S36" s="259"/>
      <c r="T36" s="47"/>
      <c r="U36" s="267"/>
      <c r="V36" s="267"/>
      <c r="W36" s="67"/>
      <c r="X36" s="271"/>
      <c r="Y36" s="69"/>
      <c r="Z36" s="69"/>
      <c r="AA36" s="172"/>
      <c r="AB36" s="172"/>
    </row>
    <row r="37" spans="1:28" ht="16.5" thickBot="1" x14ac:dyDescent="0.3">
      <c r="A37" s="61"/>
      <c r="B37" s="51"/>
      <c r="C37" s="52"/>
      <c r="D37" s="53"/>
      <c r="E37" s="106"/>
      <c r="F37" s="106"/>
      <c r="G37" s="106"/>
      <c r="H37" s="106"/>
      <c r="I37" s="106"/>
      <c r="J37" s="106"/>
      <c r="K37" s="106"/>
      <c r="L37" s="106"/>
      <c r="M37" s="172"/>
      <c r="N37" s="68"/>
      <c r="O37" s="259"/>
      <c r="P37" s="259"/>
      <c r="Q37" s="259"/>
      <c r="R37" s="259"/>
      <c r="S37" s="259"/>
      <c r="T37" s="267"/>
      <c r="U37" s="267"/>
      <c r="V37" s="267"/>
      <c r="W37" s="67"/>
      <c r="X37" s="69"/>
      <c r="Y37" s="69"/>
      <c r="Z37" s="69"/>
      <c r="AA37" s="172"/>
      <c r="AB37" s="172"/>
    </row>
    <row r="38" spans="1:28" ht="15.75" x14ac:dyDescent="0.25"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72"/>
      <c r="N38" s="68"/>
      <c r="O38" s="67"/>
      <c r="P38" s="69"/>
      <c r="Q38" s="69"/>
      <c r="R38" s="69"/>
      <c r="S38" s="69"/>
      <c r="T38" s="69"/>
      <c r="U38" s="69"/>
      <c r="V38" s="264"/>
      <c r="W38" s="67"/>
      <c r="X38" s="69"/>
      <c r="Y38" s="69"/>
      <c r="Z38" s="69"/>
      <c r="AA38" s="172"/>
      <c r="AB38" s="172"/>
    </row>
    <row r="39" spans="1:28" ht="15.75" x14ac:dyDescent="0.25"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72"/>
      <c r="N39" s="68"/>
      <c r="O39" s="70"/>
      <c r="P39" s="70"/>
      <c r="Q39" s="70"/>
      <c r="R39" s="70"/>
      <c r="S39" s="70"/>
      <c r="T39" s="70"/>
      <c r="U39" s="70"/>
      <c r="V39" s="70"/>
      <c r="W39" s="67"/>
      <c r="X39" s="69"/>
      <c r="Y39" s="69"/>
      <c r="Z39" s="69"/>
      <c r="AA39" s="172"/>
      <c r="AB39" s="172"/>
    </row>
    <row r="40" spans="1:28" ht="15.75" x14ac:dyDescent="0.25">
      <c r="B40" s="106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72"/>
      <c r="N40" s="62"/>
      <c r="O40" s="54"/>
      <c r="P40" s="54"/>
      <c r="Q40" s="54"/>
      <c r="R40" s="54"/>
      <c r="S40" s="54"/>
      <c r="T40" s="54"/>
      <c r="U40" s="54"/>
      <c r="V40" s="54"/>
      <c r="W40" s="63"/>
      <c r="X40" s="64"/>
      <c r="Y40" s="40"/>
      <c r="Z40" s="40"/>
    </row>
    <row r="41" spans="1:28" ht="15.75" x14ac:dyDescent="0.25"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64"/>
      <c r="N41" s="62"/>
      <c r="O41" s="65"/>
      <c r="P41" s="65"/>
      <c r="Q41" s="65"/>
      <c r="R41" s="65"/>
      <c r="S41" s="65"/>
      <c r="T41" s="65"/>
      <c r="U41" s="65"/>
      <c r="V41" s="65"/>
      <c r="W41" s="63"/>
      <c r="X41" s="64"/>
      <c r="Y41" s="40"/>
      <c r="Z41" s="40"/>
    </row>
    <row r="42" spans="1:28" x14ac:dyDescent="0.25">
      <c r="B42" s="106"/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06"/>
      <c r="U42" s="106"/>
      <c r="V42" s="106"/>
      <c r="W42" s="106"/>
      <c r="X42" s="106"/>
      <c r="Y42" s="106"/>
      <c r="Z42" s="106"/>
    </row>
    <row r="43" spans="1:28" x14ac:dyDescent="0.25"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</row>
  </sheetData>
  <mergeCells count="8">
    <mergeCell ref="X5:X6"/>
    <mergeCell ref="B4:B5"/>
    <mergeCell ref="C4:J4"/>
    <mergeCell ref="L4:L5"/>
    <mergeCell ref="N5:N6"/>
    <mergeCell ref="O5:W5"/>
    <mergeCell ref="B32:B33"/>
    <mergeCell ref="C32:D3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37"/>
  <sheetViews>
    <sheetView tabSelected="1" topLeftCell="B1" zoomScale="80" zoomScaleNormal="80" workbookViewId="0">
      <selection activeCell="Q14" sqref="Q14"/>
    </sheetView>
  </sheetViews>
  <sheetFormatPr defaultRowHeight="15" x14ac:dyDescent="0.25"/>
  <cols>
    <col min="2" max="2" width="21.7109375" customWidth="1"/>
    <col min="3" max="3" width="11.28515625" customWidth="1"/>
    <col min="13" max="13" width="9.85546875" customWidth="1"/>
  </cols>
  <sheetData>
    <row r="2" spans="2:25" x14ac:dyDescent="0.25"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</row>
    <row r="3" spans="2:25" ht="15.75" thickBot="1" x14ac:dyDescent="0.3"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</row>
    <row r="4" spans="2:25" ht="16.5" thickBot="1" x14ac:dyDescent="0.3">
      <c r="B4" s="251" t="s">
        <v>87</v>
      </c>
      <c r="C4" s="252" t="s">
        <v>88</v>
      </c>
      <c r="D4" s="252"/>
      <c r="E4" s="252"/>
      <c r="F4" s="252"/>
      <c r="G4" s="252"/>
      <c r="H4" s="252"/>
      <c r="I4" s="252"/>
      <c r="J4" s="252"/>
      <c r="K4" s="252"/>
      <c r="L4" s="253" t="s">
        <v>89</v>
      </c>
      <c r="M4" s="253" t="s">
        <v>90</v>
      </c>
      <c r="N4" s="251" t="s">
        <v>91</v>
      </c>
      <c r="O4" s="106"/>
      <c r="P4" s="250" t="s">
        <v>92</v>
      </c>
      <c r="Q4" s="250"/>
      <c r="R4" s="248"/>
      <c r="S4" s="40"/>
      <c r="T4" s="250" t="s">
        <v>93</v>
      </c>
      <c r="U4" s="250"/>
      <c r="V4" s="244"/>
      <c r="W4" s="106"/>
      <c r="X4" s="106"/>
    </row>
    <row r="5" spans="2:25" ht="15.75" x14ac:dyDescent="0.25">
      <c r="B5" s="251"/>
      <c r="C5" s="149" t="s">
        <v>9</v>
      </c>
      <c r="D5" s="149" t="s">
        <v>14</v>
      </c>
      <c r="E5" s="149" t="s">
        <v>17</v>
      </c>
      <c r="F5" s="149" t="s">
        <v>19</v>
      </c>
      <c r="G5" s="149" t="s">
        <v>22</v>
      </c>
      <c r="H5" s="149" t="s">
        <v>23</v>
      </c>
      <c r="I5" s="149" t="s">
        <v>24</v>
      </c>
      <c r="J5" s="149" t="s">
        <v>25</v>
      </c>
      <c r="K5" s="149" t="s">
        <v>26</v>
      </c>
      <c r="L5" s="253"/>
      <c r="M5" s="253"/>
      <c r="N5" s="251"/>
      <c r="O5" s="106"/>
      <c r="P5" s="242" t="s">
        <v>110</v>
      </c>
      <c r="Q5" s="243"/>
      <c r="R5" s="248"/>
      <c r="S5" s="40"/>
      <c r="T5" s="242" t="s">
        <v>94</v>
      </c>
      <c r="U5" s="243"/>
      <c r="V5" s="244"/>
      <c r="W5" s="106"/>
      <c r="X5" s="106"/>
    </row>
    <row r="6" spans="2:25" ht="15.75" x14ac:dyDescent="0.25">
      <c r="B6" s="150" t="s">
        <v>95</v>
      </c>
      <c r="C6" s="176">
        <v>29.98</v>
      </c>
      <c r="D6" s="107">
        <v>27.68</v>
      </c>
      <c r="E6" s="107">
        <v>19.57</v>
      </c>
      <c r="F6" s="107">
        <v>25.75</v>
      </c>
      <c r="G6" s="107">
        <v>18.22</v>
      </c>
      <c r="H6" s="107">
        <v>17.96</v>
      </c>
      <c r="I6" s="107">
        <v>24.13</v>
      </c>
      <c r="J6" s="107">
        <v>15.87</v>
      </c>
      <c r="K6" s="107">
        <v>17.18</v>
      </c>
      <c r="L6" s="162">
        <f>J6</f>
        <v>15.87</v>
      </c>
      <c r="M6" s="162">
        <f>C6</f>
        <v>29.98</v>
      </c>
      <c r="N6" s="162">
        <f>(L6-M6)</f>
        <v>-14.110000000000001</v>
      </c>
      <c r="O6" s="106"/>
      <c r="P6" s="244" t="s">
        <v>96</v>
      </c>
      <c r="Q6" s="245"/>
      <c r="R6" s="248"/>
      <c r="S6" s="40"/>
      <c r="T6" s="244" t="s">
        <v>97</v>
      </c>
      <c r="U6" s="245"/>
      <c r="V6" s="244"/>
      <c r="W6" s="106"/>
      <c r="X6" s="106"/>
    </row>
    <row r="7" spans="2:25" ht="15.75" x14ac:dyDescent="0.25">
      <c r="B7" s="150" t="s">
        <v>99</v>
      </c>
      <c r="C7" s="91">
        <v>5.09</v>
      </c>
      <c r="D7" s="91">
        <v>4.8899999999999997</v>
      </c>
      <c r="E7" s="91">
        <v>5.08</v>
      </c>
      <c r="F7" s="91">
        <v>4.9800000000000004</v>
      </c>
      <c r="G7" s="91">
        <v>7.16</v>
      </c>
      <c r="H7" s="91">
        <v>8.01</v>
      </c>
      <c r="I7" s="91">
        <v>8.08</v>
      </c>
      <c r="J7" s="91">
        <v>8.94</v>
      </c>
      <c r="K7" s="91">
        <v>9.9</v>
      </c>
      <c r="L7" s="162">
        <v>9.9</v>
      </c>
      <c r="M7" s="162">
        <v>4.8899999999999997</v>
      </c>
      <c r="N7" s="162">
        <f>(L7-M7)</f>
        <v>5.0100000000000007</v>
      </c>
      <c r="O7" s="106"/>
      <c r="P7" s="244" t="s">
        <v>124</v>
      </c>
      <c r="Q7" s="245"/>
      <c r="R7" s="248"/>
      <c r="S7" s="40"/>
      <c r="T7" s="244" t="s">
        <v>103</v>
      </c>
      <c r="U7" s="245"/>
      <c r="V7" s="244"/>
      <c r="W7" s="106"/>
      <c r="X7" s="106"/>
    </row>
    <row r="8" spans="2:25" ht="16.5" thickBot="1" x14ac:dyDescent="0.3">
      <c r="B8" s="150" t="s">
        <v>97</v>
      </c>
      <c r="C8" s="91">
        <v>328.51</v>
      </c>
      <c r="D8" s="91">
        <v>171.97</v>
      </c>
      <c r="E8" s="91">
        <v>164.78</v>
      </c>
      <c r="F8" s="91">
        <v>185.81</v>
      </c>
      <c r="G8" s="91">
        <v>188.67</v>
      </c>
      <c r="H8" s="91">
        <v>150.91</v>
      </c>
      <c r="I8" s="91">
        <v>108.09</v>
      </c>
      <c r="J8" s="91">
        <v>98.25</v>
      </c>
      <c r="K8" s="91">
        <v>75.599999999999994</v>
      </c>
      <c r="L8" s="162">
        <f>K8</f>
        <v>75.599999999999994</v>
      </c>
      <c r="M8" s="162">
        <f>C8</f>
        <v>328.51</v>
      </c>
      <c r="N8" s="162">
        <f>(L8-M8)</f>
        <v>-252.91</v>
      </c>
      <c r="O8" s="106"/>
      <c r="P8" s="246" t="s">
        <v>101</v>
      </c>
      <c r="Q8" s="247"/>
      <c r="R8" s="248"/>
      <c r="S8" s="40"/>
      <c r="T8" s="246" t="s">
        <v>100</v>
      </c>
      <c r="U8" s="247"/>
      <c r="V8" s="244"/>
      <c r="W8" s="106"/>
      <c r="X8" s="106"/>
    </row>
    <row r="9" spans="2:25" ht="15.75" x14ac:dyDescent="0.25">
      <c r="B9" s="150" t="s">
        <v>110</v>
      </c>
      <c r="C9" s="91">
        <v>32.85</v>
      </c>
      <c r="D9" s="91">
        <v>33.71</v>
      </c>
      <c r="E9" s="91">
        <v>41.74</v>
      </c>
      <c r="F9" s="91">
        <v>42.51</v>
      </c>
      <c r="G9" s="91">
        <v>35.51</v>
      </c>
      <c r="H9" s="91">
        <v>41.08</v>
      </c>
      <c r="I9" s="91">
        <v>39.299999999999997</v>
      </c>
      <c r="J9" s="91">
        <v>42.83</v>
      </c>
      <c r="K9" s="91">
        <v>44.13</v>
      </c>
      <c r="L9" s="162">
        <f>K9</f>
        <v>44.13</v>
      </c>
      <c r="M9" s="162">
        <f>C9</f>
        <v>32.85</v>
      </c>
      <c r="N9" s="162">
        <f t="shared" ref="N9:N16" si="0">(L9-M9)</f>
        <v>11.280000000000001</v>
      </c>
      <c r="O9" s="106"/>
      <c r="P9" s="157"/>
      <c r="Q9" s="156"/>
      <c r="R9" s="105"/>
      <c r="S9" s="40"/>
      <c r="T9" s="40"/>
      <c r="U9" s="40"/>
      <c r="V9" s="40"/>
      <c r="W9" s="106"/>
      <c r="X9" s="106"/>
    </row>
    <row r="10" spans="2:25" ht="15.75" x14ac:dyDescent="0.25">
      <c r="B10" s="150" t="s">
        <v>102</v>
      </c>
      <c r="C10" s="91">
        <v>64.959999999999994</v>
      </c>
      <c r="D10" s="91">
        <v>54.65</v>
      </c>
      <c r="E10" s="91">
        <v>62.63</v>
      </c>
      <c r="F10" s="91">
        <v>61.9</v>
      </c>
      <c r="G10" s="91">
        <v>60.04</v>
      </c>
      <c r="H10" s="91">
        <v>58.66</v>
      </c>
      <c r="I10" s="91">
        <v>52.14</v>
      </c>
      <c r="J10" s="91">
        <v>53.91</v>
      </c>
      <c r="K10" s="91">
        <v>56.76</v>
      </c>
      <c r="L10" s="162">
        <v>64.959999999999994</v>
      </c>
      <c r="M10" s="162">
        <v>52.14</v>
      </c>
      <c r="N10" s="162">
        <f t="shared" si="0"/>
        <v>12.819999999999993</v>
      </c>
      <c r="O10" s="106"/>
      <c r="P10" s="40" t="s">
        <v>121</v>
      </c>
      <c r="Q10" s="40" t="s">
        <v>122</v>
      </c>
      <c r="R10" s="40"/>
      <c r="S10" s="40"/>
      <c r="T10" s="40"/>
      <c r="U10" s="40"/>
      <c r="V10" s="40"/>
      <c r="W10" s="40"/>
      <c r="X10" s="40"/>
      <c r="Y10" s="40"/>
    </row>
    <row r="11" spans="2:25" ht="15.75" x14ac:dyDescent="0.25">
      <c r="B11" s="150" t="s">
        <v>103</v>
      </c>
      <c r="C11" s="91">
        <v>3.48</v>
      </c>
      <c r="D11" s="91">
        <v>5.04</v>
      </c>
      <c r="E11" s="91">
        <v>3.26</v>
      </c>
      <c r="F11" s="91">
        <v>3.27</v>
      </c>
      <c r="G11" s="91">
        <v>4.78</v>
      </c>
      <c r="H11" s="91">
        <v>3.86</v>
      </c>
      <c r="I11" s="91">
        <v>3.25</v>
      </c>
      <c r="J11" s="91">
        <v>3.09</v>
      </c>
      <c r="K11" s="91">
        <v>3.19</v>
      </c>
      <c r="L11" s="162">
        <v>5.04</v>
      </c>
      <c r="M11" s="162">
        <v>3.09</v>
      </c>
      <c r="N11" s="162">
        <f t="shared" si="0"/>
        <v>1.9500000000000002</v>
      </c>
      <c r="O11" s="106"/>
      <c r="P11" s="40"/>
      <c r="Q11" s="40" t="s">
        <v>123</v>
      </c>
      <c r="R11" s="40"/>
      <c r="S11" s="40"/>
      <c r="T11" s="40"/>
      <c r="U11" s="40"/>
      <c r="V11" s="40"/>
      <c r="W11" s="40"/>
      <c r="X11" s="40"/>
      <c r="Y11" s="40"/>
    </row>
    <row r="12" spans="2:25" ht="15.75" x14ac:dyDescent="0.25">
      <c r="B12" s="150" t="s">
        <v>98</v>
      </c>
      <c r="C12" s="91">
        <v>13.87</v>
      </c>
      <c r="D12" s="91">
        <v>16.28</v>
      </c>
      <c r="E12" s="91">
        <v>16.149999999999999</v>
      </c>
      <c r="F12" s="91">
        <v>20.149999999999999</v>
      </c>
      <c r="G12" s="91">
        <v>17.760000000000002</v>
      </c>
      <c r="H12" s="91">
        <v>20.260000000000002</v>
      </c>
      <c r="I12" s="91">
        <v>18.41</v>
      </c>
      <c r="J12" s="91">
        <v>17.850000000000001</v>
      </c>
      <c r="K12" s="91">
        <v>17.309999999999999</v>
      </c>
      <c r="L12" s="162">
        <v>20.260000000000002</v>
      </c>
      <c r="M12" s="162">
        <v>13.87</v>
      </c>
      <c r="N12" s="162">
        <f t="shared" si="0"/>
        <v>6.3900000000000023</v>
      </c>
      <c r="O12" s="106"/>
      <c r="P12" s="106"/>
      <c r="Q12" s="106"/>
      <c r="R12" s="106"/>
      <c r="S12" s="106"/>
      <c r="T12" s="106"/>
      <c r="U12" s="106"/>
      <c r="V12" s="106"/>
      <c r="W12" s="106"/>
      <c r="X12" s="106"/>
    </row>
    <row r="13" spans="2:25" ht="15.75" x14ac:dyDescent="0.25">
      <c r="B13" s="150" t="s">
        <v>85</v>
      </c>
      <c r="C13" s="91">
        <v>3.53</v>
      </c>
      <c r="D13" s="91">
        <v>3</v>
      </c>
      <c r="E13" s="91">
        <v>3.93</v>
      </c>
      <c r="F13" s="91">
        <v>3.2</v>
      </c>
      <c r="G13" s="91">
        <v>3.6</v>
      </c>
      <c r="H13" s="91">
        <v>3.4</v>
      </c>
      <c r="I13" s="91">
        <v>3.13</v>
      </c>
      <c r="J13" s="91">
        <v>3.27</v>
      </c>
      <c r="K13" s="91">
        <v>3.13</v>
      </c>
      <c r="L13" s="162">
        <v>3.93</v>
      </c>
      <c r="M13" s="162">
        <v>3</v>
      </c>
      <c r="N13" s="162">
        <f t="shared" si="0"/>
        <v>0.93000000000000016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</row>
    <row r="14" spans="2:25" ht="15.75" x14ac:dyDescent="0.25">
      <c r="B14" s="150" t="s">
        <v>77</v>
      </c>
      <c r="C14" s="91">
        <v>3.47</v>
      </c>
      <c r="D14" s="91">
        <v>3.13</v>
      </c>
      <c r="E14" s="91">
        <v>3.53</v>
      </c>
      <c r="F14" s="91">
        <v>3.6</v>
      </c>
      <c r="G14" s="91">
        <v>3.13</v>
      </c>
      <c r="H14" s="91">
        <v>3.2</v>
      </c>
      <c r="I14" s="91">
        <v>3.33</v>
      </c>
      <c r="J14" s="91">
        <v>3.27</v>
      </c>
      <c r="K14" s="91">
        <v>3.53</v>
      </c>
      <c r="L14" s="162">
        <v>3.6</v>
      </c>
      <c r="M14" s="162">
        <v>3.13</v>
      </c>
      <c r="N14" s="162">
        <f t="shared" si="0"/>
        <v>0.4700000000000002</v>
      </c>
      <c r="O14" s="106"/>
      <c r="P14" s="106"/>
      <c r="Q14" s="106"/>
      <c r="R14" s="106"/>
      <c r="S14" s="106"/>
      <c r="T14" s="106"/>
      <c r="U14" s="106"/>
      <c r="V14" s="106"/>
      <c r="W14" s="106"/>
      <c r="X14" s="106"/>
    </row>
    <row r="15" spans="2:25" ht="15.75" x14ac:dyDescent="0.25">
      <c r="B15" s="150" t="s">
        <v>86</v>
      </c>
      <c r="C15" s="91">
        <v>3.27</v>
      </c>
      <c r="D15" s="91">
        <v>2.73</v>
      </c>
      <c r="E15" s="91">
        <v>2.73</v>
      </c>
      <c r="F15" s="91">
        <v>3.2</v>
      </c>
      <c r="G15" s="91">
        <v>2.8</v>
      </c>
      <c r="H15" s="91">
        <v>2.73</v>
      </c>
      <c r="I15" s="91">
        <v>3.13</v>
      </c>
      <c r="J15" s="91">
        <v>3.47</v>
      </c>
      <c r="K15" s="91">
        <v>3.27</v>
      </c>
      <c r="L15" s="162">
        <v>3.47</v>
      </c>
      <c r="M15" s="162">
        <v>2.73</v>
      </c>
      <c r="N15" s="162">
        <f t="shared" si="0"/>
        <v>0.74000000000000021</v>
      </c>
      <c r="O15" s="106"/>
      <c r="P15" s="106"/>
      <c r="Q15" s="106"/>
      <c r="R15" s="106"/>
      <c r="S15" s="106"/>
      <c r="T15" s="106"/>
      <c r="U15" s="106"/>
      <c r="V15" s="106"/>
      <c r="W15" s="106"/>
      <c r="X15" s="106"/>
    </row>
    <row r="16" spans="2:25" ht="15.75" x14ac:dyDescent="0.25">
      <c r="B16" s="150" t="s">
        <v>84</v>
      </c>
      <c r="C16" s="91">
        <v>3.87</v>
      </c>
      <c r="D16" s="91">
        <v>3.67</v>
      </c>
      <c r="E16" s="91">
        <v>3.93</v>
      </c>
      <c r="F16" s="91">
        <v>3.47</v>
      </c>
      <c r="G16" s="91">
        <v>3.53</v>
      </c>
      <c r="H16" s="91">
        <v>3.47</v>
      </c>
      <c r="I16" s="91">
        <v>3.2</v>
      </c>
      <c r="J16" s="91">
        <v>3.53</v>
      </c>
      <c r="K16" s="91">
        <v>3.33</v>
      </c>
      <c r="L16" s="162">
        <v>3.93</v>
      </c>
      <c r="M16" s="162">
        <v>3.2</v>
      </c>
      <c r="N16" s="162">
        <f t="shared" si="0"/>
        <v>0.73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</row>
    <row r="17" spans="2:24" ht="15.75" x14ac:dyDescent="0.25">
      <c r="B17" s="158" t="s">
        <v>41</v>
      </c>
      <c r="C17" s="159">
        <f>AVERAGE(C6:C16)</f>
        <v>44.807272727272725</v>
      </c>
      <c r="D17" s="159">
        <f t="shared" ref="D17:K17" si="1">AVERAGE(D6:D16)</f>
        <v>29.70454545454546</v>
      </c>
      <c r="E17" s="159">
        <f t="shared" si="1"/>
        <v>29.757272727272724</v>
      </c>
      <c r="F17" s="159">
        <f t="shared" si="1"/>
        <v>32.530909090909091</v>
      </c>
      <c r="G17" s="159">
        <f t="shared" si="1"/>
        <v>31.381818181818176</v>
      </c>
      <c r="H17" s="159">
        <f t="shared" si="1"/>
        <v>28.503636363636364</v>
      </c>
      <c r="I17" s="159">
        <f t="shared" si="1"/>
        <v>24.199090909090909</v>
      </c>
      <c r="J17" s="159">
        <f t="shared" si="1"/>
        <v>23.116363636363637</v>
      </c>
      <c r="K17" s="159">
        <f t="shared" si="1"/>
        <v>21.575454545454548</v>
      </c>
      <c r="L17" s="155"/>
      <c r="M17" s="155"/>
      <c r="N17" s="155"/>
      <c r="O17" s="106"/>
      <c r="P17" s="106"/>
      <c r="Q17" s="106"/>
      <c r="R17" s="106"/>
      <c r="S17" s="106"/>
      <c r="T17" s="106"/>
      <c r="U17" s="106"/>
      <c r="V17" s="106"/>
      <c r="W17" s="106"/>
      <c r="X17" s="106"/>
    </row>
    <row r="18" spans="2:24" x14ac:dyDescent="0.25"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</row>
    <row r="19" spans="2:24" ht="15.75" x14ac:dyDescent="0.25">
      <c r="B19" s="254" t="s">
        <v>87</v>
      </c>
      <c r="C19" s="255" t="s">
        <v>104</v>
      </c>
      <c r="D19" s="255" t="s">
        <v>105</v>
      </c>
      <c r="E19" s="241" t="s">
        <v>9</v>
      </c>
      <c r="F19" s="241"/>
      <c r="G19" s="241" t="s">
        <v>14</v>
      </c>
      <c r="H19" s="241"/>
      <c r="I19" s="241" t="s">
        <v>17</v>
      </c>
      <c r="J19" s="241"/>
      <c r="K19" s="241" t="s">
        <v>19</v>
      </c>
      <c r="L19" s="241"/>
      <c r="M19" s="241" t="s">
        <v>22</v>
      </c>
      <c r="N19" s="241"/>
      <c r="O19" s="241" t="s">
        <v>23</v>
      </c>
      <c r="P19" s="241"/>
      <c r="Q19" s="241" t="s">
        <v>24</v>
      </c>
      <c r="R19" s="241"/>
      <c r="S19" s="241" t="s">
        <v>25</v>
      </c>
      <c r="T19" s="241"/>
      <c r="U19" s="241" t="s">
        <v>26</v>
      </c>
      <c r="V19" s="241"/>
      <c r="W19" s="106"/>
      <c r="X19" s="106"/>
    </row>
    <row r="20" spans="2:24" x14ac:dyDescent="0.25">
      <c r="B20" s="254"/>
      <c r="C20" s="255"/>
      <c r="D20" s="255"/>
      <c r="E20" s="249" t="s">
        <v>106</v>
      </c>
      <c r="F20" s="249" t="s">
        <v>107</v>
      </c>
      <c r="G20" s="249" t="s">
        <v>106</v>
      </c>
      <c r="H20" s="249" t="s">
        <v>107</v>
      </c>
      <c r="I20" s="249" t="s">
        <v>106</v>
      </c>
      <c r="J20" s="249" t="s">
        <v>107</v>
      </c>
      <c r="K20" s="249" t="s">
        <v>106</v>
      </c>
      <c r="L20" s="249" t="s">
        <v>107</v>
      </c>
      <c r="M20" s="249" t="s">
        <v>106</v>
      </c>
      <c r="N20" s="249" t="s">
        <v>107</v>
      </c>
      <c r="O20" s="249" t="s">
        <v>106</v>
      </c>
      <c r="P20" s="249" t="s">
        <v>107</v>
      </c>
      <c r="Q20" s="249" t="s">
        <v>106</v>
      </c>
      <c r="R20" s="249" t="s">
        <v>107</v>
      </c>
      <c r="S20" s="249" t="s">
        <v>106</v>
      </c>
      <c r="T20" s="249" t="s">
        <v>107</v>
      </c>
      <c r="U20" s="249" t="s">
        <v>106</v>
      </c>
      <c r="V20" s="249" t="s">
        <v>107</v>
      </c>
      <c r="W20" s="106"/>
      <c r="X20" s="106"/>
    </row>
    <row r="21" spans="2:24" x14ac:dyDescent="0.25">
      <c r="B21" s="254"/>
      <c r="C21" s="255"/>
      <c r="D21" s="255"/>
      <c r="E21" s="249"/>
      <c r="F21" s="249"/>
      <c r="G21" s="249"/>
      <c r="H21" s="249"/>
      <c r="I21" s="249"/>
      <c r="J21" s="249"/>
      <c r="K21" s="249"/>
      <c r="L21" s="249"/>
      <c r="M21" s="249"/>
      <c r="N21" s="249"/>
      <c r="O21" s="249"/>
      <c r="P21" s="249"/>
      <c r="Q21" s="249"/>
      <c r="R21" s="249"/>
      <c r="S21" s="249"/>
      <c r="T21" s="249"/>
      <c r="U21" s="249"/>
      <c r="V21" s="249"/>
      <c r="W21" s="106"/>
      <c r="X21" s="106"/>
    </row>
    <row r="22" spans="2:24" ht="15.75" x14ac:dyDescent="0.25">
      <c r="B22" s="150" t="s">
        <v>95</v>
      </c>
      <c r="C22" s="104">
        <v>0.9</v>
      </c>
      <c r="D22" s="91">
        <f>(C22/C$33)</f>
        <v>8.9999999999999983E-2</v>
      </c>
      <c r="E22" s="91">
        <f>(C6-M6)/N6</f>
        <v>0</v>
      </c>
      <c r="F22" s="91">
        <f>(E22*D22)</f>
        <v>0</v>
      </c>
      <c r="G22" s="91">
        <f>(D6-M6)/N6</f>
        <v>0.16300496102055284</v>
      </c>
      <c r="H22" s="91">
        <f>(G22*D22)</f>
        <v>1.4670446491849752E-2</v>
      </c>
      <c r="I22" s="91">
        <f>(E6-M6)/N6</f>
        <v>0.73777462792345849</v>
      </c>
      <c r="J22" s="91">
        <f>(I22*D22)</f>
        <v>6.6399716513111245E-2</v>
      </c>
      <c r="K22" s="91">
        <f>(F6-M6)/N6</f>
        <v>0.29978738483345146</v>
      </c>
      <c r="L22" s="91">
        <f>(K22*D22)</f>
        <v>2.6980864635010628E-2</v>
      </c>
      <c r="M22" s="91">
        <f>(G6-M6)/N6</f>
        <v>0.83345145287030475</v>
      </c>
      <c r="N22" s="91">
        <f>(M22*D22)</f>
        <v>7.501063075832741E-2</v>
      </c>
      <c r="O22" s="91">
        <f>(H6-M6)/N6</f>
        <v>0.85187810063784541</v>
      </c>
      <c r="P22" s="91">
        <f>(O22*D22)</f>
        <v>7.666902905740608E-2</v>
      </c>
      <c r="Q22" s="91">
        <f>(I6-M6)/N6</f>
        <v>0.41459957476966697</v>
      </c>
      <c r="R22" s="91">
        <f>(Q22*D22)</f>
        <v>3.7313961729270019E-2</v>
      </c>
      <c r="S22" s="91">
        <f>(J6-M6)/N6</f>
        <v>1</v>
      </c>
      <c r="T22" s="91">
        <f>(S22*D22)</f>
        <v>8.9999999999999983E-2</v>
      </c>
      <c r="U22" s="91">
        <f>(K6-M6)/N6</f>
        <v>0.90715804394046773</v>
      </c>
      <c r="V22" s="91">
        <f>(U22*D22)</f>
        <v>8.1644223954642076E-2</v>
      </c>
      <c r="W22" s="106"/>
      <c r="X22" s="106"/>
    </row>
    <row r="23" spans="2:24" ht="15.75" x14ac:dyDescent="0.25">
      <c r="B23" s="150" t="s">
        <v>99</v>
      </c>
      <c r="C23" s="104">
        <v>1</v>
      </c>
      <c r="D23" s="91">
        <f>(C23/C$33)</f>
        <v>9.9999999999999978E-2</v>
      </c>
      <c r="E23" s="91">
        <f>(C7-M7)/N7</f>
        <v>3.992015968063875E-2</v>
      </c>
      <c r="F23" s="91">
        <f>(E23*D23)</f>
        <v>3.9920159680638745E-3</v>
      </c>
      <c r="G23" s="91">
        <f>(D7-M7)/N7</f>
        <v>0</v>
      </c>
      <c r="H23" s="91">
        <f t="shared" ref="H23:H32" si="2">(G23*D23)</f>
        <v>0</v>
      </c>
      <c r="I23" s="91">
        <f t="shared" ref="I23:I32" si="3">(E7-M7)/N7</f>
        <v>3.7924151696606859E-2</v>
      </c>
      <c r="J23" s="91">
        <f t="shared" ref="J23:J32" si="4">(I23*D23)</f>
        <v>3.7924151696606852E-3</v>
      </c>
      <c r="K23" s="91">
        <f>(F7-M7)/N7</f>
        <v>1.796407185628757E-2</v>
      </c>
      <c r="L23" s="91">
        <f t="shared" ref="L23:L32" si="5">(K23*D23)</f>
        <v>1.7964071856287566E-3</v>
      </c>
      <c r="M23" s="91">
        <f t="shared" ref="M23:M32" si="6">(G7-M7)/N7</f>
        <v>0.45309381237524954</v>
      </c>
      <c r="N23" s="91">
        <f t="shared" ref="N23:N32" si="7">(M23*D23)</f>
        <v>4.5309381237524947E-2</v>
      </c>
      <c r="O23" s="91">
        <f t="shared" ref="O23:O32" si="8">(H7-M7)/N7</f>
        <v>0.62275449101796398</v>
      </c>
      <c r="P23" s="91">
        <f t="shared" ref="P23:P32" si="9">(O23*D23)</f>
        <v>6.2275449101796387E-2</v>
      </c>
      <c r="Q23" s="91">
        <f t="shared" ref="Q23:Q32" si="10">(I7-M7)/N7</f>
        <v>0.63672654690618757</v>
      </c>
      <c r="R23" s="91">
        <f t="shared" ref="R23:R32" si="11">(Q23*D23)</f>
        <v>6.3672654690618738E-2</v>
      </c>
      <c r="S23" s="91">
        <f t="shared" ref="S23:S32" si="12">(J7-M7)/N7</f>
        <v>0.80838323353293395</v>
      </c>
      <c r="T23" s="91">
        <f t="shared" ref="T23:T32" si="13">(S23*D23)</f>
        <v>8.0838323353293384E-2</v>
      </c>
      <c r="U23" s="91">
        <f t="shared" ref="U23:U32" si="14">(K7-M7)/N7</f>
        <v>1</v>
      </c>
      <c r="V23" s="91">
        <f t="shared" ref="V23:V32" si="15">(U23*D23)</f>
        <v>9.9999999999999978E-2</v>
      </c>
      <c r="W23" s="106"/>
      <c r="X23" s="106"/>
    </row>
    <row r="24" spans="2:24" ht="15.75" x14ac:dyDescent="0.25">
      <c r="B24" s="150" t="s">
        <v>97</v>
      </c>
      <c r="C24" s="104">
        <v>0.9</v>
      </c>
      <c r="D24" s="91">
        <f t="shared" ref="D24:D32" si="16">(C24/C$33)</f>
        <v>8.9999999999999983E-2</v>
      </c>
      <c r="E24" s="91">
        <f t="shared" ref="E24:E32" si="17">(C8-M8)/N8</f>
        <v>0</v>
      </c>
      <c r="F24" s="91">
        <f t="shared" ref="F24:F31" si="18">(E24*D24)</f>
        <v>0</v>
      </c>
      <c r="G24" s="91">
        <f t="shared" ref="G24:G32" si="19">(D8-M8)/N8</f>
        <v>0.61895535961409198</v>
      </c>
      <c r="H24" s="91">
        <f t="shared" si="2"/>
        <v>5.5705982365268268E-2</v>
      </c>
      <c r="I24" s="91">
        <f t="shared" si="3"/>
        <v>0.64738444505950732</v>
      </c>
      <c r="J24" s="91">
        <f t="shared" si="4"/>
        <v>5.826460005535565E-2</v>
      </c>
      <c r="K24" s="91">
        <f t="shared" ref="K24:K32" si="20">(F8-M8)/N8</f>
        <v>0.56423233561345931</v>
      </c>
      <c r="L24" s="91">
        <f t="shared" si="5"/>
        <v>5.0780910205211326E-2</v>
      </c>
      <c r="M24" s="91">
        <f t="shared" si="6"/>
        <v>0.55292396504685459</v>
      </c>
      <c r="N24" s="91">
        <f t="shared" si="7"/>
        <v>4.9763156854216901E-2</v>
      </c>
      <c r="O24" s="91">
        <f t="shared" si="8"/>
        <v>0.70222608833181765</v>
      </c>
      <c r="P24" s="91">
        <f t="shared" si="9"/>
        <v>6.3200347949863581E-2</v>
      </c>
      <c r="Q24" s="91">
        <f t="shared" si="10"/>
        <v>0.87153532877308126</v>
      </c>
      <c r="R24" s="91">
        <f t="shared" si="11"/>
        <v>7.84381795895773E-2</v>
      </c>
      <c r="S24" s="91">
        <f t="shared" si="12"/>
        <v>0.91044244988335765</v>
      </c>
      <c r="T24" s="91">
        <f t="shared" si="13"/>
        <v>8.1939820489502171E-2</v>
      </c>
      <c r="U24" s="91">
        <f t="shared" si="14"/>
        <v>1</v>
      </c>
      <c r="V24" s="91">
        <f t="shared" si="15"/>
        <v>8.9999999999999983E-2</v>
      </c>
      <c r="W24" s="106"/>
      <c r="X24" s="106"/>
    </row>
    <row r="25" spans="2:24" ht="15.75" x14ac:dyDescent="0.25">
      <c r="B25" s="150" t="s">
        <v>110</v>
      </c>
      <c r="C25" s="104">
        <v>0.9</v>
      </c>
      <c r="D25" s="91">
        <f t="shared" si="16"/>
        <v>8.9999999999999983E-2</v>
      </c>
      <c r="E25" s="91">
        <f>(C9-M9)/N9</f>
        <v>0</v>
      </c>
      <c r="F25" s="91">
        <f>(E25*D25)</f>
        <v>0</v>
      </c>
      <c r="G25" s="91">
        <f t="shared" si="19"/>
        <v>7.6241134751772993E-2</v>
      </c>
      <c r="H25" s="91">
        <f t="shared" si="2"/>
        <v>6.8617021276595677E-3</v>
      </c>
      <c r="I25" s="91">
        <f t="shared" si="3"/>
        <v>0.78812056737588654</v>
      </c>
      <c r="J25" s="91">
        <f t="shared" si="4"/>
        <v>7.0930851063829778E-2</v>
      </c>
      <c r="K25" s="91">
        <f t="shared" si="20"/>
        <v>0.85638297872340385</v>
      </c>
      <c r="L25" s="91">
        <f t="shared" si="5"/>
        <v>7.7074468085106332E-2</v>
      </c>
      <c r="M25" s="91">
        <f t="shared" si="6"/>
        <v>0.23581560283687911</v>
      </c>
      <c r="N25" s="91">
        <f t="shared" si="7"/>
        <v>2.1223404255319114E-2</v>
      </c>
      <c r="O25" s="91">
        <f t="shared" si="8"/>
        <v>0.72960992907801381</v>
      </c>
      <c r="P25" s="91">
        <f t="shared" si="9"/>
        <v>6.5664893617021228E-2</v>
      </c>
      <c r="Q25" s="91">
        <f t="shared" si="10"/>
        <v>0.57180851063829741</v>
      </c>
      <c r="R25" s="91">
        <f t="shared" si="11"/>
        <v>5.1462765957446754E-2</v>
      </c>
      <c r="S25" s="91">
        <f t="shared" si="12"/>
        <v>0.88475177304964503</v>
      </c>
      <c r="T25" s="91">
        <f t="shared" si="13"/>
        <v>7.9627659574468032E-2</v>
      </c>
      <c r="U25" s="91">
        <f t="shared" si="14"/>
        <v>1</v>
      </c>
      <c r="V25" s="91">
        <f t="shared" si="15"/>
        <v>8.9999999999999983E-2</v>
      </c>
      <c r="W25" s="106"/>
      <c r="X25" s="106"/>
    </row>
    <row r="26" spans="2:24" ht="15.75" x14ac:dyDescent="0.25">
      <c r="B26" s="150" t="s">
        <v>102</v>
      </c>
      <c r="C26" s="104">
        <v>0.9</v>
      </c>
      <c r="D26" s="91">
        <f t="shared" si="16"/>
        <v>8.9999999999999983E-2</v>
      </c>
      <c r="E26" s="91">
        <f>(C10-M10)/N10</f>
        <v>1</v>
      </c>
      <c r="F26" s="91">
        <f t="shared" si="18"/>
        <v>8.9999999999999983E-2</v>
      </c>
      <c r="G26" s="91">
        <f t="shared" si="19"/>
        <v>0.19578783151326049</v>
      </c>
      <c r="H26" s="91">
        <f t="shared" si="2"/>
        <v>1.7620904836193441E-2</v>
      </c>
      <c r="I26" s="91">
        <f t="shared" si="3"/>
        <v>0.81825273010920496</v>
      </c>
      <c r="J26" s="91">
        <f t="shared" si="4"/>
        <v>7.3642745709828428E-2</v>
      </c>
      <c r="K26" s="91">
        <f t="shared" si="20"/>
        <v>0.76131045241809703</v>
      </c>
      <c r="L26" s="91">
        <f t="shared" si="5"/>
        <v>6.851794071762872E-2</v>
      </c>
      <c r="M26" s="91">
        <f>(G10-M10)/N10</f>
        <v>0.61622464898595963</v>
      </c>
      <c r="N26" s="91">
        <f>(M26*D26)</f>
        <v>5.5460218408736356E-2</v>
      </c>
      <c r="O26" s="91">
        <f t="shared" si="8"/>
        <v>0.50858034321372847</v>
      </c>
      <c r="P26" s="91">
        <f t="shared" si="9"/>
        <v>4.577223088923555E-2</v>
      </c>
      <c r="Q26" s="91">
        <f t="shared" si="10"/>
        <v>0</v>
      </c>
      <c r="R26" s="91">
        <f t="shared" si="11"/>
        <v>0</v>
      </c>
      <c r="S26" s="91">
        <f t="shared" si="12"/>
        <v>0.1380655226209046</v>
      </c>
      <c r="T26" s="91">
        <f t="shared" si="13"/>
        <v>1.2425897035881412E-2</v>
      </c>
      <c r="U26" s="91">
        <f t="shared" si="14"/>
        <v>0.36037441497659906</v>
      </c>
      <c r="V26" s="91">
        <f t="shared" si="15"/>
        <v>3.2433697347893906E-2</v>
      </c>
      <c r="W26" s="106"/>
      <c r="X26" s="106"/>
    </row>
    <row r="27" spans="2:24" ht="15.75" x14ac:dyDescent="0.25">
      <c r="B27" s="150" t="s">
        <v>103</v>
      </c>
      <c r="C27" s="104">
        <v>0.9</v>
      </c>
      <c r="D27" s="91">
        <f t="shared" si="16"/>
        <v>8.9999999999999983E-2</v>
      </c>
      <c r="E27" s="91">
        <f>(C11-M11)/N11</f>
        <v>0.20000000000000004</v>
      </c>
      <c r="F27" s="91">
        <f t="shared" si="18"/>
        <v>1.7999999999999999E-2</v>
      </c>
      <c r="G27" s="91">
        <f t="shared" si="19"/>
        <v>1</v>
      </c>
      <c r="H27" s="91">
        <f t="shared" si="2"/>
        <v>8.9999999999999983E-2</v>
      </c>
      <c r="I27" s="91">
        <f t="shared" si="3"/>
        <v>8.7179487179487133E-2</v>
      </c>
      <c r="J27" s="91">
        <f t="shared" si="4"/>
        <v>7.8461538461538412E-3</v>
      </c>
      <c r="K27" s="91">
        <f t="shared" si="20"/>
        <v>9.2307692307692382E-2</v>
      </c>
      <c r="L27" s="91">
        <f t="shared" si="5"/>
        <v>8.3076923076923128E-3</v>
      </c>
      <c r="M27" s="91">
        <f t="shared" si="6"/>
        <v>0.86666666666666681</v>
      </c>
      <c r="N27" s="91">
        <f t="shared" si="7"/>
        <v>7.8E-2</v>
      </c>
      <c r="O27" s="91">
        <f t="shared" si="8"/>
        <v>0.39487179487179486</v>
      </c>
      <c r="P27" s="91">
        <f t="shared" si="9"/>
        <v>3.5538461538461533E-2</v>
      </c>
      <c r="Q27" s="91">
        <f t="shared" si="10"/>
        <v>8.2051282051282121E-2</v>
      </c>
      <c r="R27" s="91">
        <f t="shared" si="11"/>
        <v>7.3846153846153896E-3</v>
      </c>
      <c r="S27" s="91">
        <f t="shared" si="12"/>
        <v>0</v>
      </c>
      <c r="T27" s="91">
        <f t="shared" si="13"/>
        <v>0</v>
      </c>
      <c r="U27" s="91">
        <f t="shared" si="14"/>
        <v>5.1282051282051322E-2</v>
      </c>
      <c r="V27" s="91">
        <f t="shared" si="15"/>
        <v>4.6153846153846184E-3</v>
      </c>
      <c r="W27" s="106"/>
      <c r="X27" s="106"/>
    </row>
    <row r="28" spans="2:24" ht="15.75" x14ac:dyDescent="0.25">
      <c r="B28" s="150" t="s">
        <v>98</v>
      </c>
      <c r="C28" s="104">
        <v>0.9</v>
      </c>
      <c r="D28" s="91">
        <f t="shared" si="16"/>
        <v>8.9999999999999983E-2</v>
      </c>
      <c r="E28" s="91">
        <f t="shared" si="17"/>
        <v>0</v>
      </c>
      <c r="F28" s="91">
        <f t="shared" si="18"/>
        <v>0</v>
      </c>
      <c r="G28" s="91">
        <f t="shared" si="19"/>
        <v>0.37715179968701112</v>
      </c>
      <c r="H28" s="91">
        <f t="shared" si="2"/>
        <v>3.3943661971830998E-2</v>
      </c>
      <c r="I28" s="91">
        <f t="shared" si="3"/>
        <v>0.35680751173708897</v>
      </c>
      <c r="J28" s="91">
        <f t="shared" si="4"/>
        <v>3.2112676056338003E-2</v>
      </c>
      <c r="K28" s="91">
        <f t="shared" si="20"/>
        <v>0.98278560250391189</v>
      </c>
      <c r="L28" s="91">
        <f t="shared" si="5"/>
        <v>8.8450704225352048E-2</v>
      </c>
      <c r="M28" s="91">
        <f t="shared" si="6"/>
        <v>0.60876369327073565</v>
      </c>
      <c r="N28" s="91">
        <f t="shared" si="7"/>
        <v>5.4788732394366199E-2</v>
      </c>
      <c r="O28" s="91">
        <f t="shared" si="8"/>
        <v>1</v>
      </c>
      <c r="P28" s="91">
        <f t="shared" si="9"/>
        <v>8.9999999999999983E-2</v>
      </c>
      <c r="Q28" s="91">
        <f t="shared" si="10"/>
        <v>0.71048513302034422</v>
      </c>
      <c r="R28" s="91">
        <f t="shared" si="11"/>
        <v>6.3943661971830962E-2</v>
      </c>
      <c r="S28" s="91">
        <f t="shared" si="12"/>
        <v>0.62284820031298915</v>
      </c>
      <c r="T28" s="91">
        <f t="shared" si="13"/>
        <v>5.6056338028169013E-2</v>
      </c>
      <c r="U28" s="91">
        <f t="shared" si="14"/>
        <v>0.53834115805946769</v>
      </c>
      <c r="V28" s="91">
        <f t="shared" si="15"/>
        <v>4.8450704225352081E-2</v>
      </c>
      <c r="W28" s="106"/>
      <c r="X28" s="106"/>
    </row>
    <row r="29" spans="2:24" ht="15.75" x14ac:dyDescent="0.25">
      <c r="B29" s="150" t="s">
        <v>85</v>
      </c>
      <c r="C29" s="104">
        <v>0.9</v>
      </c>
      <c r="D29" s="91">
        <f t="shared" si="16"/>
        <v>8.9999999999999983E-2</v>
      </c>
      <c r="E29" s="91">
        <f t="shared" si="17"/>
        <v>0.56989247311827929</v>
      </c>
      <c r="F29" s="91">
        <f t="shared" si="18"/>
        <v>5.1290322580645129E-2</v>
      </c>
      <c r="G29" s="91">
        <f t="shared" si="19"/>
        <v>0</v>
      </c>
      <c r="H29" s="91">
        <f t="shared" si="2"/>
        <v>0</v>
      </c>
      <c r="I29" s="91">
        <f t="shared" si="3"/>
        <v>1</v>
      </c>
      <c r="J29" s="91">
        <f t="shared" si="4"/>
        <v>8.9999999999999983E-2</v>
      </c>
      <c r="K29" s="91">
        <f t="shared" si="20"/>
        <v>0.21505376344086036</v>
      </c>
      <c r="L29" s="91">
        <f t="shared" si="5"/>
        <v>1.9354838709677427E-2</v>
      </c>
      <c r="M29" s="91">
        <f t="shared" si="6"/>
        <v>0.64516129032258063</v>
      </c>
      <c r="N29" s="91">
        <f t="shared" si="7"/>
        <v>5.8064516129032247E-2</v>
      </c>
      <c r="O29" s="91">
        <f t="shared" si="8"/>
        <v>0.43010752688172027</v>
      </c>
      <c r="P29" s="91">
        <f t="shared" si="9"/>
        <v>3.870967741935482E-2</v>
      </c>
      <c r="Q29" s="91">
        <f t="shared" si="10"/>
        <v>0.13978494623655899</v>
      </c>
      <c r="R29" s="91">
        <f t="shared" si="11"/>
        <v>1.2580645161290307E-2</v>
      </c>
      <c r="S29" s="91">
        <f t="shared" si="12"/>
        <v>0.29032258064516125</v>
      </c>
      <c r="T29" s="91">
        <f t="shared" si="13"/>
        <v>2.6129032258064507E-2</v>
      </c>
      <c r="U29" s="91">
        <f t="shared" si="14"/>
        <v>0.13978494623655899</v>
      </c>
      <c r="V29" s="91">
        <f t="shared" si="15"/>
        <v>1.2580645161290307E-2</v>
      </c>
      <c r="W29" s="106"/>
      <c r="X29" s="106"/>
    </row>
    <row r="30" spans="2:24" ht="15.75" x14ac:dyDescent="0.25">
      <c r="B30" s="150" t="s">
        <v>77</v>
      </c>
      <c r="C30" s="104">
        <v>0.9</v>
      </c>
      <c r="D30" s="91">
        <f t="shared" si="16"/>
        <v>8.9999999999999983E-2</v>
      </c>
      <c r="E30" s="91">
        <f t="shared" si="17"/>
        <v>0.72340425531914931</v>
      </c>
      <c r="F30" s="91">
        <f t="shared" si="18"/>
        <v>6.5106382978723426E-2</v>
      </c>
      <c r="G30" s="91">
        <f>(D14-M14)/N14</f>
        <v>0</v>
      </c>
      <c r="H30" s="91">
        <f t="shared" si="2"/>
        <v>0</v>
      </c>
      <c r="I30" s="91">
        <f t="shared" si="3"/>
        <v>0.85106382978723349</v>
      </c>
      <c r="J30" s="91">
        <f t="shared" si="4"/>
        <v>7.6595744680850994E-2</v>
      </c>
      <c r="K30" s="91">
        <f t="shared" si="20"/>
        <v>1</v>
      </c>
      <c r="L30" s="91">
        <f t="shared" si="5"/>
        <v>8.9999999999999983E-2</v>
      </c>
      <c r="M30" s="91">
        <f t="shared" si="6"/>
        <v>0</v>
      </c>
      <c r="N30" s="91">
        <f t="shared" si="7"/>
        <v>0</v>
      </c>
      <c r="O30" s="91">
        <f t="shared" si="8"/>
        <v>0.14893617021276651</v>
      </c>
      <c r="P30" s="91">
        <f t="shared" si="9"/>
        <v>1.3404255319148984E-2</v>
      </c>
      <c r="Q30" s="91">
        <f t="shared" si="10"/>
        <v>0.42553191489361725</v>
      </c>
      <c r="R30" s="91">
        <f t="shared" si="11"/>
        <v>3.8297872340425546E-2</v>
      </c>
      <c r="S30" s="91">
        <f t="shared" si="12"/>
        <v>0.29787234042553207</v>
      </c>
      <c r="T30" s="91">
        <f t="shared" si="13"/>
        <v>2.6808510638297881E-2</v>
      </c>
      <c r="U30" s="91">
        <f t="shared" si="14"/>
        <v>0.85106382978723349</v>
      </c>
      <c r="V30" s="91">
        <f t="shared" si="15"/>
        <v>7.6595744680850994E-2</v>
      </c>
      <c r="W30" s="106"/>
      <c r="X30" s="106"/>
    </row>
    <row r="31" spans="2:24" ht="15.75" x14ac:dyDescent="0.25">
      <c r="B31" s="150" t="s">
        <v>86</v>
      </c>
      <c r="C31" s="104">
        <v>0.9</v>
      </c>
      <c r="D31" s="91">
        <f t="shared" si="16"/>
        <v>8.9999999999999983E-2</v>
      </c>
      <c r="E31" s="91">
        <f t="shared" si="17"/>
        <v>0.7297297297297296</v>
      </c>
      <c r="F31" s="91">
        <f t="shared" si="18"/>
        <v>6.5675675675675657E-2</v>
      </c>
      <c r="G31" s="91">
        <f t="shared" si="19"/>
        <v>0</v>
      </c>
      <c r="H31" s="91">
        <f t="shared" si="2"/>
        <v>0</v>
      </c>
      <c r="I31" s="91">
        <f t="shared" si="3"/>
        <v>0</v>
      </c>
      <c r="J31" s="91">
        <f t="shared" si="4"/>
        <v>0</v>
      </c>
      <c r="K31" s="91">
        <f t="shared" si="20"/>
        <v>0.6351351351351352</v>
      </c>
      <c r="L31" s="91">
        <f t="shared" si="5"/>
        <v>5.7162162162162154E-2</v>
      </c>
      <c r="M31" s="91">
        <f t="shared" si="6"/>
        <v>9.459459459459435E-2</v>
      </c>
      <c r="N31" s="91">
        <f t="shared" si="7"/>
        <v>8.5135135135134907E-3</v>
      </c>
      <c r="O31" s="91">
        <f t="shared" si="8"/>
        <v>0</v>
      </c>
      <c r="P31" s="91">
        <f t="shared" si="9"/>
        <v>0</v>
      </c>
      <c r="Q31" s="91">
        <f t="shared" si="10"/>
        <v>0.54054054054054024</v>
      </c>
      <c r="R31" s="91">
        <f t="shared" si="11"/>
        <v>4.864864864864861E-2</v>
      </c>
      <c r="S31" s="91">
        <f t="shared" si="12"/>
        <v>1</v>
      </c>
      <c r="T31" s="91">
        <f t="shared" si="13"/>
        <v>8.9999999999999983E-2</v>
      </c>
      <c r="U31" s="91">
        <f t="shared" si="14"/>
        <v>0.7297297297297296</v>
      </c>
      <c r="V31" s="91">
        <f t="shared" si="15"/>
        <v>6.5675675675675657E-2</v>
      </c>
      <c r="W31" s="106"/>
      <c r="X31" s="106"/>
    </row>
    <row r="32" spans="2:24" ht="15.75" x14ac:dyDescent="0.25">
      <c r="B32" s="150" t="s">
        <v>84</v>
      </c>
      <c r="C32" s="104">
        <v>0.9</v>
      </c>
      <c r="D32" s="91">
        <f t="shared" si="16"/>
        <v>8.9999999999999983E-2</v>
      </c>
      <c r="E32" s="91">
        <f t="shared" si="17"/>
        <v>0.91780821917808209</v>
      </c>
      <c r="F32" s="91">
        <f>(E32*D32)</f>
        <v>8.2602739726027372E-2</v>
      </c>
      <c r="G32" s="91">
        <f t="shared" si="19"/>
        <v>0.64383561643835585</v>
      </c>
      <c r="H32" s="91">
        <f t="shared" si="2"/>
        <v>5.7945205479452012E-2</v>
      </c>
      <c r="I32" s="91">
        <f t="shared" si="3"/>
        <v>1</v>
      </c>
      <c r="J32" s="91">
        <f t="shared" si="4"/>
        <v>8.9999999999999983E-2</v>
      </c>
      <c r="K32" s="91">
        <f t="shared" si="20"/>
        <v>0.36986301369863017</v>
      </c>
      <c r="L32" s="91">
        <f t="shared" si="5"/>
        <v>3.3287671232876709E-2</v>
      </c>
      <c r="M32" s="91">
        <f t="shared" si="6"/>
        <v>0.45205479452054742</v>
      </c>
      <c r="N32" s="91">
        <f t="shared" si="7"/>
        <v>4.0684931506849258E-2</v>
      </c>
      <c r="O32" s="91">
        <f t="shared" si="8"/>
        <v>0.36986301369863017</v>
      </c>
      <c r="P32" s="91">
        <f t="shared" si="9"/>
        <v>3.3287671232876709E-2</v>
      </c>
      <c r="Q32" s="91">
        <f t="shared" si="10"/>
        <v>0</v>
      </c>
      <c r="R32" s="91">
        <f t="shared" si="11"/>
        <v>0</v>
      </c>
      <c r="S32" s="91">
        <f t="shared" si="12"/>
        <v>0.45205479452054742</v>
      </c>
      <c r="T32" s="91">
        <f t="shared" si="13"/>
        <v>4.0684931506849258E-2</v>
      </c>
      <c r="U32" s="91">
        <f t="shared" si="14"/>
        <v>0.17808219178082177</v>
      </c>
      <c r="V32" s="91">
        <f t="shared" si="15"/>
        <v>1.6027397260273957E-2</v>
      </c>
      <c r="W32" s="106"/>
      <c r="X32" s="106"/>
    </row>
    <row r="33" spans="2:24" ht="15.75" x14ac:dyDescent="0.25">
      <c r="B33" s="151" t="s">
        <v>48</v>
      </c>
      <c r="C33" s="153">
        <f>SUM(C22:C32)</f>
        <v>10.000000000000002</v>
      </c>
      <c r="D33" s="152"/>
      <c r="E33" s="152"/>
      <c r="F33" s="153">
        <f>SUM(F22:F32)</f>
        <v>0.37666713692913545</v>
      </c>
      <c r="G33" s="152"/>
      <c r="H33" s="153">
        <f>SUM(H22:H32)</f>
        <v>0.27674790327225401</v>
      </c>
      <c r="I33" s="152"/>
      <c r="J33" s="153">
        <f>SUM(J22:J32)</f>
        <v>0.56958490309512855</v>
      </c>
      <c r="K33" s="152"/>
      <c r="L33" s="153">
        <f>SUM(L22:L32)</f>
        <v>0.5217136594663464</v>
      </c>
      <c r="M33" s="152"/>
      <c r="N33" s="153">
        <f>SUM(N22:N32)</f>
        <v>0.48681848505788589</v>
      </c>
      <c r="O33" s="152"/>
      <c r="P33" s="153">
        <f>SUM(P22:P32)</f>
        <v>0.5245220161251648</v>
      </c>
      <c r="Q33" s="152"/>
      <c r="R33" s="153">
        <f>SUM(R22:R32)</f>
        <v>0.4017430054737236</v>
      </c>
      <c r="S33" s="152"/>
      <c r="T33" s="153">
        <f>SUM(T22:T32)</f>
        <v>0.5845105128845256</v>
      </c>
      <c r="U33" s="152"/>
      <c r="V33" s="177">
        <f>SUM(V22:V32)</f>
        <v>0.6180234729213635</v>
      </c>
      <c r="W33" s="106"/>
      <c r="X33" s="106"/>
    </row>
    <row r="34" spans="2:24" x14ac:dyDescent="0.25"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 t="s">
        <v>108</v>
      </c>
      <c r="W34" s="106"/>
      <c r="X34" s="106"/>
    </row>
    <row r="35" spans="2:24" ht="15.75" x14ac:dyDescent="0.25">
      <c r="B35" s="40" t="s">
        <v>109</v>
      </c>
      <c r="C35" s="40" t="s">
        <v>120</v>
      </c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</row>
    <row r="36" spans="2:24" x14ac:dyDescent="0.25"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</row>
    <row r="37" spans="2:24" x14ac:dyDescent="0.25">
      <c r="W37" s="106"/>
      <c r="X37" s="106"/>
    </row>
  </sheetData>
  <mergeCells count="47">
    <mergeCell ref="B19:B21"/>
    <mergeCell ref="C19:C21"/>
    <mergeCell ref="D19:D21"/>
    <mergeCell ref="E19:F19"/>
    <mergeCell ref="G19:H19"/>
    <mergeCell ref="E20:E21"/>
    <mergeCell ref="F20:F21"/>
    <mergeCell ref="G20:G21"/>
    <mergeCell ref="H20:H21"/>
    <mergeCell ref="B4:B5"/>
    <mergeCell ref="C4:K4"/>
    <mergeCell ref="L4:L5"/>
    <mergeCell ref="M4:M5"/>
    <mergeCell ref="N4:N5"/>
    <mergeCell ref="J20:J21"/>
    <mergeCell ref="K20:K21"/>
    <mergeCell ref="L20:L21"/>
    <mergeCell ref="M20:M21"/>
    <mergeCell ref="I19:J19"/>
    <mergeCell ref="K19:L19"/>
    <mergeCell ref="M19:N19"/>
    <mergeCell ref="I20:I21"/>
    <mergeCell ref="N20:N21"/>
    <mergeCell ref="O20:O21"/>
    <mergeCell ref="P20:P21"/>
    <mergeCell ref="Q20:Q21"/>
    <mergeCell ref="R20:R21"/>
    <mergeCell ref="V4:V8"/>
    <mergeCell ref="T20:T21"/>
    <mergeCell ref="U20:U21"/>
    <mergeCell ref="V20:V21"/>
    <mergeCell ref="P4:Q4"/>
    <mergeCell ref="T4:U4"/>
    <mergeCell ref="P5:Q5"/>
    <mergeCell ref="P6:Q6"/>
    <mergeCell ref="P7:Q7"/>
    <mergeCell ref="P8:Q8"/>
    <mergeCell ref="S20:S21"/>
    <mergeCell ref="U19:V19"/>
    <mergeCell ref="O19:P19"/>
    <mergeCell ref="Q19:R19"/>
    <mergeCell ref="S19:T19"/>
    <mergeCell ref="T5:U5"/>
    <mergeCell ref="T6:U6"/>
    <mergeCell ref="T7:U7"/>
    <mergeCell ref="T8:U8"/>
    <mergeCell ref="R4:R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83"/>
  <sheetViews>
    <sheetView zoomScale="80" zoomScaleNormal="80" workbookViewId="0">
      <selection activeCell="R5" sqref="R5"/>
    </sheetView>
  </sheetViews>
  <sheetFormatPr defaultRowHeight="15" x14ac:dyDescent="0.25"/>
  <cols>
    <col min="2" max="2" width="17.28515625" customWidth="1"/>
    <col min="3" max="3" width="9.85546875" customWidth="1"/>
    <col min="5" max="6" width="11.140625" customWidth="1"/>
    <col min="7" max="7" width="14.7109375" customWidth="1"/>
    <col min="8" max="8" width="12.42578125" customWidth="1"/>
    <col min="9" max="9" width="12" customWidth="1"/>
    <col min="10" max="10" width="17.140625" customWidth="1"/>
    <col min="11" max="11" width="13.42578125" customWidth="1"/>
    <col min="12" max="12" width="12.85546875" customWidth="1"/>
    <col min="13" max="13" width="11" customWidth="1"/>
    <col min="14" max="14" width="12.85546875" customWidth="1"/>
    <col min="16" max="16" width="18.5703125" customWidth="1"/>
    <col min="20" max="20" width="12.42578125" customWidth="1"/>
    <col min="21" max="21" width="10.140625" customWidth="1"/>
    <col min="26" max="26" width="19.7109375" customWidth="1"/>
    <col min="27" max="27" width="21.7109375" customWidth="1"/>
    <col min="28" max="28" width="10" customWidth="1"/>
    <col min="29" max="29" width="16.42578125" customWidth="1"/>
  </cols>
  <sheetData>
    <row r="1" spans="2:32" x14ac:dyDescent="0.25"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</row>
    <row r="2" spans="2:32" ht="15.75" x14ac:dyDescent="0.25">
      <c r="B2" s="189" t="s">
        <v>0</v>
      </c>
      <c r="C2" s="190"/>
      <c r="D2" s="190"/>
      <c r="E2" s="191"/>
      <c r="F2" s="192" t="s">
        <v>1</v>
      </c>
      <c r="G2" s="192" t="s">
        <v>2</v>
      </c>
      <c r="H2" s="41"/>
      <c r="I2" s="189" t="s">
        <v>3</v>
      </c>
      <c r="J2" s="190"/>
      <c r="K2" s="190"/>
      <c r="L2" s="190"/>
      <c r="M2" s="190"/>
      <c r="N2" s="191"/>
      <c r="O2" s="41"/>
      <c r="P2" s="100" t="s">
        <v>4</v>
      </c>
      <c r="Q2" s="14">
        <v>9</v>
      </c>
      <c r="R2" s="41"/>
      <c r="S2" s="68"/>
      <c r="T2" s="68"/>
      <c r="U2" s="68"/>
      <c r="V2" s="68"/>
      <c r="W2" s="68"/>
      <c r="X2" s="264"/>
      <c r="Y2" s="264"/>
      <c r="Z2" s="266"/>
      <c r="AA2" s="266"/>
      <c r="AB2" s="266"/>
      <c r="AC2" s="266"/>
      <c r="AD2" s="264"/>
      <c r="AE2" s="264"/>
      <c r="AF2" s="264"/>
    </row>
    <row r="3" spans="2:32" ht="15.75" x14ac:dyDescent="0.25">
      <c r="B3" s="15" t="s">
        <v>5</v>
      </c>
      <c r="C3" s="15">
        <v>1</v>
      </c>
      <c r="D3" s="15">
        <v>2</v>
      </c>
      <c r="E3" s="15">
        <v>3</v>
      </c>
      <c r="F3" s="193"/>
      <c r="G3" s="193"/>
      <c r="H3" s="41"/>
      <c r="I3" s="192" t="s">
        <v>6</v>
      </c>
      <c r="J3" s="189" t="s">
        <v>7</v>
      </c>
      <c r="K3" s="190"/>
      <c r="L3" s="191"/>
      <c r="M3" s="192" t="s">
        <v>1</v>
      </c>
      <c r="N3" s="192" t="s">
        <v>2</v>
      </c>
      <c r="O3" s="41"/>
      <c r="P3" s="87" t="s">
        <v>8</v>
      </c>
      <c r="Q3" s="14">
        <v>3</v>
      </c>
      <c r="R3" s="41"/>
      <c r="S3" s="68"/>
      <c r="T3" s="47"/>
      <c r="U3" s="47"/>
      <c r="V3" s="47"/>
      <c r="W3" s="267"/>
      <c r="X3" s="264"/>
      <c r="Y3" s="264"/>
      <c r="Z3" s="268"/>
      <c r="AA3" s="268"/>
      <c r="AB3" s="268"/>
      <c r="AC3" s="268"/>
      <c r="AD3" s="264"/>
      <c r="AE3" s="264"/>
      <c r="AF3" s="264"/>
    </row>
    <row r="4" spans="2:32" ht="15.75" x14ac:dyDescent="0.25">
      <c r="B4" s="14" t="s">
        <v>9</v>
      </c>
      <c r="C4" s="4">
        <v>4.0599999999999996</v>
      </c>
      <c r="D4" s="4">
        <v>7.33</v>
      </c>
      <c r="E4" s="4">
        <v>3.89</v>
      </c>
      <c r="F4" s="89">
        <f>SUM(C4:E4)</f>
        <v>15.280000000000001</v>
      </c>
      <c r="G4" s="90">
        <f>AVERAGE(C4:E4)</f>
        <v>5.0933333333333337</v>
      </c>
      <c r="H4" s="41"/>
      <c r="I4" s="193"/>
      <c r="J4" s="15" t="s">
        <v>10</v>
      </c>
      <c r="K4" s="15" t="s">
        <v>11</v>
      </c>
      <c r="L4" s="15" t="s">
        <v>12</v>
      </c>
      <c r="M4" s="193"/>
      <c r="N4" s="193"/>
      <c r="O4" s="41"/>
      <c r="P4" s="87" t="s">
        <v>13</v>
      </c>
      <c r="Q4" s="14">
        <v>3</v>
      </c>
      <c r="R4" s="41"/>
      <c r="S4" s="68"/>
      <c r="T4" s="47"/>
      <c r="U4" s="47"/>
      <c r="V4" s="47"/>
      <c r="W4" s="267"/>
      <c r="X4" s="264"/>
      <c r="Y4" s="264"/>
      <c r="Z4" s="269"/>
      <c r="AA4" s="269"/>
      <c r="AB4" s="269"/>
      <c r="AC4" s="263"/>
      <c r="AD4" s="264"/>
      <c r="AE4" s="264"/>
      <c r="AF4" s="264"/>
    </row>
    <row r="5" spans="2:32" ht="15.75" x14ac:dyDescent="0.25">
      <c r="B5" s="14" t="s">
        <v>14</v>
      </c>
      <c r="C5" s="4">
        <v>4.4400000000000004</v>
      </c>
      <c r="D5" s="4">
        <v>4.4400000000000004</v>
      </c>
      <c r="E5" s="4">
        <v>5.8</v>
      </c>
      <c r="F5" s="89">
        <f t="shared" ref="F5:F12" si="0">SUM(C5:E5)</f>
        <v>14.68</v>
      </c>
      <c r="G5" s="90">
        <f t="shared" ref="G5:G12" si="1">AVERAGE(C5:E5)</f>
        <v>4.8933333333333335</v>
      </c>
      <c r="H5" s="41"/>
      <c r="I5" s="14" t="s">
        <v>15</v>
      </c>
      <c r="J5" s="24">
        <f>F4</f>
        <v>15.280000000000001</v>
      </c>
      <c r="K5" s="24">
        <f>F5</f>
        <v>14.68</v>
      </c>
      <c r="L5" s="24">
        <f>F6</f>
        <v>15.25</v>
      </c>
      <c r="M5" s="4">
        <f>SUM(J5:L5)</f>
        <v>45.21</v>
      </c>
      <c r="N5" s="6">
        <f>M5/Q2</f>
        <v>5.0233333333333334</v>
      </c>
      <c r="O5" s="41"/>
      <c r="P5" s="87" t="s">
        <v>16</v>
      </c>
      <c r="Q5" s="14">
        <v>3</v>
      </c>
      <c r="R5" s="41"/>
      <c r="S5" s="68"/>
      <c r="T5" s="47"/>
      <c r="U5" s="47"/>
      <c r="V5" s="47"/>
      <c r="W5" s="267"/>
      <c r="X5" s="264"/>
      <c r="Y5" s="264"/>
      <c r="Z5" s="269"/>
      <c r="AA5" s="269"/>
      <c r="AB5" s="269"/>
      <c r="AC5" s="263"/>
      <c r="AD5" s="264"/>
      <c r="AE5" s="264"/>
      <c r="AF5" s="264"/>
    </row>
    <row r="6" spans="2:32" ht="15.75" x14ac:dyDescent="0.25">
      <c r="B6" s="14" t="s">
        <v>17</v>
      </c>
      <c r="C6" s="4">
        <v>6.47</v>
      </c>
      <c r="D6" s="4">
        <v>4.38</v>
      </c>
      <c r="E6" s="4">
        <v>4.4000000000000004</v>
      </c>
      <c r="F6" s="89">
        <f t="shared" si="0"/>
        <v>15.25</v>
      </c>
      <c r="G6" s="90">
        <f t="shared" si="1"/>
        <v>5.083333333333333</v>
      </c>
      <c r="H6" s="41"/>
      <c r="I6" s="14" t="s">
        <v>18</v>
      </c>
      <c r="J6" s="24">
        <f>F7</f>
        <v>14.95</v>
      </c>
      <c r="K6" s="24">
        <f>F8</f>
        <v>21.47</v>
      </c>
      <c r="L6" s="24">
        <f>F9</f>
        <v>24.02</v>
      </c>
      <c r="M6" s="4">
        <f>SUM(J6:L6)</f>
        <v>60.44</v>
      </c>
      <c r="N6" s="6">
        <f>M6/Q2</f>
        <v>6.7155555555555555</v>
      </c>
      <c r="O6" s="41"/>
      <c r="P6" s="44"/>
      <c r="Q6" s="44"/>
      <c r="R6" s="41"/>
      <c r="S6" s="267"/>
      <c r="T6" s="47"/>
      <c r="U6" s="47"/>
      <c r="V6" s="47"/>
      <c r="W6" s="267"/>
      <c r="X6" s="264"/>
      <c r="Y6" s="264"/>
      <c r="Z6" s="269"/>
      <c r="AA6" s="269"/>
      <c r="AB6" s="269"/>
      <c r="AC6" s="263"/>
      <c r="AD6" s="264"/>
      <c r="AE6" s="264"/>
      <c r="AF6" s="264"/>
    </row>
    <row r="7" spans="2:32" ht="15.75" x14ac:dyDescent="0.25">
      <c r="B7" s="14" t="s">
        <v>19</v>
      </c>
      <c r="C7" s="4">
        <v>6.79</v>
      </c>
      <c r="D7" s="4">
        <v>4.9800000000000004</v>
      </c>
      <c r="E7" s="4">
        <v>3.18</v>
      </c>
      <c r="F7" s="89">
        <f t="shared" si="0"/>
        <v>14.95</v>
      </c>
      <c r="G7" s="90">
        <f>AVERAGE(C7:E7)</f>
        <v>4.9833333333333334</v>
      </c>
      <c r="H7" s="41"/>
      <c r="I7" s="14" t="s">
        <v>20</v>
      </c>
      <c r="J7" s="24">
        <f>F10</f>
        <v>24.25</v>
      </c>
      <c r="K7" s="24">
        <f>F11</f>
        <v>26.82</v>
      </c>
      <c r="L7" s="24">
        <f>F12</f>
        <v>29.69</v>
      </c>
      <c r="M7" s="4">
        <f>SUM(J7:L7)</f>
        <v>80.760000000000005</v>
      </c>
      <c r="N7" s="6">
        <f>M7/Q2</f>
        <v>8.9733333333333345</v>
      </c>
      <c r="O7" s="41"/>
      <c r="P7" s="92" t="s">
        <v>21</v>
      </c>
      <c r="Q7" s="93">
        <f>F13^2/(Q4*Q5*Q3)</f>
        <v>1286.9884481481477</v>
      </c>
      <c r="R7" s="41"/>
      <c r="S7" s="267"/>
      <c r="T7" s="47"/>
      <c r="U7" s="47"/>
      <c r="V7" s="47"/>
      <c r="W7" s="267"/>
      <c r="X7" s="264"/>
      <c r="Y7" s="264"/>
      <c r="Z7" s="269"/>
      <c r="AA7" s="268"/>
      <c r="AB7" s="269"/>
      <c r="AC7" s="263"/>
      <c r="AD7" s="264"/>
      <c r="AE7" s="264"/>
      <c r="AF7" s="264"/>
    </row>
    <row r="8" spans="2:32" ht="15.75" x14ac:dyDescent="0.25">
      <c r="B8" s="14" t="s">
        <v>22</v>
      </c>
      <c r="C8" s="4">
        <v>6.64</v>
      </c>
      <c r="D8" s="4">
        <v>7.23</v>
      </c>
      <c r="E8" s="4">
        <v>7.6</v>
      </c>
      <c r="F8" s="89">
        <f t="shared" si="0"/>
        <v>21.47</v>
      </c>
      <c r="G8" s="90">
        <f t="shared" si="1"/>
        <v>7.1566666666666663</v>
      </c>
      <c r="H8" s="41"/>
      <c r="I8" s="15" t="s">
        <v>1</v>
      </c>
      <c r="J8" s="4">
        <f>SUM(J5:J7)</f>
        <v>54.480000000000004</v>
      </c>
      <c r="K8" s="4">
        <f>SUM(K5:K7)</f>
        <v>62.97</v>
      </c>
      <c r="L8" s="4">
        <f>SUM(L5:L7)</f>
        <v>68.959999999999994</v>
      </c>
      <c r="M8" s="82">
        <f>SUM(M5:M7)</f>
        <v>186.41000000000003</v>
      </c>
      <c r="N8" s="94"/>
      <c r="O8" s="41"/>
      <c r="P8" s="99" t="s">
        <v>49</v>
      </c>
      <c r="Q8" s="33">
        <f>(SQRT(E24)/G13)*100</f>
        <v>18.408970162584033</v>
      </c>
      <c r="R8" s="41"/>
      <c r="S8" s="267"/>
      <c r="T8" s="47"/>
      <c r="U8" s="47"/>
      <c r="V8" s="47"/>
      <c r="W8" s="267"/>
      <c r="X8" s="264"/>
      <c r="Y8" s="264"/>
      <c r="Z8" s="269"/>
      <c r="AA8" s="268"/>
      <c r="AB8" s="269"/>
      <c r="AC8" s="263"/>
      <c r="AD8" s="264"/>
      <c r="AE8" s="264"/>
      <c r="AF8" s="264"/>
    </row>
    <row r="9" spans="2:32" ht="15.75" x14ac:dyDescent="0.25">
      <c r="B9" s="14" t="s">
        <v>23</v>
      </c>
      <c r="C9" s="4">
        <v>7.74</v>
      </c>
      <c r="D9" s="4">
        <v>7.3</v>
      </c>
      <c r="E9" s="4">
        <v>8.98</v>
      </c>
      <c r="F9" s="89">
        <f t="shared" si="0"/>
        <v>24.02</v>
      </c>
      <c r="G9" s="90">
        <f t="shared" si="1"/>
        <v>8.0066666666666659</v>
      </c>
      <c r="H9" s="41"/>
      <c r="I9" s="15" t="s">
        <v>2</v>
      </c>
      <c r="J9" s="6">
        <f>J8/Q2</f>
        <v>6.0533333333333337</v>
      </c>
      <c r="K9" s="6">
        <f>K8/Q2</f>
        <v>6.9966666666666661</v>
      </c>
      <c r="L9" s="6">
        <f>L8/Q2</f>
        <v>7.6622222222222218</v>
      </c>
      <c r="M9" s="94"/>
      <c r="N9" s="94"/>
      <c r="O9" s="41"/>
      <c r="P9" s="41"/>
      <c r="Q9" s="41"/>
      <c r="R9" s="41"/>
      <c r="S9" s="68"/>
      <c r="T9" s="47"/>
      <c r="U9" s="47"/>
      <c r="V9" s="47"/>
      <c r="W9" s="267"/>
      <c r="X9" s="264"/>
      <c r="Y9" s="264"/>
      <c r="Z9" s="269"/>
      <c r="AA9" s="268"/>
      <c r="AB9" s="269"/>
      <c r="AC9" s="263"/>
      <c r="AD9" s="264"/>
      <c r="AE9" s="264"/>
      <c r="AF9" s="264"/>
    </row>
    <row r="10" spans="2:32" ht="15.75" x14ac:dyDescent="0.25">
      <c r="B10" s="14" t="s">
        <v>24</v>
      </c>
      <c r="C10" s="4">
        <v>7.49</v>
      </c>
      <c r="D10" s="4">
        <v>7.78</v>
      </c>
      <c r="E10" s="4">
        <v>8.98</v>
      </c>
      <c r="F10" s="89">
        <f t="shared" si="0"/>
        <v>24.25</v>
      </c>
      <c r="G10" s="90">
        <f t="shared" si="1"/>
        <v>8.0833333333333339</v>
      </c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68"/>
      <c r="T10" s="47"/>
      <c r="U10" s="47"/>
      <c r="V10" s="47"/>
      <c r="W10" s="267"/>
      <c r="X10" s="264"/>
      <c r="Y10" s="264"/>
      <c r="Z10" s="269"/>
      <c r="AA10" s="268"/>
      <c r="AB10" s="269"/>
      <c r="AC10" s="263"/>
      <c r="AD10" s="264"/>
      <c r="AE10" s="264"/>
      <c r="AF10" s="264"/>
    </row>
    <row r="11" spans="2:32" ht="15.75" x14ac:dyDescent="0.25">
      <c r="B11" s="14" t="s">
        <v>25</v>
      </c>
      <c r="C11" s="4">
        <v>7.52</v>
      </c>
      <c r="D11" s="4">
        <v>10.32</v>
      </c>
      <c r="E11" s="4">
        <v>8.98</v>
      </c>
      <c r="F11" s="89">
        <f t="shared" si="0"/>
        <v>26.82</v>
      </c>
      <c r="G11" s="90">
        <f t="shared" si="1"/>
        <v>8.94</v>
      </c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68"/>
      <c r="T11" s="47"/>
      <c r="U11" s="47"/>
      <c r="V11" s="47"/>
      <c r="W11" s="267"/>
      <c r="X11" s="264"/>
      <c r="Y11" s="264"/>
      <c r="Z11" s="269"/>
      <c r="AA11" s="268"/>
      <c r="AB11" s="269"/>
      <c r="AC11" s="263"/>
      <c r="AD11" s="264"/>
      <c r="AE11" s="264"/>
      <c r="AF11" s="264"/>
    </row>
    <row r="12" spans="2:32" ht="15.75" x14ac:dyDescent="0.25">
      <c r="B12" s="14" t="s">
        <v>26</v>
      </c>
      <c r="C12" s="4">
        <v>10.24</v>
      </c>
      <c r="D12" s="4">
        <v>10.47</v>
      </c>
      <c r="E12" s="4">
        <v>8.98</v>
      </c>
      <c r="F12" s="89">
        <f t="shared" si="0"/>
        <v>29.69</v>
      </c>
      <c r="G12" s="90">
        <f t="shared" si="1"/>
        <v>9.8966666666666665</v>
      </c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68"/>
      <c r="T12" s="47"/>
      <c r="U12" s="47"/>
      <c r="V12" s="47"/>
      <c r="W12" s="267"/>
      <c r="X12" s="264"/>
      <c r="Y12" s="264"/>
      <c r="Z12" s="269"/>
      <c r="AA12" s="268"/>
      <c r="AB12" s="269"/>
      <c r="AC12" s="263"/>
      <c r="AD12" s="264"/>
      <c r="AE12" s="264"/>
      <c r="AF12" s="264"/>
    </row>
    <row r="13" spans="2:32" ht="15.75" x14ac:dyDescent="0.25">
      <c r="B13" s="15" t="s">
        <v>1</v>
      </c>
      <c r="C13" s="88">
        <f>SUM(C4:C12)</f>
        <v>61.390000000000008</v>
      </c>
      <c r="D13" s="88">
        <f>SUM(D4:D12)</f>
        <v>64.23</v>
      </c>
      <c r="E13" s="88">
        <f>SUM(E4:E12)</f>
        <v>60.790000000000006</v>
      </c>
      <c r="F13" s="95">
        <f>SUM(F4:F12)</f>
        <v>186.40999999999997</v>
      </c>
      <c r="G13" s="88">
        <f>AVERAGE(G4:G12)</f>
        <v>6.9040740740740745</v>
      </c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68"/>
      <c r="T13" s="47"/>
      <c r="U13" s="47"/>
      <c r="V13" s="47"/>
      <c r="W13" s="267"/>
      <c r="X13" s="264"/>
      <c r="Y13" s="264"/>
      <c r="Z13" s="269"/>
      <c r="AA13" s="268"/>
      <c r="AB13" s="269"/>
      <c r="AC13" s="263"/>
      <c r="AD13" s="264"/>
      <c r="AE13" s="264"/>
      <c r="AF13" s="264"/>
    </row>
    <row r="14" spans="2:32" ht="15.75" x14ac:dyDescent="0.25"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68"/>
      <c r="T14" s="47"/>
      <c r="U14" s="47"/>
      <c r="V14" s="47"/>
      <c r="W14" s="267"/>
      <c r="X14" s="264"/>
      <c r="Y14" s="264"/>
      <c r="Z14" s="269"/>
      <c r="AA14" s="268"/>
      <c r="AB14" s="269"/>
      <c r="AC14" s="263"/>
      <c r="AD14" s="264"/>
      <c r="AE14" s="264"/>
      <c r="AF14" s="264"/>
    </row>
    <row r="15" spans="2:32" ht="15.75" x14ac:dyDescent="0.25"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68"/>
      <c r="T15" s="47"/>
      <c r="U15" s="47"/>
      <c r="V15" s="47"/>
      <c r="W15" s="267"/>
      <c r="X15" s="264"/>
      <c r="Y15" s="264"/>
      <c r="Z15" s="269"/>
      <c r="AA15" s="268"/>
      <c r="AB15" s="269"/>
      <c r="AC15" s="263"/>
      <c r="AD15" s="264"/>
      <c r="AE15" s="264"/>
      <c r="AF15" s="264"/>
    </row>
    <row r="16" spans="2:32" ht="15.75" x14ac:dyDescent="0.25">
      <c r="B16" s="200" t="s">
        <v>78</v>
      </c>
      <c r="C16" s="200"/>
      <c r="D16" s="200"/>
      <c r="E16" s="200"/>
      <c r="F16" s="200"/>
      <c r="G16" s="200"/>
      <c r="H16" s="200"/>
      <c r="I16" s="200"/>
      <c r="J16" s="44"/>
      <c r="K16" s="44"/>
      <c r="L16" s="83" t="s">
        <v>28</v>
      </c>
      <c r="M16" s="83" t="s">
        <v>29</v>
      </c>
      <c r="N16" s="83" t="s">
        <v>30</v>
      </c>
      <c r="O16" s="44"/>
      <c r="P16" s="41"/>
      <c r="Q16" s="41"/>
      <c r="R16" s="41"/>
      <c r="S16" s="68"/>
      <c r="T16" s="47"/>
      <c r="U16" s="47"/>
      <c r="V16" s="47"/>
      <c r="W16" s="267"/>
      <c r="X16" s="264"/>
      <c r="Y16" s="264"/>
      <c r="Z16" s="269"/>
      <c r="AA16" s="268"/>
      <c r="AB16" s="269"/>
      <c r="AC16" s="263"/>
      <c r="AD16" s="264"/>
      <c r="AE16" s="264"/>
      <c r="AF16" s="264"/>
    </row>
    <row r="17" spans="2:32" ht="15.75" x14ac:dyDescent="0.25">
      <c r="B17" s="201" t="s">
        <v>31</v>
      </c>
      <c r="C17" s="201" t="s">
        <v>32</v>
      </c>
      <c r="D17" s="201" t="s">
        <v>33</v>
      </c>
      <c r="E17" s="201" t="s">
        <v>34</v>
      </c>
      <c r="F17" s="201" t="s">
        <v>35</v>
      </c>
      <c r="G17" s="201" t="s">
        <v>36</v>
      </c>
      <c r="H17" s="201"/>
      <c r="I17" s="201" t="s">
        <v>37</v>
      </c>
      <c r="J17" s="44"/>
      <c r="K17" s="44"/>
      <c r="L17" s="4">
        <f>SQRT(E24/Q2)</f>
        <v>0.42365631209966542</v>
      </c>
      <c r="M17" s="76">
        <v>3.65</v>
      </c>
      <c r="N17" s="4">
        <f>L17*M17</f>
        <v>1.5463455391637788</v>
      </c>
      <c r="O17" s="44"/>
      <c r="P17" s="41"/>
      <c r="Q17" s="41"/>
      <c r="R17" s="41"/>
      <c r="S17" s="68"/>
      <c r="T17" s="47"/>
      <c r="U17" s="47"/>
      <c r="V17" s="47"/>
      <c r="W17" s="267"/>
      <c r="X17" s="264"/>
      <c r="Y17" s="264"/>
      <c r="Z17" s="269"/>
      <c r="AA17" s="268"/>
      <c r="AB17" s="269"/>
      <c r="AC17" s="263"/>
      <c r="AD17" s="264"/>
      <c r="AE17" s="264"/>
      <c r="AF17" s="264"/>
    </row>
    <row r="18" spans="2:32" ht="15.75" x14ac:dyDescent="0.25">
      <c r="B18" s="201"/>
      <c r="C18" s="201"/>
      <c r="D18" s="201"/>
      <c r="E18" s="201"/>
      <c r="F18" s="201"/>
      <c r="G18" s="84">
        <v>0.05</v>
      </c>
      <c r="H18" s="84">
        <v>0.01</v>
      </c>
      <c r="I18" s="201"/>
      <c r="J18" s="44"/>
      <c r="K18" s="44"/>
      <c r="L18" s="85" t="s">
        <v>38</v>
      </c>
      <c r="M18" s="198">
        <f>M17*L17</f>
        <v>1.5463455391637788</v>
      </c>
      <c r="N18" s="199"/>
      <c r="O18" s="44"/>
      <c r="P18" s="41"/>
      <c r="Q18" s="41"/>
      <c r="R18" s="41"/>
      <c r="S18" s="68"/>
      <c r="T18" s="47"/>
      <c r="U18" s="47"/>
      <c r="V18" s="47"/>
      <c r="W18" s="267"/>
      <c r="X18" s="264"/>
      <c r="Y18" s="264"/>
      <c r="Z18" s="269"/>
      <c r="AA18" s="268"/>
      <c r="AB18" s="269"/>
      <c r="AC18" s="263"/>
      <c r="AD18" s="264"/>
      <c r="AE18" s="264"/>
      <c r="AF18" s="264"/>
    </row>
    <row r="19" spans="2:32" ht="15.75" x14ac:dyDescent="0.25">
      <c r="B19" s="84" t="s">
        <v>39</v>
      </c>
      <c r="C19" s="76">
        <f>Q3-1</f>
        <v>2</v>
      </c>
      <c r="D19" s="4">
        <f>SUMSQ(C13:E13)/(Q4*Q5)-Q7</f>
        <v>0.75034074074142154</v>
      </c>
      <c r="E19" s="4">
        <f>D19/C19</f>
        <v>0.37517037037071077</v>
      </c>
      <c r="F19" s="6">
        <f>E19/E24</f>
        <v>0.23225157071220498</v>
      </c>
      <c r="G19" s="4">
        <f>FINV(G18,C19,C24)</f>
        <v>3.6337234675916301</v>
      </c>
      <c r="H19" s="4">
        <f>FINV(H18,C19,C24)</f>
        <v>6.2262352803113821</v>
      </c>
      <c r="I19" s="79" t="str">
        <f>IF(F19&lt;G19,"tn",IF(F19&lt;H19,"*","**"))</f>
        <v>tn</v>
      </c>
      <c r="J19" s="44"/>
      <c r="K19" s="44"/>
      <c r="L19" s="44"/>
      <c r="M19" s="44"/>
      <c r="N19" s="44"/>
      <c r="O19" s="44"/>
      <c r="P19" s="41"/>
      <c r="Q19" s="41"/>
      <c r="R19" s="41"/>
      <c r="S19" s="68"/>
      <c r="T19" s="47"/>
      <c r="U19" s="47"/>
      <c r="V19" s="47"/>
      <c r="W19" s="267"/>
      <c r="X19" s="264"/>
      <c r="Y19" s="264"/>
      <c r="Z19" s="269"/>
      <c r="AA19" s="268"/>
      <c r="AB19" s="269"/>
      <c r="AC19" s="263"/>
      <c r="AD19" s="264"/>
      <c r="AE19" s="264"/>
      <c r="AF19" s="264"/>
    </row>
    <row r="20" spans="2:32" ht="15.75" x14ac:dyDescent="0.25">
      <c r="B20" s="84" t="s">
        <v>40</v>
      </c>
      <c r="C20" s="76">
        <f>Q4*Q5-1</f>
        <v>8</v>
      </c>
      <c r="D20" s="4">
        <f>SUMSQ(F4:F12)/Q3-Q7</f>
        <v>90.290918518518993</v>
      </c>
      <c r="E20" s="4">
        <f t="shared" ref="E20:E25" si="2">D20/C20</f>
        <v>11.286364814814874</v>
      </c>
      <c r="F20" s="6">
        <f>E20/E24</f>
        <v>6.9868949226496797</v>
      </c>
      <c r="G20" s="4">
        <f>FINV(G18,C20,C24)</f>
        <v>2.5910961798744014</v>
      </c>
      <c r="H20" s="4">
        <f>FINV(H18,C20,C24)</f>
        <v>3.8895721399261927</v>
      </c>
      <c r="I20" s="80" t="str">
        <f>IF(F20&lt;G20,"tn",IF(F20&lt;H20,"*","**"))</f>
        <v>**</v>
      </c>
      <c r="J20" s="168" t="s">
        <v>116</v>
      </c>
      <c r="K20" s="44"/>
      <c r="L20" s="96" t="s">
        <v>40</v>
      </c>
      <c r="M20" s="96" t="s">
        <v>41</v>
      </c>
      <c r="N20" s="96" t="s">
        <v>42</v>
      </c>
      <c r="O20" s="44"/>
      <c r="P20" s="41"/>
      <c r="Q20" s="41"/>
      <c r="R20" s="41"/>
      <c r="S20" s="68"/>
      <c r="T20" s="47"/>
      <c r="U20" s="47"/>
      <c r="V20" s="47"/>
      <c r="W20" s="267"/>
      <c r="X20" s="264"/>
      <c r="Y20" s="264"/>
      <c r="Z20" s="269"/>
      <c r="AA20" s="268"/>
      <c r="AB20" s="269"/>
      <c r="AC20" s="263"/>
      <c r="AD20" s="264"/>
      <c r="AE20" s="264"/>
      <c r="AF20" s="264"/>
    </row>
    <row r="21" spans="2:32" ht="15.75" x14ac:dyDescent="0.25">
      <c r="B21" s="84" t="s">
        <v>43</v>
      </c>
      <c r="C21" s="76">
        <f>Q4-1</f>
        <v>2</v>
      </c>
      <c r="D21" s="4">
        <f>SUMSQ(M5:M7)/(Q4*Q3)-Q7</f>
        <v>70.691029629630293</v>
      </c>
      <c r="E21" s="4">
        <f t="shared" si="2"/>
        <v>35.345514814815147</v>
      </c>
      <c r="F21" s="6">
        <f>E21/E24</f>
        <v>21.880862620523196</v>
      </c>
      <c r="G21" s="4">
        <f>FINV(G18,C21,C24)</f>
        <v>3.6337234675916301</v>
      </c>
      <c r="H21" s="4">
        <f>FINV(H18,C21,C24)</f>
        <v>6.2262352803113821</v>
      </c>
      <c r="I21" s="80" t="str">
        <f>IF(F21&lt;G21,"tn",IF(F21&lt;H21,"*","**"))</f>
        <v>**</v>
      </c>
      <c r="J21" s="167" t="s">
        <v>116</v>
      </c>
      <c r="K21" s="44"/>
      <c r="L21" s="97" t="s">
        <v>15</v>
      </c>
      <c r="M21" s="90">
        <f>N5</f>
        <v>5.0233333333333334</v>
      </c>
      <c r="N21" s="163" t="s">
        <v>114</v>
      </c>
      <c r="O21" s="11">
        <f>M21+M$24</f>
        <v>6.5696788724971125</v>
      </c>
      <c r="P21" s="41"/>
      <c r="Q21" s="41"/>
      <c r="R21" s="41"/>
      <c r="S21" s="264"/>
      <c r="T21" s="264"/>
      <c r="U21" s="264"/>
      <c r="V21" s="264"/>
      <c r="W21" s="264"/>
      <c r="X21" s="264"/>
      <c r="Y21" s="264"/>
      <c r="Z21" s="269"/>
      <c r="AA21" s="268"/>
      <c r="AB21" s="269"/>
      <c r="AC21" s="263"/>
      <c r="AD21" s="264"/>
      <c r="AE21" s="264"/>
      <c r="AF21" s="264"/>
    </row>
    <row r="22" spans="2:32" ht="15.75" x14ac:dyDescent="0.25">
      <c r="B22" s="84" t="s">
        <v>16</v>
      </c>
      <c r="C22" s="76">
        <f>Q5-1</f>
        <v>2</v>
      </c>
      <c r="D22" s="4">
        <f>SUMSQ(J8:L8)/(Q5*Q3)-Q7</f>
        <v>11.764096296296884</v>
      </c>
      <c r="E22" s="4">
        <f t="shared" si="2"/>
        <v>5.8820481481484421</v>
      </c>
      <c r="F22" s="6">
        <f>E22/E24</f>
        <v>3.6413187962109483</v>
      </c>
      <c r="G22" s="4">
        <f>FINV(G18,C22,C24)</f>
        <v>3.6337234675916301</v>
      </c>
      <c r="H22" s="4">
        <f>FINV(H18,C22,C24)</f>
        <v>6.2262352803113821</v>
      </c>
      <c r="I22" s="80" t="str">
        <f>IF(F22&lt;G22,"tn",IF(F22&lt;H22,"*","**"))</f>
        <v>*</v>
      </c>
      <c r="J22" s="44" t="s">
        <v>45</v>
      </c>
      <c r="K22" s="44"/>
      <c r="L22" s="97" t="s">
        <v>18</v>
      </c>
      <c r="M22" s="90">
        <f>N6</f>
        <v>6.7155555555555555</v>
      </c>
      <c r="N22" s="163" t="s">
        <v>115</v>
      </c>
      <c r="O22" s="11">
        <f>M22+M$24</f>
        <v>8.2619010947193345</v>
      </c>
      <c r="P22" s="41"/>
      <c r="Q22" s="41"/>
      <c r="R22" s="41"/>
      <c r="S22" s="264"/>
      <c r="T22" s="68"/>
      <c r="U22" s="68"/>
      <c r="V22" s="264"/>
      <c r="W22" s="264"/>
      <c r="X22" s="264"/>
      <c r="Y22" s="264"/>
      <c r="Z22" s="269"/>
      <c r="AA22" s="268"/>
      <c r="AB22" s="269"/>
      <c r="AC22" s="263"/>
      <c r="AD22" s="264"/>
      <c r="AE22" s="264"/>
      <c r="AF22" s="264"/>
    </row>
    <row r="23" spans="2:32" ht="15.75" x14ac:dyDescent="0.25">
      <c r="B23" s="84" t="s">
        <v>46</v>
      </c>
      <c r="C23" s="76">
        <f>C21*C22</f>
        <v>4</v>
      </c>
      <c r="D23" s="4">
        <f>D20-D21-D22</f>
        <v>7.8357925925918153</v>
      </c>
      <c r="E23" s="4">
        <f t="shared" si="2"/>
        <v>1.9589481481479538</v>
      </c>
      <c r="F23" s="6">
        <f>E23/E24</f>
        <v>1.2126991369322873</v>
      </c>
      <c r="G23" s="4">
        <f>FINV(G18,C23,C24)</f>
        <v>3.0069172799243447</v>
      </c>
      <c r="H23" s="4">
        <f>FINV(H18,C23,C24)</f>
        <v>4.772577999723211</v>
      </c>
      <c r="I23" s="79" t="str">
        <f>IF(F23&lt;G23,"tn",IF(F23&lt;H23,"*","**"))</f>
        <v>tn</v>
      </c>
      <c r="J23" s="44"/>
      <c r="K23" s="44"/>
      <c r="L23" s="97" t="s">
        <v>20</v>
      </c>
      <c r="M23" s="90">
        <f>N7</f>
        <v>8.9733333333333345</v>
      </c>
      <c r="N23" s="163" t="s">
        <v>117</v>
      </c>
      <c r="O23" s="11">
        <f>M23+M$24</f>
        <v>10.519678872497114</v>
      </c>
      <c r="P23" s="41"/>
      <c r="Q23" s="41"/>
      <c r="R23" s="41"/>
      <c r="S23" s="264"/>
      <c r="T23" s="66"/>
      <c r="U23" s="47"/>
      <c r="V23" s="264"/>
      <c r="W23" s="264"/>
      <c r="X23" s="264"/>
      <c r="Y23" s="264"/>
      <c r="Z23" s="269"/>
      <c r="AA23" s="268"/>
      <c r="AB23" s="269"/>
      <c r="AC23" s="263"/>
      <c r="AD23" s="264"/>
      <c r="AE23" s="264"/>
      <c r="AF23" s="264"/>
    </row>
    <row r="24" spans="2:32" ht="15.75" x14ac:dyDescent="0.25">
      <c r="B24" s="84" t="s">
        <v>47</v>
      </c>
      <c r="C24" s="76">
        <f>C25-C19-C20</f>
        <v>16</v>
      </c>
      <c r="D24" s="4">
        <f>D25-D19-D20</f>
        <v>25.845792592592034</v>
      </c>
      <c r="E24" s="4">
        <f t="shared" si="2"/>
        <v>1.6153620370370021</v>
      </c>
      <c r="F24" s="81"/>
      <c r="G24" s="81"/>
      <c r="H24" s="81"/>
      <c r="I24" s="81"/>
      <c r="J24" s="44"/>
      <c r="K24" s="44"/>
      <c r="L24" s="92" t="s">
        <v>38</v>
      </c>
      <c r="M24" s="198">
        <f>M17*L17</f>
        <v>1.5463455391637788</v>
      </c>
      <c r="N24" s="199"/>
      <c r="O24" s="44"/>
      <c r="P24" s="41"/>
      <c r="Q24" s="41"/>
      <c r="R24" s="41"/>
      <c r="S24" s="264"/>
      <c r="T24" s="66"/>
      <c r="U24" s="47"/>
      <c r="V24" s="264"/>
      <c r="W24" s="264"/>
      <c r="X24" s="264"/>
      <c r="Y24" s="264"/>
      <c r="Z24" s="269"/>
      <c r="AA24" s="268"/>
      <c r="AB24" s="269"/>
      <c r="AC24" s="263"/>
      <c r="AD24" s="264"/>
      <c r="AE24" s="264"/>
      <c r="AF24" s="264"/>
    </row>
    <row r="25" spans="2:32" ht="15.75" x14ac:dyDescent="0.25">
      <c r="B25" s="84" t="s">
        <v>48</v>
      </c>
      <c r="C25" s="76">
        <f>Q4*Q5*Q3-1</f>
        <v>26</v>
      </c>
      <c r="D25" s="12">
        <f>SUMSQ(C4:E12)-Q7</f>
        <v>116.88705185185245</v>
      </c>
      <c r="E25" s="4">
        <f t="shared" si="2"/>
        <v>4.4956558404558633</v>
      </c>
      <c r="F25" s="81"/>
      <c r="G25" s="81"/>
      <c r="H25" s="81"/>
      <c r="I25" s="81"/>
      <c r="J25" s="44"/>
      <c r="K25" s="44"/>
      <c r="L25" s="97" t="s">
        <v>10</v>
      </c>
      <c r="M25" s="90">
        <f>J9</f>
        <v>6.0533333333333337</v>
      </c>
      <c r="N25" s="163" t="s">
        <v>114</v>
      </c>
      <c r="O25" s="11">
        <f>M25+M$28</f>
        <v>7.5996788724971127</v>
      </c>
      <c r="P25" s="41"/>
      <c r="Q25" s="41"/>
      <c r="R25" s="41"/>
      <c r="S25" s="264"/>
      <c r="T25" s="66"/>
      <c r="U25" s="47"/>
      <c r="V25" s="264"/>
      <c r="W25" s="264"/>
      <c r="X25" s="264"/>
      <c r="Y25" s="264"/>
      <c r="Z25" s="269"/>
      <c r="AA25" s="268"/>
      <c r="AB25" s="269"/>
      <c r="AC25" s="263"/>
      <c r="AD25" s="264"/>
      <c r="AE25" s="264"/>
      <c r="AF25" s="264"/>
    </row>
    <row r="26" spans="2:32" ht="15.75" x14ac:dyDescent="0.25"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98" t="s">
        <v>11</v>
      </c>
      <c r="M26" s="90">
        <f>K9</f>
        <v>6.9966666666666661</v>
      </c>
      <c r="N26" s="163" t="s">
        <v>113</v>
      </c>
      <c r="O26" s="11">
        <f>M26+M$28</f>
        <v>8.5430122058304452</v>
      </c>
      <c r="P26" s="41"/>
      <c r="Q26" s="41"/>
      <c r="R26" s="41"/>
      <c r="S26" s="264"/>
      <c r="T26" s="66"/>
      <c r="U26" s="47"/>
      <c r="V26" s="264"/>
      <c r="W26" s="264"/>
      <c r="X26" s="264"/>
      <c r="Y26" s="264"/>
      <c r="Z26" s="269"/>
      <c r="AA26" s="268"/>
      <c r="AB26" s="269"/>
      <c r="AC26" s="263"/>
      <c r="AD26" s="264"/>
      <c r="AE26" s="264"/>
      <c r="AF26" s="264"/>
    </row>
    <row r="27" spans="2:32" ht="15.75" x14ac:dyDescent="0.25">
      <c r="B27" s="41"/>
      <c r="C27" s="40"/>
      <c r="D27" s="41"/>
      <c r="E27" s="41"/>
      <c r="F27" s="41"/>
      <c r="G27" s="41"/>
      <c r="H27" s="41"/>
      <c r="I27" s="41"/>
      <c r="J27" s="41"/>
      <c r="K27" s="41"/>
      <c r="L27" s="98" t="s">
        <v>12</v>
      </c>
      <c r="M27" s="90">
        <f>L9</f>
        <v>7.6622222222222218</v>
      </c>
      <c r="N27" s="163" t="s">
        <v>115</v>
      </c>
      <c r="O27" s="11">
        <f>M27+M$28</f>
        <v>9.208567761386</v>
      </c>
      <c r="P27" s="41"/>
      <c r="Q27" s="41"/>
      <c r="R27" s="41"/>
      <c r="S27" s="264"/>
      <c r="T27" s="66"/>
      <c r="U27" s="47"/>
      <c r="V27" s="264"/>
      <c r="W27" s="264"/>
      <c r="X27" s="264"/>
      <c r="Y27" s="264"/>
      <c r="Z27" s="269"/>
      <c r="AA27" s="268"/>
      <c r="AB27" s="269"/>
      <c r="AC27" s="263"/>
      <c r="AD27" s="264"/>
      <c r="AE27" s="264"/>
      <c r="AF27" s="264"/>
    </row>
    <row r="28" spans="2:32" ht="15.75" x14ac:dyDescent="0.25">
      <c r="B28" s="41"/>
      <c r="C28" s="40"/>
      <c r="D28" s="41"/>
      <c r="E28" s="41"/>
      <c r="F28" s="41"/>
      <c r="G28" s="41"/>
      <c r="H28" s="41"/>
      <c r="I28" s="41"/>
      <c r="J28" s="41"/>
      <c r="K28" s="41"/>
      <c r="L28" s="92" t="s">
        <v>38</v>
      </c>
      <c r="M28" s="198">
        <f>M17*L17</f>
        <v>1.5463455391637788</v>
      </c>
      <c r="N28" s="199"/>
      <c r="O28" s="41"/>
      <c r="P28" s="41"/>
      <c r="Q28" s="41"/>
      <c r="R28" s="41"/>
      <c r="S28" s="264"/>
      <c r="T28" s="66"/>
      <c r="U28" s="47"/>
      <c r="V28" s="264"/>
      <c r="W28" s="264"/>
      <c r="X28" s="264"/>
      <c r="Y28" s="264"/>
      <c r="Z28" s="269"/>
      <c r="AA28" s="268"/>
      <c r="AB28" s="269"/>
      <c r="AC28" s="263"/>
      <c r="AD28" s="264"/>
      <c r="AE28" s="264"/>
      <c r="AF28" s="264"/>
    </row>
    <row r="29" spans="2:32" ht="15.75" x14ac:dyDescent="0.25">
      <c r="B29" s="41"/>
      <c r="C29" s="40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264"/>
      <c r="T29" s="66"/>
      <c r="U29" s="47"/>
      <c r="V29" s="264"/>
      <c r="W29" s="264"/>
      <c r="X29" s="264"/>
      <c r="Y29" s="264"/>
      <c r="Z29" s="269"/>
      <c r="AA29" s="268"/>
      <c r="AB29" s="269"/>
      <c r="AC29" s="263"/>
      <c r="AD29" s="264"/>
      <c r="AE29" s="264"/>
      <c r="AF29" s="264"/>
    </row>
    <row r="30" spans="2:32" ht="15.75" x14ac:dyDescent="0.25"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264"/>
      <c r="T30" s="66"/>
      <c r="U30" s="47"/>
      <c r="V30" s="264"/>
      <c r="W30" s="264"/>
      <c r="X30" s="264"/>
      <c r="Y30" s="264"/>
      <c r="Z30" s="269"/>
      <c r="AA30" s="268"/>
      <c r="AB30" s="269"/>
      <c r="AC30" s="263"/>
      <c r="AD30" s="264"/>
      <c r="AE30" s="264"/>
      <c r="AF30" s="264"/>
    </row>
    <row r="31" spans="2:32" ht="15.75" x14ac:dyDescent="0.25"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264"/>
      <c r="T31" s="66"/>
      <c r="U31" s="47"/>
      <c r="V31" s="264"/>
      <c r="W31" s="264"/>
      <c r="X31" s="264"/>
      <c r="Y31" s="264"/>
      <c r="Z31" s="264"/>
      <c r="AA31" s="264"/>
      <c r="AB31" s="264"/>
      <c r="AC31" s="264"/>
      <c r="AD31" s="264"/>
      <c r="AE31" s="264"/>
      <c r="AF31" s="264"/>
    </row>
    <row r="32" spans="2:32" ht="15.75" x14ac:dyDescent="0.25"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</row>
    <row r="33" spans="2:32" ht="15.75" x14ac:dyDescent="0.25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</row>
    <row r="34" spans="2:32" ht="15.75" x14ac:dyDescent="0.25"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</row>
    <row r="35" spans="2:32" ht="15.75" x14ac:dyDescent="0.25"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</row>
    <row r="36" spans="2:32" ht="15.75" x14ac:dyDescent="0.25"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</row>
    <row r="37" spans="2:32" ht="15.75" x14ac:dyDescent="0.25"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</row>
    <row r="38" spans="2:32" ht="15.75" x14ac:dyDescent="0.25"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</row>
    <row r="39" spans="2:32" ht="15.75" x14ac:dyDescent="0.25"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</row>
    <row r="40" spans="2:32" ht="15.75" x14ac:dyDescent="0.25"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</row>
    <row r="41" spans="2:32" ht="15.75" x14ac:dyDescent="0.25"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</row>
    <row r="42" spans="2:32" ht="15.75" x14ac:dyDescent="0.25"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</row>
    <row r="43" spans="2:32" ht="15.75" x14ac:dyDescent="0.25"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</row>
    <row r="44" spans="2:32" ht="15.75" x14ac:dyDescent="0.25"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</row>
    <row r="45" spans="2:32" ht="15.75" x14ac:dyDescent="0.25"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</row>
    <row r="46" spans="2:32" ht="15.75" x14ac:dyDescent="0.25"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</row>
    <row r="47" spans="2:32" ht="15.75" x14ac:dyDescent="0.25"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</row>
    <row r="48" spans="2:32" ht="15.75" x14ac:dyDescent="0.25"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</row>
    <row r="49" spans="2:32" ht="15.75" x14ac:dyDescent="0.25"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</row>
    <row r="50" spans="2:32" ht="15.75" x14ac:dyDescent="0.25"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</row>
    <row r="51" spans="2:32" ht="15.75" x14ac:dyDescent="0.25"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</row>
    <row r="52" spans="2:32" ht="15.75" x14ac:dyDescent="0.25"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</row>
    <row r="53" spans="2:32" ht="15.75" x14ac:dyDescent="0.25"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</row>
    <row r="54" spans="2:32" ht="15.75" x14ac:dyDescent="0.25"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</row>
    <row r="55" spans="2:32" ht="15.75" x14ac:dyDescent="0.25"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</row>
    <row r="56" spans="2:32" ht="15.75" x14ac:dyDescent="0.25"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</row>
    <row r="57" spans="2:32" ht="15.75" x14ac:dyDescent="0.25"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</row>
    <row r="58" spans="2:32" ht="15.75" x14ac:dyDescent="0.25"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</row>
    <row r="59" spans="2:32" ht="15.75" x14ac:dyDescent="0.25"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</row>
    <row r="60" spans="2:32" ht="15.75" x14ac:dyDescent="0.25"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</row>
    <row r="61" spans="2:32" ht="15.75" x14ac:dyDescent="0.25"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</row>
    <row r="62" spans="2:32" ht="15.75" x14ac:dyDescent="0.25"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</row>
    <row r="63" spans="2:32" ht="15.75" x14ac:dyDescent="0.25"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</row>
    <row r="64" spans="2:32" ht="15.75" x14ac:dyDescent="0.25"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</row>
    <row r="65" spans="2:32" ht="15.75" x14ac:dyDescent="0.25"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</row>
    <row r="66" spans="2:32" ht="15.75" x14ac:dyDescent="0.25"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</row>
    <row r="67" spans="2:32" ht="15.75" x14ac:dyDescent="0.25"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</row>
    <row r="68" spans="2:32" ht="15.75" x14ac:dyDescent="0.25"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</row>
    <row r="69" spans="2:32" ht="15.75" x14ac:dyDescent="0.25"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</row>
    <row r="70" spans="2:32" ht="15.75" x14ac:dyDescent="0.25"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</row>
    <row r="71" spans="2:32" ht="15.75" x14ac:dyDescent="0.25"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</row>
    <row r="72" spans="2:32" ht="15.75" x14ac:dyDescent="0.25"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</row>
    <row r="73" spans="2:32" ht="15.75" x14ac:dyDescent="0.25"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</row>
    <row r="74" spans="2:32" ht="15.75" x14ac:dyDescent="0.25"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</row>
    <row r="75" spans="2:32" ht="15.75" x14ac:dyDescent="0.25"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</row>
    <row r="76" spans="2:32" ht="15.75" x14ac:dyDescent="0.25"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</row>
    <row r="77" spans="2:32" ht="15.75" x14ac:dyDescent="0.25"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</row>
    <row r="78" spans="2:32" ht="15.75" x14ac:dyDescent="0.25"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</row>
    <row r="79" spans="2:32" ht="15.75" x14ac:dyDescent="0.25"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</row>
    <row r="80" spans="2:32" ht="15.75" x14ac:dyDescent="0.25"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</row>
    <row r="81" spans="2:32" ht="15.75" x14ac:dyDescent="0.25"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</row>
    <row r="82" spans="2:32" ht="15.75" x14ac:dyDescent="0.25"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</row>
    <row r="83" spans="2:32" ht="15.75" x14ac:dyDescent="0.25"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</row>
  </sheetData>
  <mergeCells count="19">
    <mergeCell ref="M18:N18"/>
    <mergeCell ref="M24:N24"/>
    <mergeCell ref="M28:N28"/>
    <mergeCell ref="B16:I16"/>
    <mergeCell ref="B17:B18"/>
    <mergeCell ref="C17:C18"/>
    <mergeCell ref="D17:D18"/>
    <mergeCell ref="E17:E18"/>
    <mergeCell ref="F17:F18"/>
    <mergeCell ref="G17:H17"/>
    <mergeCell ref="I17:I18"/>
    <mergeCell ref="B2:E2"/>
    <mergeCell ref="F2:F3"/>
    <mergeCell ref="G2:G3"/>
    <mergeCell ref="I2:N2"/>
    <mergeCell ref="I3:I4"/>
    <mergeCell ref="J3:L3"/>
    <mergeCell ref="M3:M4"/>
    <mergeCell ref="N3:N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51"/>
  <sheetViews>
    <sheetView topLeftCell="L1" zoomScale="85" zoomScaleNormal="85" workbookViewId="0">
      <selection activeCell="Z1" sqref="Z1:AI33"/>
    </sheetView>
  </sheetViews>
  <sheetFormatPr defaultRowHeight="15" x14ac:dyDescent="0.25"/>
  <cols>
    <col min="1" max="1" width="9.7109375" customWidth="1"/>
    <col min="2" max="2" width="17.85546875" customWidth="1"/>
    <col min="4" max="4" width="13.140625" customWidth="1"/>
    <col min="5" max="5" width="14.28515625" customWidth="1"/>
    <col min="6" max="6" width="10.7109375" customWidth="1"/>
    <col min="7" max="7" width="10.42578125" customWidth="1"/>
    <col min="9" max="9" width="12.42578125" customWidth="1"/>
    <col min="10" max="10" width="11.28515625" customWidth="1"/>
    <col min="11" max="11" width="14.28515625" customWidth="1"/>
    <col min="12" max="12" width="13.7109375" customWidth="1"/>
    <col min="13" max="13" width="11.85546875" customWidth="1"/>
    <col min="14" max="14" width="14.7109375" customWidth="1"/>
    <col min="16" max="16" width="19.5703125" customWidth="1"/>
    <col min="17" max="17" width="15.140625" customWidth="1"/>
    <col min="18" max="18" width="13.85546875" customWidth="1"/>
    <col min="19" max="19" width="11.5703125" customWidth="1"/>
    <col min="26" max="26" width="19.42578125" customWidth="1"/>
    <col min="27" max="27" width="17.85546875" customWidth="1"/>
    <col min="28" max="28" width="11.5703125" customWidth="1"/>
    <col min="29" max="29" width="14.5703125" customWidth="1"/>
    <col min="32" max="33" width="10.42578125" customWidth="1"/>
    <col min="34" max="34" width="9.7109375" customWidth="1"/>
  </cols>
  <sheetData>
    <row r="1" spans="2:35" x14ac:dyDescent="0.25">
      <c r="Z1" s="172"/>
      <c r="AA1" s="172"/>
      <c r="AB1" s="172"/>
      <c r="AC1" s="172"/>
      <c r="AD1" s="172"/>
      <c r="AE1" s="172"/>
      <c r="AF1" s="172"/>
      <c r="AG1" s="172"/>
      <c r="AH1" s="172"/>
      <c r="AI1" s="172"/>
    </row>
    <row r="2" spans="2:35" ht="15.75" x14ac:dyDescent="0.25">
      <c r="B2" s="208" t="s">
        <v>0</v>
      </c>
      <c r="C2" s="209"/>
      <c r="D2" s="209"/>
      <c r="E2" s="210"/>
      <c r="F2" s="211" t="s">
        <v>1</v>
      </c>
      <c r="G2" s="211" t="s">
        <v>2</v>
      </c>
      <c r="H2" s="3"/>
      <c r="I2" s="208" t="s">
        <v>3</v>
      </c>
      <c r="J2" s="209"/>
      <c r="K2" s="209"/>
      <c r="L2" s="209"/>
      <c r="M2" s="209"/>
      <c r="N2" s="210"/>
      <c r="O2" s="3"/>
      <c r="P2" s="133" t="s">
        <v>4</v>
      </c>
      <c r="Q2" s="55">
        <v>9</v>
      </c>
      <c r="R2" s="3"/>
      <c r="S2" s="3"/>
      <c r="T2" s="106"/>
      <c r="U2" s="106"/>
      <c r="V2" s="106"/>
      <c r="Z2" s="266"/>
      <c r="AA2" s="266"/>
      <c r="AB2" s="266"/>
      <c r="AC2" s="266"/>
      <c r="AD2" s="172"/>
      <c r="AE2" s="68"/>
      <c r="AF2" s="68"/>
      <c r="AG2" s="68"/>
      <c r="AH2" s="68"/>
      <c r="AI2" s="68"/>
    </row>
    <row r="3" spans="2:35" ht="15.75" x14ac:dyDescent="0.25">
      <c r="B3" s="130" t="s">
        <v>5</v>
      </c>
      <c r="C3" s="130">
        <v>1</v>
      </c>
      <c r="D3" s="130">
        <v>2</v>
      </c>
      <c r="E3" s="130">
        <v>3</v>
      </c>
      <c r="F3" s="212"/>
      <c r="G3" s="212"/>
      <c r="H3" s="3"/>
      <c r="I3" s="211" t="s">
        <v>6</v>
      </c>
      <c r="J3" s="208" t="s">
        <v>7</v>
      </c>
      <c r="K3" s="209"/>
      <c r="L3" s="210"/>
      <c r="M3" s="211" t="s">
        <v>1</v>
      </c>
      <c r="N3" s="211" t="s">
        <v>2</v>
      </c>
      <c r="O3" s="3"/>
      <c r="P3" s="133" t="s">
        <v>8</v>
      </c>
      <c r="Q3" s="55">
        <v>3</v>
      </c>
      <c r="R3" s="3"/>
      <c r="S3" s="3"/>
      <c r="T3" s="106"/>
      <c r="U3" s="106"/>
      <c r="V3" s="106"/>
      <c r="Z3" s="268"/>
      <c r="AA3" s="268"/>
      <c r="AB3" s="268"/>
      <c r="AC3" s="268"/>
      <c r="AD3" s="172"/>
      <c r="AE3" s="68"/>
      <c r="AF3" s="47"/>
      <c r="AG3" s="47"/>
      <c r="AH3" s="47"/>
      <c r="AI3" s="267"/>
    </row>
    <row r="4" spans="2:35" ht="15.75" x14ac:dyDescent="0.25">
      <c r="B4" s="55" t="s">
        <v>9</v>
      </c>
      <c r="C4" s="4">
        <v>384.83</v>
      </c>
      <c r="D4" s="4">
        <v>320.60000000000002</v>
      </c>
      <c r="E4" s="4">
        <v>280.11</v>
      </c>
      <c r="F4" s="116">
        <f>SUM(C4:E4)</f>
        <v>985.54000000000008</v>
      </c>
      <c r="G4" s="5">
        <f>AVERAGE(C4:E4)</f>
        <v>328.51333333333338</v>
      </c>
      <c r="H4" s="3"/>
      <c r="I4" s="212"/>
      <c r="J4" s="130" t="s">
        <v>10</v>
      </c>
      <c r="K4" s="130" t="s">
        <v>11</v>
      </c>
      <c r="L4" s="130" t="s">
        <v>12</v>
      </c>
      <c r="M4" s="212"/>
      <c r="N4" s="212"/>
      <c r="O4" s="3"/>
      <c r="P4" s="133" t="s">
        <v>13</v>
      </c>
      <c r="Q4" s="55">
        <v>3</v>
      </c>
      <c r="R4" s="3"/>
      <c r="S4" s="3"/>
      <c r="T4" s="106"/>
      <c r="U4" s="106"/>
      <c r="V4" s="106"/>
      <c r="Z4" s="269"/>
      <c r="AA4" s="269"/>
      <c r="AB4" s="269"/>
      <c r="AC4" s="270"/>
      <c r="AD4" s="172"/>
      <c r="AE4" s="68"/>
      <c r="AF4" s="47"/>
      <c r="AG4" s="47"/>
      <c r="AH4" s="47"/>
      <c r="AI4" s="267"/>
    </row>
    <row r="5" spans="2:35" ht="15.75" x14ac:dyDescent="0.25">
      <c r="B5" s="55" t="s">
        <v>14</v>
      </c>
      <c r="C5" s="4">
        <v>127.61</v>
      </c>
      <c r="D5" s="4">
        <v>150.69999999999999</v>
      </c>
      <c r="E5" s="4">
        <v>237.6</v>
      </c>
      <c r="F5" s="116">
        <f t="shared" ref="F5:F7" si="0">SUM(C5:E5)</f>
        <v>515.91</v>
      </c>
      <c r="G5" s="5">
        <f t="shared" ref="G5:G12" si="1">AVERAGE(C5:E5)</f>
        <v>171.97</v>
      </c>
      <c r="H5" s="3"/>
      <c r="I5" s="55" t="s">
        <v>15</v>
      </c>
      <c r="J5" s="122">
        <f>F4</f>
        <v>985.54000000000008</v>
      </c>
      <c r="K5" s="122">
        <f>F5</f>
        <v>515.91</v>
      </c>
      <c r="L5" s="122">
        <f>F6</f>
        <v>494.34999999999997</v>
      </c>
      <c r="M5" s="4">
        <f>SUM(J5:L5)</f>
        <v>1995.8</v>
      </c>
      <c r="N5" s="6">
        <f>M5/Q2</f>
        <v>221.75555555555556</v>
      </c>
      <c r="O5" s="3"/>
      <c r="P5" s="133" t="s">
        <v>16</v>
      </c>
      <c r="Q5" s="55">
        <v>3</v>
      </c>
      <c r="R5" s="3"/>
      <c r="S5" s="3"/>
      <c r="T5" s="106"/>
      <c r="U5" s="106"/>
      <c r="V5" s="106"/>
      <c r="Z5" s="269"/>
      <c r="AA5" s="269"/>
      <c r="AB5" s="269"/>
      <c r="AC5" s="270"/>
      <c r="AD5" s="172"/>
      <c r="AE5" s="68"/>
      <c r="AF5" s="47"/>
      <c r="AG5" s="47"/>
      <c r="AH5" s="47"/>
      <c r="AI5" s="267"/>
    </row>
    <row r="6" spans="2:35" ht="15.75" x14ac:dyDescent="0.25">
      <c r="B6" s="55" t="s">
        <v>17</v>
      </c>
      <c r="C6" s="4">
        <v>143.31</v>
      </c>
      <c r="D6" s="4">
        <v>205.72</v>
      </c>
      <c r="E6" s="4">
        <v>145.32</v>
      </c>
      <c r="F6" s="116">
        <f t="shared" si="0"/>
        <v>494.34999999999997</v>
      </c>
      <c r="G6" s="5">
        <f t="shared" si="1"/>
        <v>164.78333333333333</v>
      </c>
      <c r="H6" s="3"/>
      <c r="I6" s="55" t="s">
        <v>18</v>
      </c>
      <c r="J6" s="122">
        <f>F7</f>
        <v>557.43000000000006</v>
      </c>
      <c r="K6" s="122">
        <f>F8</f>
        <v>566</v>
      </c>
      <c r="L6" s="122">
        <f>F9</f>
        <v>452.74</v>
      </c>
      <c r="M6" s="4">
        <f t="shared" ref="M6:M7" si="2">SUM(J6:L6)</f>
        <v>1576.17</v>
      </c>
      <c r="N6" s="6">
        <f>M6/Q2</f>
        <v>175.13</v>
      </c>
      <c r="O6" s="3"/>
      <c r="P6" s="3"/>
      <c r="Q6" s="3"/>
      <c r="R6" s="3"/>
      <c r="S6" s="3"/>
      <c r="T6" s="106"/>
      <c r="U6" s="106"/>
      <c r="V6" s="106"/>
      <c r="Z6" s="269"/>
      <c r="AA6" s="269"/>
      <c r="AB6" s="269"/>
      <c r="AC6" s="270"/>
      <c r="AD6" s="172"/>
      <c r="AE6" s="267"/>
      <c r="AF6" s="47"/>
      <c r="AG6" s="47"/>
      <c r="AH6" s="47"/>
      <c r="AI6" s="267"/>
    </row>
    <row r="7" spans="2:35" ht="15.75" x14ac:dyDescent="0.25">
      <c r="B7" s="55" t="s">
        <v>19</v>
      </c>
      <c r="C7" s="4">
        <v>247.72</v>
      </c>
      <c r="D7" s="4">
        <v>154.62</v>
      </c>
      <c r="E7" s="4">
        <v>155.09</v>
      </c>
      <c r="F7" s="116">
        <f t="shared" si="0"/>
        <v>557.43000000000006</v>
      </c>
      <c r="G7" s="5">
        <f>AVERAGE(C7:E7)</f>
        <v>185.81000000000003</v>
      </c>
      <c r="H7" s="3"/>
      <c r="I7" s="55" t="s">
        <v>20</v>
      </c>
      <c r="J7" s="122">
        <f>F10</f>
        <v>324.26</v>
      </c>
      <c r="K7" s="122">
        <f>F11</f>
        <v>294.75</v>
      </c>
      <c r="L7" s="122">
        <f>F12</f>
        <v>226.8</v>
      </c>
      <c r="M7" s="4">
        <f t="shared" si="2"/>
        <v>845.81</v>
      </c>
      <c r="N7" s="6">
        <f>M7/Q2</f>
        <v>93.978888888888889</v>
      </c>
      <c r="O7" s="3"/>
      <c r="P7" s="183" t="s">
        <v>21</v>
      </c>
      <c r="Q7" s="184">
        <f>F13^2/(Q4*Q5*Q3)</f>
        <v>722843.70845925948</v>
      </c>
      <c r="R7" s="3"/>
      <c r="S7" s="3"/>
      <c r="T7" s="106"/>
      <c r="U7" s="106"/>
      <c r="V7" s="106"/>
      <c r="Z7" s="269"/>
      <c r="AA7" s="268"/>
      <c r="AB7" s="269"/>
      <c r="AC7" s="270"/>
      <c r="AD7" s="172"/>
      <c r="AE7" s="267"/>
      <c r="AF7" s="47"/>
      <c r="AG7" s="47"/>
      <c r="AH7" s="47"/>
      <c r="AI7" s="267"/>
    </row>
    <row r="8" spans="2:35" ht="15.75" x14ac:dyDescent="0.25">
      <c r="B8" s="55" t="s">
        <v>22</v>
      </c>
      <c r="C8" s="4">
        <v>134.44999999999999</v>
      </c>
      <c r="D8" s="4">
        <v>256.82</v>
      </c>
      <c r="E8" s="4">
        <v>174.73</v>
      </c>
      <c r="F8" s="116">
        <f t="shared" ref="F8" si="3">SUM(C8:E8)</f>
        <v>566</v>
      </c>
      <c r="G8" s="5">
        <f t="shared" si="1"/>
        <v>188.66666666666666</v>
      </c>
      <c r="H8" s="3"/>
      <c r="I8" s="130" t="s">
        <v>1</v>
      </c>
      <c r="J8" s="4">
        <f>SUM(J5:J7)</f>
        <v>1867.2300000000002</v>
      </c>
      <c r="K8" s="4">
        <f t="shared" ref="K8:M8" si="4">SUM(K5:K7)</f>
        <v>1376.6599999999999</v>
      </c>
      <c r="L8" s="4">
        <f t="shared" si="4"/>
        <v>1173.8899999999999</v>
      </c>
      <c r="M8" s="23">
        <f t="shared" si="4"/>
        <v>4417.7800000000007</v>
      </c>
      <c r="N8" s="127"/>
      <c r="O8" s="3"/>
      <c r="P8" s="185" t="s">
        <v>49</v>
      </c>
      <c r="Q8" s="186">
        <f>(SQRT(E24)/G13)*100</f>
        <v>27.831641917111131</v>
      </c>
      <c r="R8" s="3"/>
      <c r="S8" s="3"/>
      <c r="T8" s="106"/>
      <c r="U8" s="106"/>
      <c r="V8" s="106"/>
      <c r="Z8" s="269"/>
      <c r="AA8" s="268"/>
      <c r="AB8" s="269"/>
      <c r="AC8" s="270"/>
      <c r="AD8" s="172"/>
      <c r="AE8" s="267"/>
      <c r="AF8" s="47"/>
      <c r="AG8" s="47"/>
      <c r="AH8" s="47"/>
      <c r="AI8" s="267"/>
    </row>
    <row r="9" spans="2:35" ht="15.75" x14ac:dyDescent="0.25">
      <c r="B9" s="55" t="s">
        <v>23</v>
      </c>
      <c r="C9" s="4">
        <v>130.4</v>
      </c>
      <c r="D9" s="4">
        <v>218.33</v>
      </c>
      <c r="E9" s="4">
        <v>104.01</v>
      </c>
      <c r="F9" s="116">
        <f t="shared" ref="F9:F10" si="5">SUM(C9:E9)</f>
        <v>452.74</v>
      </c>
      <c r="G9" s="5">
        <f t="shared" si="1"/>
        <v>150.91333333333333</v>
      </c>
      <c r="H9" s="3"/>
      <c r="I9" s="130" t="s">
        <v>2</v>
      </c>
      <c r="J9" s="6">
        <f>J8/Q2</f>
        <v>207.47000000000003</v>
      </c>
      <c r="K9" s="6">
        <f>K8/Q2</f>
        <v>152.96222222222221</v>
      </c>
      <c r="L9" s="6">
        <f>L8/Q2</f>
        <v>130.43222222222221</v>
      </c>
      <c r="M9" s="127"/>
      <c r="N9" s="127"/>
      <c r="O9" s="3"/>
      <c r="P9" s="3"/>
      <c r="Q9" s="3"/>
      <c r="R9" s="3"/>
      <c r="S9" s="3"/>
      <c r="T9" s="106"/>
      <c r="U9" s="106"/>
      <c r="V9" s="106"/>
      <c r="Z9" s="269"/>
      <c r="AA9" s="268"/>
      <c r="AB9" s="269"/>
      <c r="AC9" s="270"/>
      <c r="AD9" s="172"/>
      <c r="AE9" s="68"/>
      <c r="AF9" s="47"/>
      <c r="AG9" s="47"/>
      <c r="AH9" s="47"/>
      <c r="AI9" s="267"/>
    </row>
    <row r="10" spans="2:35" ht="15.75" x14ac:dyDescent="0.25">
      <c r="B10" s="55" t="s">
        <v>24</v>
      </c>
      <c r="C10" s="4">
        <v>130.91</v>
      </c>
      <c r="D10" s="4">
        <v>107.66</v>
      </c>
      <c r="E10" s="4">
        <v>85.69</v>
      </c>
      <c r="F10" s="116">
        <f t="shared" si="5"/>
        <v>324.26</v>
      </c>
      <c r="G10" s="5">
        <f t="shared" si="1"/>
        <v>108.08666666666666</v>
      </c>
      <c r="H10" s="3"/>
      <c r="I10" s="3"/>
      <c r="J10" s="3"/>
      <c r="K10" s="3"/>
      <c r="L10" s="3"/>
      <c r="M10" s="3"/>
      <c r="N10" s="3"/>
      <c r="O10" s="3"/>
      <c r="P10" s="3"/>
      <c r="Q10" s="106"/>
      <c r="R10" s="106"/>
      <c r="Z10" s="269"/>
      <c r="AA10" s="268"/>
      <c r="AB10" s="269"/>
      <c r="AC10" s="270"/>
      <c r="AD10" s="172"/>
      <c r="AE10" s="68"/>
      <c r="AF10" s="47"/>
      <c r="AG10" s="47"/>
      <c r="AH10" s="47"/>
      <c r="AI10" s="267"/>
    </row>
    <row r="11" spans="2:35" ht="15.75" x14ac:dyDescent="0.25">
      <c r="B11" s="55" t="s">
        <v>25</v>
      </c>
      <c r="C11" s="4">
        <v>100.44</v>
      </c>
      <c r="D11" s="4">
        <v>110.75</v>
      </c>
      <c r="E11" s="4">
        <v>83.56</v>
      </c>
      <c r="F11" s="116">
        <f t="shared" ref="F11:F12" si="6">SUM(C11:E11)</f>
        <v>294.75</v>
      </c>
      <c r="G11" s="5">
        <f t="shared" si="1"/>
        <v>98.25</v>
      </c>
      <c r="H11" s="3"/>
      <c r="I11" s="3"/>
      <c r="J11" s="3"/>
      <c r="K11" s="3"/>
      <c r="L11" s="3"/>
      <c r="M11" s="3"/>
      <c r="N11" s="3"/>
      <c r="O11" s="3"/>
      <c r="P11" s="3"/>
      <c r="Z11" s="269"/>
      <c r="AA11" s="268"/>
      <c r="AB11" s="269"/>
      <c r="AC11" s="270"/>
      <c r="AD11" s="172"/>
      <c r="AE11" s="68"/>
      <c r="AF11" s="47"/>
      <c r="AG11" s="47"/>
      <c r="AH11" s="47"/>
      <c r="AI11" s="267"/>
    </row>
    <row r="12" spans="2:35" ht="15.75" x14ac:dyDescent="0.25">
      <c r="B12" s="55" t="s">
        <v>26</v>
      </c>
      <c r="C12" s="4">
        <v>77.7</v>
      </c>
      <c r="D12" s="4">
        <v>74.67</v>
      </c>
      <c r="E12" s="4">
        <v>74.430000000000007</v>
      </c>
      <c r="F12" s="116">
        <f t="shared" si="6"/>
        <v>226.8</v>
      </c>
      <c r="G12" s="5">
        <f t="shared" si="1"/>
        <v>75.600000000000009</v>
      </c>
      <c r="H12" s="3"/>
      <c r="I12" s="3"/>
      <c r="J12" s="3"/>
      <c r="K12" s="3"/>
      <c r="L12" s="3"/>
      <c r="M12" s="3"/>
      <c r="N12" s="3"/>
      <c r="O12" s="3"/>
      <c r="P12" s="3"/>
      <c r="R12" s="47"/>
      <c r="S12" s="47"/>
      <c r="T12" s="47"/>
      <c r="U12" s="171"/>
      <c r="V12" s="172"/>
      <c r="W12" s="172"/>
      <c r="Z12" s="269"/>
      <c r="AA12" s="268"/>
      <c r="AB12" s="269"/>
      <c r="AC12" s="270"/>
      <c r="AD12" s="172"/>
      <c r="AE12" s="68"/>
      <c r="AF12" s="47"/>
      <c r="AG12" s="47"/>
      <c r="AH12" s="47"/>
      <c r="AI12" s="267"/>
    </row>
    <row r="13" spans="2:35" ht="15.75" x14ac:dyDescent="0.25">
      <c r="B13" s="130" t="s">
        <v>1</v>
      </c>
      <c r="C13" s="7">
        <f>SUM(C4:C12)</f>
        <v>1477.3700000000003</v>
      </c>
      <c r="D13" s="7">
        <f t="shared" ref="D13:F13" si="7">SUM(D4:D12)</f>
        <v>1599.8700000000001</v>
      </c>
      <c r="E13" s="4">
        <f t="shared" si="7"/>
        <v>1340.5400000000002</v>
      </c>
      <c r="F13" s="134">
        <f t="shared" si="7"/>
        <v>4417.7800000000007</v>
      </c>
      <c r="G13" s="7">
        <f>AVERAGE(G4:G12)</f>
        <v>163.62148148148148</v>
      </c>
      <c r="H13" s="3"/>
      <c r="I13" s="3"/>
      <c r="J13" s="3"/>
      <c r="K13" s="3"/>
      <c r="L13" s="3"/>
      <c r="M13" s="3"/>
      <c r="N13" s="3"/>
      <c r="O13" s="3"/>
      <c r="P13" s="3"/>
      <c r="R13" s="47"/>
      <c r="S13" s="47"/>
      <c r="T13" s="47"/>
      <c r="U13" s="171"/>
      <c r="V13" s="172"/>
      <c r="W13" s="172"/>
      <c r="Z13" s="269"/>
      <c r="AA13" s="268"/>
      <c r="AB13" s="269"/>
      <c r="AC13" s="270"/>
      <c r="AD13" s="172"/>
      <c r="AE13" s="68"/>
      <c r="AF13" s="47"/>
      <c r="AG13" s="47"/>
      <c r="AH13" s="47"/>
      <c r="AI13" s="267"/>
    </row>
    <row r="14" spans="2:35" ht="15.75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R14" s="47"/>
      <c r="S14" s="47"/>
      <c r="T14" s="47"/>
      <c r="U14" s="171"/>
      <c r="V14" s="172"/>
      <c r="W14" s="172"/>
      <c r="Z14" s="269"/>
      <c r="AA14" s="268"/>
      <c r="AB14" s="269"/>
      <c r="AC14" s="270"/>
      <c r="AD14" s="172"/>
      <c r="AE14" s="68"/>
      <c r="AF14" s="47"/>
      <c r="AG14" s="47"/>
      <c r="AH14" s="47"/>
      <c r="AI14" s="267"/>
    </row>
    <row r="15" spans="2:35" ht="15.75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R15" s="47"/>
      <c r="S15" s="47"/>
      <c r="T15" s="47"/>
      <c r="U15" s="171"/>
      <c r="V15" s="172"/>
      <c r="W15" s="172"/>
      <c r="Z15" s="269"/>
      <c r="AA15" s="268"/>
      <c r="AB15" s="269"/>
      <c r="AC15" s="270"/>
      <c r="AD15" s="172"/>
      <c r="AE15" s="68"/>
      <c r="AF15" s="47"/>
      <c r="AG15" s="47"/>
      <c r="AH15" s="47"/>
      <c r="AI15" s="267"/>
    </row>
    <row r="16" spans="2:35" ht="15.75" x14ac:dyDescent="0.25">
      <c r="B16" s="213" t="s">
        <v>80</v>
      </c>
      <c r="C16" s="213"/>
      <c r="D16" s="213"/>
      <c r="E16" s="213"/>
      <c r="F16" s="213"/>
      <c r="G16" s="213"/>
      <c r="H16" s="213"/>
      <c r="I16" s="213"/>
      <c r="J16" s="3"/>
      <c r="K16" s="3"/>
      <c r="L16" s="129" t="s">
        <v>28</v>
      </c>
      <c r="M16" s="129" t="s">
        <v>29</v>
      </c>
      <c r="N16" s="129" t="s">
        <v>30</v>
      </c>
      <c r="O16" s="3"/>
      <c r="P16" s="3"/>
      <c r="Q16" s="129" t="s">
        <v>118</v>
      </c>
      <c r="R16" s="129" t="s">
        <v>29</v>
      </c>
      <c r="S16" s="129" t="s">
        <v>30</v>
      </c>
      <c r="T16" s="47"/>
      <c r="U16" s="171"/>
      <c r="V16" s="172"/>
      <c r="W16" s="172"/>
      <c r="Z16" s="269"/>
      <c r="AA16" s="268"/>
      <c r="AB16" s="269"/>
      <c r="AC16" s="270"/>
      <c r="AD16" s="172"/>
      <c r="AE16" s="68"/>
      <c r="AF16" s="47"/>
      <c r="AG16" s="47"/>
      <c r="AH16" s="47"/>
      <c r="AI16" s="267"/>
    </row>
    <row r="17" spans="2:35" ht="15.75" x14ac:dyDescent="0.25">
      <c r="B17" s="203" t="s">
        <v>31</v>
      </c>
      <c r="C17" s="203" t="s">
        <v>32</v>
      </c>
      <c r="D17" s="203" t="s">
        <v>33</v>
      </c>
      <c r="E17" s="203" t="s">
        <v>34</v>
      </c>
      <c r="F17" s="203" t="s">
        <v>35</v>
      </c>
      <c r="G17" s="203" t="s">
        <v>36</v>
      </c>
      <c r="H17" s="203"/>
      <c r="I17" s="203" t="s">
        <v>37</v>
      </c>
      <c r="J17" s="3"/>
      <c r="K17" s="3"/>
      <c r="L17" s="4">
        <f>SQRT(E24/Q2)</f>
        <v>15.179514941799408</v>
      </c>
      <c r="M17" s="103">
        <v>3.65</v>
      </c>
      <c r="N17" s="4">
        <f>L17*M17</f>
        <v>55.405229537567834</v>
      </c>
      <c r="O17" s="3"/>
      <c r="P17" s="3"/>
      <c r="Q17" s="4">
        <f>SQRT(E24/Q3)</f>
        <v>26.291691113447506</v>
      </c>
      <c r="R17" s="166">
        <v>5.03</v>
      </c>
      <c r="S17" s="4">
        <f>Q17*R17</f>
        <v>132.24720630064095</v>
      </c>
      <c r="T17" s="47"/>
      <c r="U17" s="171"/>
      <c r="V17" s="172"/>
      <c r="W17" s="172"/>
      <c r="Z17" s="269"/>
      <c r="AA17" s="268"/>
      <c r="AB17" s="269"/>
      <c r="AC17" s="270"/>
      <c r="AD17" s="172"/>
      <c r="AE17" s="68"/>
      <c r="AF17" s="47"/>
      <c r="AG17" s="47"/>
      <c r="AH17" s="47"/>
      <c r="AI17" s="267"/>
    </row>
    <row r="18" spans="2:35" ht="15.75" x14ac:dyDescent="0.25">
      <c r="B18" s="203"/>
      <c r="C18" s="203"/>
      <c r="D18" s="203"/>
      <c r="E18" s="203"/>
      <c r="F18" s="203"/>
      <c r="G18" s="108">
        <v>0.05</v>
      </c>
      <c r="H18" s="108">
        <v>0.01</v>
      </c>
      <c r="I18" s="203"/>
      <c r="J18" s="3"/>
      <c r="K18" s="3"/>
      <c r="L18" s="102" t="s">
        <v>38</v>
      </c>
      <c r="M18" s="205">
        <f>M17*L17</f>
        <v>55.405229537567834</v>
      </c>
      <c r="N18" s="206"/>
      <c r="O18" s="3"/>
      <c r="P18" s="3"/>
      <c r="Q18" s="164" t="s">
        <v>38</v>
      </c>
      <c r="R18" s="205">
        <f>R17*Q17</f>
        <v>132.24720630064095</v>
      </c>
      <c r="S18" s="206"/>
      <c r="T18" s="47"/>
      <c r="U18" s="171"/>
      <c r="V18" s="172"/>
      <c r="W18" s="172"/>
      <c r="Z18" s="269"/>
      <c r="AA18" s="268"/>
      <c r="AB18" s="269"/>
      <c r="AC18" s="270"/>
      <c r="AD18" s="172"/>
      <c r="AE18" s="68"/>
      <c r="AF18" s="47"/>
      <c r="AG18" s="47"/>
      <c r="AH18" s="47"/>
      <c r="AI18" s="267"/>
    </row>
    <row r="19" spans="2:35" ht="15.75" x14ac:dyDescent="0.25">
      <c r="B19" s="110" t="s">
        <v>39</v>
      </c>
      <c r="C19" s="103">
        <f>Q3-1</f>
        <v>2</v>
      </c>
      <c r="D19" s="4">
        <f>SUMSQ(C13:E13)/(Q4*Q5)-Q7</f>
        <v>3740.0276962963399</v>
      </c>
      <c r="E19" s="4">
        <f t="shared" ref="E19:E24" si="8">D19/C19</f>
        <v>1870.0138481481699</v>
      </c>
      <c r="F19" s="82">
        <f>E19/E24</f>
        <v>0.90175077706781293</v>
      </c>
      <c r="G19" s="4">
        <f>FINV(G18,C19,C24)</f>
        <v>3.6337234675916301</v>
      </c>
      <c r="H19" s="4">
        <f>FINV(H18,C19,C24)</f>
        <v>6.2262352803113821</v>
      </c>
      <c r="I19" s="23" t="str">
        <f>IF(F19&lt;G19,"tn",IF(F19&lt;H19,"*","**"))</f>
        <v>tn</v>
      </c>
      <c r="J19" s="3"/>
      <c r="K19" s="3"/>
      <c r="L19" s="3"/>
      <c r="M19" s="3"/>
      <c r="N19" s="3"/>
      <c r="O19" s="3"/>
      <c r="P19" s="3"/>
      <c r="Q19" s="106"/>
      <c r="R19" s="47"/>
      <c r="S19" s="47"/>
      <c r="T19" s="47"/>
      <c r="U19" s="171"/>
      <c r="V19" s="172"/>
      <c r="W19" s="172"/>
      <c r="Z19" s="269"/>
      <c r="AA19" s="268"/>
      <c r="AB19" s="269"/>
      <c r="AC19" s="270"/>
      <c r="AD19" s="172"/>
      <c r="AE19" s="68"/>
      <c r="AF19" s="47"/>
      <c r="AG19" s="47"/>
      <c r="AH19" s="47"/>
      <c r="AI19" s="267"/>
    </row>
    <row r="20" spans="2:35" ht="15.75" x14ac:dyDescent="0.25">
      <c r="B20" s="110" t="s">
        <v>40</v>
      </c>
      <c r="C20" s="103">
        <f>Q4*Q5-1</f>
        <v>8</v>
      </c>
      <c r="D20" s="4">
        <f>SUMSQ(F4:F12)/Q3-Q7</f>
        <v>130940.35980740737</v>
      </c>
      <c r="E20" s="4">
        <f t="shared" si="8"/>
        <v>16367.544975925921</v>
      </c>
      <c r="F20" s="82">
        <f>E20/E24</f>
        <v>7.8926936371885716</v>
      </c>
      <c r="G20" s="4">
        <f>FINV(G18,C20,C24)</f>
        <v>2.5910961798744014</v>
      </c>
      <c r="H20" s="4">
        <f>FINV(H18,C20,C24)</f>
        <v>3.8895721399261927</v>
      </c>
      <c r="I20" s="19" t="str">
        <f t="shared" ref="I20:I23" si="9">IF(F20&lt;G20,"tn",IF(F20&lt;H20,"*","**"))</f>
        <v>**</v>
      </c>
      <c r="J20" s="3" t="s">
        <v>112</v>
      </c>
      <c r="K20" s="3"/>
      <c r="L20" s="135" t="s">
        <v>40</v>
      </c>
      <c r="M20" s="135" t="s">
        <v>41</v>
      </c>
      <c r="N20" s="135" t="s">
        <v>42</v>
      </c>
      <c r="O20" s="3"/>
      <c r="P20" s="3"/>
      <c r="Q20" s="129" t="s">
        <v>40</v>
      </c>
      <c r="R20" s="129" t="s">
        <v>41</v>
      </c>
      <c r="S20" s="129" t="s">
        <v>48</v>
      </c>
      <c r="T20" s="129" t="s">
        <v>42</v>
      </c>
      <c r="U20" s="3"/>
      <c r="V20" s="171"/>
      <c r="W20" s="172"/>
      <c r="X20" s="172"/>
      <c r="Z20" s="269"/>
      <c r="AA20" s="268"/>
      <c r="AB20" s="269"/>
      <c r="AC20" s="270"/>
      <c r="AD20" s="172"/>
      <c r="AE20" s="68"/>
      <c r="AF20" s="47"/>
      <c r="AG20" s="47"/>
      <c r="AH20" s="47"/>
      <c r="AI20" s="267"/>
    </row>
    <row r="21" spans="2:35" ht="15.75" x14ac:dyDescent="0.25">
      <c r="B21" s="110" t="s">
        <v>43</v>
      </c>
      <c r="C21" s="103">
        <f>Q4-1</f>
        <v>2</v>
      </c>
      <c r="D21" s="4">
        <f>SUMSQ(M5:M7)/(Q4*Q3)-Q7</f>
        <v>75258.965429629316</v>
      </c>
      <c r="E21" s="4">
        <f t="shared" si="8"/>
        <v>37629.482714814658</v>
      </c>
      <c r="F21" s="82">
        <f>E21/E24</f>
        <v>18.145542244163813</v>
      </c>
      <c r="G21" s="4">
        <f>FINV(G18,C21,C24)</f>
        <v>3.6337234675916301</v>
      </c>
      <c r="H21" s="4">
        <f>FINV(H18,C21,C24)</f>
        <v>6.2262352803113821</v>
      </c>
      <c r="I21" s="19" t="str">
        <f t="shared" si="9"/>
        <v>**</v>
      </c>
      <c r="J21" s="3" t="s">
        <v>112</v>
      </c>
      <c r="K21" s="3"/>
      <c r="L21" s="10" t="s">
        <v>15</v>
      </c>
      <c r="M21" s="5">
        <f>N5</f>
        <v>221.75555555555556</v>
      </c>
      <c r="N21" s="103" t="s">
        <v>115</v>
      </c>
      <c r="O21" s="11">
        <f>M21+M$24</f>
        <v>277.16078509312342</v>
      </c>
      <c r="P21" s="3"/>
      <c r="Q21" s="166" t="s">
        <v>9</v>
      </c>
      <c r="R21" s="6">
        <f>G4</f>
        <v>328.51333333333338</v>
      </c>
      <c r="S21" s="6">
        <f t="shared" ref="S21:S29" si="10">F4</f>
        <v>985.54000000000008</v>
      </c>
      <c r="T21" s="166" t="s">
        <v>115</v>
      </c>
      <c r="U21" s="11">
        <f t="shared" ref="U21:U29" si="11">R21+R$30</f>
        <v>460.7605396339743</v>
      </c>
      <c r="V21" s="3"/>
      <c r="Z21" s="269"/>
      <c r="AA21" s="268"/>
      <c r="AB21" s="269"/>
      <c r="AC21" s="270"/>
      <c r="AD21" s="172"/>
      <c r="AE21" s="172"/>
      <c r="AF21" s="172"/>
      <c r="AG21" s="172"/>
      <c r="AH21" s="172"/>
      <c r="AI21" s="172"/>
    </row>
    <row r="22" spans="2:35" ht="15.75" x14ac:dyDescent="0.25">
      <c r="B22" s="110" t="s">
        <v>16</v>
      </c>
      <c r="C22" s="103">
        <f>Q5-1</f>
        <v>2</v>
      </c>
      <c r="D22" s="4">
        <f>SUMSQ(J8:L8)/(Q5*Q3)-Q7</f>
        <v>28240.55382962944</v>
      </c>
      <c r="E22" s="4">
        <f>D22/C22</f>
        <v>14120.27691481472</v>
      </c>
      <c r="F22" s="82">
        <f>E22/E24</f>
        <v>6.809024806397038</v>
      </c>
      <c r="G22" s="4">
        <f>FINV(G18,C22,C24)</f>
        <v>3.6337234675916301</v>
      </c>
      <c r="H22" s="4">
        <f>FINV(H18,C22,C24)</f>
        <v>6.2262352803113821</v>
      </c>
      <c r="I22" s="19" t="str">
        <f>IF(F22&lt;G22,"tn",IF(F22&lt;H22,"*","**"))</f>
        <v>**</v>
      </c>
      <c r="J22" s="3" t="s">
        <v>112</v>
      </c>
      <c r="K22" s="3"/>
      <c r="L22" s="10" t="s">
        <v>18</v>
      </c>
      <c r="M22" s="5">
        <f>N6</f>
        <v>175.13</v>
      </c>
      <c r="N22" s="103" t="s">
        <v>115</v>
      </c>
      <c r="O22" s="11">
        <f>M22+M$24</f>
        <v>230.53522953756783</v>
      </c>
      <c r="P22" s="3"/>
      <c r="Q22" s="166" t="s">
        <v>14</v>
      </c>
      <c r="R22" s="6">
        <f t="shared" ref="R22:R29" si="12">G5</f>
        <v>171.97</v>
      </c>
      <c r="S22" s="6">
        <f t="shared" si="10"/>
        <v>515.91</v>
      </c>
      <c r="T22" s="166" t="s">
        <v>114</v>
      </c>
      <c r="U22" s="11">
        <f t="shared" si="11"/>
        <v>304.21720630064095</v>
      </c>
      <c r="V22" s="3"/>
      <c r="Z22" s="269"/>
      <c r="AA22" s="268"/>
      <c r="AB22" s="269"/>
      <c r="AC22" s="270"/>
      <c r="AD22" s="172"/>
      <c r="AE22" s="172"/>
      <c r="AF22" s="172"/>
      <c r="AG22" s="172"/>
      <c r="AH22" s="172"/>
      <c r="AI22" s="172"/>
    </row>
    <row r="23" spans="2:35" ht="15.75" x14ac:dyDescent="0.25">
      <c r="B23" s="110" t="s">
        <v>46</v>
      </c>
      <c r="C23" s="103">
        <f>C21*C22</f>
        <v>4</v>
      </c>
      <c r="D23" s="4">
        <f>D20-D21-D22</f>
        <v>27440.840548148612</v>
      </c>
      <c r="E23" s="4">
        <f t="shared" si="8"/>
        <v>6860.2101370371529</v>
      </c>
      <c r="F23" s="82">
        <f>E23/E24</f>
        <v>3.3081037490967171</v>
      </c>
      <c r="G23" s="4">
        <f>FINV(G18,C23,C24)</f>
        <v>3.0069172799243447</v>
      </c>
      <c r="H23" s="4">
        <f>FINV(H18,C23,C24)</f>
        <v>4.772577999723211</v>
      </c>
      <c r="I23" s="19" t="str">
        <f t="shared" si="9"/>
        <v>*</v>
      </c>
      <c r="J23" s="3" t="s">
        <v>45</v>
      </c>
      <c r="K23" s="3"/>
      <c r="L23" s="10" t="s">
        <v>20</v>
      </c>
      <c r="M23" s="5">
        <f>N7</f>
        <v>93.978888888888889</v>
      </c>
      <c r="N23" s="103" t="s">
        <v>114</v>
      </c>
      <c r="O23" s="11">
        <f>M23+M$24</f>
        <v>149.38411842645672</v>
      </c>
      <c r="P23" s="3"/>
      <c r="Q23" s="166" t="s">
        <v>17</v>
      </c>
      <c r="R23" s="6">
        <f t="shared" si="12"/>
        <v>164.78333333333333</v>
      </c>
      <c r="S23" s="6">
        <f t="shared" si="10"/>
        <v>494.34999999999997</v>
      </c>
      <c r="T23" s="166" t="s">
        <v>114</v>
      </c>
      <c r="U23" s="11">
        <f t="shared" si="11"/>
        <v>297.03053963397429</v>
      </c>
      <c r="V23" s="3"/>
      <c r="Z23" s="269"/>
      <c r="AA23" s="268"/>
      <c r="AB23" s="269"/>
      <c r="AC23" s="270"/>
      <c r="AD23" s="172"/>
      <c r="AE23" s="68"/>
      <c r="AF23" s="68"/>
      <c r="AG23" s="172"/>
      <c r="AH23" s="172"/>
      <c r="AI23" s="172"/>
    </row>
    <row r="24" spans="2:35" ht="15.75" x14ac:dyDescent="0.25">
      <c r="B24" s="110" t="s">
        <v>47</v>
      </c>
      <c r="C24" s="103">
        <f>C25-C19-C20</f>
        <v>16</v>
      </c>
      <c r="D24" s="4">
        <f>D25-D19-D20</f>
        <v>33180.145037036855</v>
      </c>
      <c r="E24" s="4">
        <f t="shared" si="8"/>
        <v>2073.7590648148034</v>
      </c>
      <c r="F24" s="128"/>
      <c r="G24" s="128"/>
      <c r="H24" s="128"/>
      <c r="I24" s="128"/>
      <c r="J24" s="3"/>
      <c r="K24" s="3"/>
      <c r="L24" s="164" t="s">
        <v>38</v>
      </c>
      <c r="M24" s="205">
        <f>M17*L17</f>
        <v>55.405229537567834</v>
      </c>
      <c r="N24" s="206"/>
      <c r="O24" s="3"/>
      <c r="P24" s="3"/>
      <c r="Q24" s="166" t="s">
        <v>19</v>
      </c>
      <c r="R24" s="6">
        <f t="shared" si="12"/>
        <v>185.81000000000003</v>
      </c>
      <c r="S24" s="6">
        <f t="shared" si="10"/>
        <v>557.43000000000006</v>
      </c>
      <c r="T24" s="166" t="s">
        <v>114</v>
      </c>
      <c r="U24" s="11">
        <f t="shared" si="11"/>
        <v>318.05720630064098</v>
      </c>
      <c r="V24" s="3"/>
      <c r="Z24" s="269"/>
      <c r="AA24" s="268"/>
      <c r="AB24" s="269"/>
      <c r="AC24" s="270"/>
      <c r="AD24" s="172"/>
      <c r="AE24" s="66"/>
      <c r="AF24" s="47"/>
      <c r="AG24" s="172"/>
      <c r="AH24" s="172"/>
      <c r="AI24" s="172"/>
    </row>
    <row r="25" spans="2:35" ht="15.75" x14ac:dyDescent="0.25">
      <c r="B25" s="110" t="s">
        <v>48</v>
      </c>
      <c r="C25" s="103">
        <f>Q4*Q5*Q3-1</f>
        <v>26</v>
      </c>
      <c r="D25" s="12">
        <f>SUMSQ(C4:E12)-Q7</f>
        <v>167860.53254074056</v>
      </c>
      <c r="E25" s="4">
        <f>D25/C25</f>
        <v>6456.1743284900213</v>
      </c>
      <c r="F25" s="128"/>
      <c r="G25" s="128"/>
      <c r="H25" s="128"/>
      <c r="I25" s="128"/>
      <c r="J25" s="3"/>
      <c r="K25" s="3"/>
      <c r="L25" s="10" t="s">
        <v>10</v>
      </c>
      <c r="M25" s="5">
        <f>J9</f>
        <v>207.47000000000003</v>
      </c>
      <c r="N25" s="103" t="s">
        <v>115</v>
      </c>
      <c r="O25" s="11">
        <f>M25+M$28</f>
        <v>262.87522953756786</v>
      </c>
      <c r="P25" s="3"/>
      <c r="Q25" s="166" t="s">
        <v>22</v>
      </c>
      <c r="R25" s="6">
        <f t="shared" si="12"/>
        <v>188.66666666666666</v>
      </c>
      <c r="S25" s="6">
        <f t="shared" si="10"/>
        <v>566</v>
      </c>
      <c r="T25" s="166" t="s">
        <v>114</v>
      </c>
      <c r="U25" s="11">
        <f t="shared" si="11"/>
        <v>320.91387296730761</v>
      </c>
      <c r="V25" s="3"/>
      <c r="Z25" s="269"/>
      <c r="AA25" s="268"/>
      <c r="AB25" s="269"/>
      <c r="AC25" s="270"/>
      <c r="AD25" s="172"/>
      <c r="AE25" s="66"/>
      <c r="AF25" s="47"/>
      <c r="AG25" s="172"/>
      <c r="AH25" s="172"/>
      <c r="AI25" s="172"/>
    </row>
    <row r="26" spans="2:35" ht="15.75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  <c r="L26" s="13" t="s">
        <v>11</v>
      </c>
      <c r="M26" s="5">
        <f>K9</f>
        <v>152.96222222222221</v>
      </c>
      <c r="N26" s="103" t="s">
        <v>113</v>
      </c>
      <c r="O26" s="11">
        <f>M26+M$28</f>
        <v>208.36745175979004</v>
      </c>
      <c r="P26" s="3"/>
      <c r="Q26" s="166" t="s">
        <v>23</v>
      </c>
      <c r="R26" s="6">
        <f t="shared" si="12"/>
        <v>150.91333333333333</v>
      </c>
      <c r="S26" s="6">
        <f t="shared" si="10"/>
        <v>452.74</v>
      </c>
      <c r="T26" s="166" t="s">
        <v>114</v>
      </c>
      <c r="U26" s="11">
        <f t="shared" si="11"/>
        <v>283.16053963397428</v>
      </c>
      <c r="V26" s="3"/>
      <c r="Z26" s="269"/>
      <c r="AA26" s="268"/>
      <c r="AB26" s="269"/>
      <c r="AC26" s="270"/>
      <c r="AD26" s="172"/>
      <c r="AE26" s="66"/>
      <c r="AF26" s="47"/>
      <c r="AG26" s="172"/>
      <c r="AH26" s="172"/>
      <c r="AI26" s="172"/>
    </row>
    <row r="27" spans="2:35" ht="15.75" x14ac:dyDescent="0.25">
      <c r="B27" s="3"/>
      <c r="C27" s="40"/>
      <c r="D27" s="3"/>
      <c r="E27" s="3"/>
      <c r="F27" s="3"/>
      <c r="G27" s="3"/>
      <c r="H27" s="3"/>
      <c r="I27" s="3"/>
      <c r="J27" s="3"/>
      <c r="K27" s="3"/>
      <c r="L27" s="13" t="s">
        <v>12</v>
      </c>
      <c r="M27" s="5">
        <f>L9</f>
        <v>130.43222222222221</v>
      </c>
      <c r="N27" s="103" t="s">
        <v>114</v>
      </c>
      <c r="O27" s="11">
        <f>M27+M$28</f>
        <v>185.83745175979004</v>
      </c>
      <c r="P27" s="3"/>
      <c r="Q27" s="166" t="s">
        <v>24</v>
      </c>
      <c r="R27" s="6">
        <f t="shared" si="12"/>
        <v>108.08666666666666</v>
      </c>
      <c r="S27" s="6">
        <f t="shared" si="10"/>
        <v>324.26</v>
      </c>
      <c r="T27" s="166" t="s">
        <v>114</v>
      </c>
      <c r="U27" s="11">
        <f t="shared" si="11"/>
        <v>240.33387296730763</v>
      </c>
      <c r="V27" s="3"/>
      <c r="Z27" s="269"/>
      <c r="AA27" s="268"/>
      <c r="AB27" s="269"/>
      <c r="AC27" s="270"/>
      <c r="AD27" s="172"/>
      <c r="AE27" s="66"/>
      <c r="AF27" s="47"/>
      <c r="AG27" s="172"/>
      <c r="AH27" s="172"/>
      <c r="AI27" s="172"/>
    </row>
    <row r="28" spans="2:35" ht="15.75" x14ac:dyDescent="0.25">
      <c r="B28" s="3"/>
      <c r="C28" s="40"/>
      <c r="D28" s="3"/>
      <c r="E28" s="3"/>
      <c r="F28" s="3"/>
      <c r="G28" s="3"/>
      <c r="H28" s="3"/>
      <c r="I28" s="3"/>
      <c r="J28" s="3"/>
      <c r="K28" s="3"/>
      <c r="L28" s="164" t="s">
        <v>38</v>
      </c>
      <c r="M28" s="205">
        <f>M17*L17</f>
        <v>55.405229537567834</v>
      </c>
      <c r="N28" s="206"/>
      <c r="O28" s="3"/>
      <c r="P28" s="3"/>
      <c r="Q28" s="166" t="s">
        <v>25</v>
      </c>
      <c r="R28" s="6">
        <f t="shared" si="12"/>
        <v>98.25</v>
      </c>
      <c r="S28" s="6">
        <f t="shared" si="10"/>
        <v>294.75</v>
      </c>
      <c r="T28" s="166" t="s">
        <v>114</v>
      </c>
      <c r="U28" s="11">
        <f t="shared" si="11"/>
        <v>230.49720630064095</v>
      </c>
      <c r="V28" s="3"/>
      <c r="Z28" s="269"/>
      <c r="AA28" s="268"/>
      <c r="AB28" s="269"/>
      <c r="AC28" s="270"/>
      <c r="AD28" s="172"/>
      <c r="AE28" s="66"/>
      <c r="AF28" s="47"/>
      <c r="AG28" s="172"/>
      <c r="AH28" s="172"/>
      <c r="AI28" s="172"/>
    </row>
    <row r="29" spans="2:35" ht="15.75" x14ac:dyDescent="0.25">
      <c r="B29" s="3"/>
      <c r="C29" s="40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166" t="s">
        <v>26</v>
      </c>
      <c r="R29" s="6">
        <f t="shared" si="12"/>
        <v>75.600000000000009</v>
      </c>
      <c r="S29" s="6">
        <f t="shared" si="10"/>
        <v>226.8</v>
      </c>
      <c r="T29" s="166" t="s">
        <v>114</v>
      </c>
      <c r="U29" s="170">
        <f t="shared" si="11"/>
        <v>207.84720630064095</v>
      </c>
      <c r="V29" s="3"/>
      <c r="Z29" s="269"/>
      <c r="AA29" s="268"/>
      <c r="AB29" s="269"/>
      <c r="AC29" s="270"/>
      <c r="AD29" s="172"/>
      <c r="AE29" s="66"/>
      <c r="AF29" s="47"/>
      <c r="AG29" s="172"/>
      <c r="AH29" s="172"/>
      <c r="AI29" s="172"/>
    </row>
    <row r="30" spans="2:35" ht="15.75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174" t="s">
        <v>38</v>
      </c>
      <c r="R30" s="207">
        <f>R17*Q17</f>
        <v>132.24720630064095</v>
      </c>
      <c r="S30" s="207"/>
      <c r="T30" s="207"/>
      <c r="U30" s="3"/>
      <c r="Z30" s="269"/>
      <c r="AA30" s="268"/>
      <c r="AB30" s="269"/>
      <c r="AC30" s="270"/>
      <c r="AD30" s="172"/>
      <c r="AE30" s="66"/>
      <c r="AF30" s="47"/>
      <c r="AG30" s="172"/>
      <c r="AH30" s="172"/>
      <c r="AI30" s="172"/>
    </row>
    <row r="31" spans="2:35" ht="15.75" x14ac:dyDescent="0.25">
      <c r="B31" s="106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69"/>
      <c r="Z31" s="172"/>
      <c r="AA31" s="172"/>
      <c r="AB31" s="172"/>
      <c r="AC31" s="172"/>
      <c r="AD31" s="172"/>
      <c r="AE31" s="66"/>
      <c r="AF31" s="47"/>
      <c r="AG31" s="172"/>
      <c r="AH31" s="172"/>
      <c r="AI31" s="172"/>
    </row>
    <row r="32" spans="2:35" ht="15.75" x14ac:dyDescent="0.25">
      <c r="T32" s="169"/>
      <c r="Z32" s="172"/>
      <c r="AA32" s="172"/>
      <c r="AB32" s="172"/>
      <c r="AC32" s="172"/>
      <c r="AD32" s="172"/>
      <c r="AE32" s="66"/>
      <c r="AF32" s="47"/>
      <c r="AG32" s="172"/>
      <c r="AH32" s="172"/>
      <c r="AI32" s="172"/>
    </row>
    <row r="33" spans="10:35" ht="15.75" x14ac:dyDescent="0.25">
      <c r="J33" s="40"/>
      <c r="K33" s="40"/>
      <c r="L33" s="40"/>
      <c r="M33" s="40"/>
      <c r="N33" s="40"/>
      <c r="O33" s="40"/>
      <c r="P33" s="40"/>
      <c r="T33" s="169"/>
      <c r="Z33" s="172"/>
      <c r="AA33" s="172"/>
      <c r="AB33" s="172"/>
      <c r="AC33" s="172"/>
      <c r="AD33" s="172"/>
      <c r="AE33" s="172"/>
      <c r="AF33" s="172"/>
      <c r="AG33" s="172"/>
      <c r="AH33" s="172"/>
      <c r="AI33" s="172"/>
    </row>
    <row r="34" spans="10:35" ht="15.75" x14ac:dyDescent="0.25">
      <c r="J34" s="40"/>
      <c r="K34" s="40"/>
      <c r="L34" s="40"/>
      <c r="M34" s="40"/>
      <c r="N34" s="40"/>
      <c r="O34" s="40"/>
      <c r="P34" s="40"/>
      <c r="T34" s="169"/>
    </row>
    <row r="35" spans="10:35" ht="15.75" x14ac:dyDescent="0.25">
      <c r="J35" s="40"/>
      <c r="K35" s="44"/>
      <c r="L35" s="165"/>
      <c r="M35" s="165"/>
      <c r="N35" s="165"/>
      <c r="O35" s="165"/>
      <c r="P35" s="40"/>
    </row>
    <row r="36" spans="10:35" ht="15.75" x14ac:dyDescent="0.25">
      <c r="J36" s="40"/>
      <c r="K36" s="165"/>
      <c r="L36" s="204"/>
      <c r="M36" s="204"/>
      <c r="N36" s="204"/>
      <c r="O36" s="204"/>
      <c r="P36" s="40"/>
    </row>
    <row r="37" spans="10:35" ht="15.75" x14ac:dyDescent="0.25">
      <c r="J37" s="40"/>
      <c r="K37" s="165"/>
      <c r="L37" s="204"/>
      <c r="M37" s="204"/>
      <c r="N37" s="204"/>
      <c r="O37" s="204"/>
      <c r="P37" s="40"/>
    </row>
    <row r="38" spans="10:35" ht="15.75" x14ac:dyDescent="0.25">
      <c r="J38" s="40"/>
      <c r="K38" s="165"/>
      <c r="L38" s="165"/>
      <c r="M38" s="165"/>
      <c r="N38" s="148"/>
      <c r="O38" s="165"/>
      <c r="P38" s="40"/>
    </row>
    <row r="39" spans="10:35" ht="15.75" x14ac:dyDescent="0.25">
      <c r="J39" s="40"/>
      <c r="K39" s="165"/>
      <c r="L39" s="148"/>
      <c r="M39" s="165"/>
      <c r="N39" s="165"/>
      <c r="O39" s="165"/>
      <c r="P39" s="40"/>
    </row>
    <row r="40" spans="10:35" ht="15.75" x14ac:dyDescent="0.25">
      <c r="J40" s="40"/>
      <c r="K40" s="40"/>
      <c r="L40" s="40"/>
      <c r="M40" s="40"/>
      <c r="N40" s="40"/>
      <c r="O40" s="40"/>
      <c r="P40" s="40"/>
    </row>
    <row r="41" spans="10:35" ht="15.75" x14ac:dyDescent="0.25">
      <c r="J41" s="40"/>
      <c r="K41" s="165"/>
      <c r="L41" s="165"/>
      <c r="M41" s="165"/>
      <c r="N41" s="165"/>
      <c r="O41" s="165"/>
      <c r="P41" s="40"/>
      <c r="Q41" s="44"/>
      <c r="R41" s="179"/>
      <c r="S41" s="179"/>
      <c r="T41" s="179"/>
      <c r="U41" s="179"/>
    </row>
    <row r="42" spans="10:35" ht="15.75" x14ac:dyDescent="0.25">
      <c r="J42" s="40"/>
      <c r="K42" s="202"/>
      <c r="L42" s="202"/>
      <c r="M42" s="202"/>
      <c r="N42" s="202"/>
      <c r="O42" s="202"/>
      <c r="P42" s="40"/>
      <c r="Q42" s="178"/>
      <c r="R42" s="202"/>
      <c r="S42" s="202"/>
      <c r="T42" s="202"/>
      <c r="U42" s="202"/>
    </row>
    <row r="43" spans="10:35" ht="15.75" x14ac:dyDescent="0.25">
      <c r="J43" s="40"/>
      <c r="K43" s="202"/>
      <c r="L43" s="202"/>
      <c r="M43" s="202"/>
      <c r="N43" s="202"/>
      <c r="O43" s="202"/>
      <c r="P43" s="40"/>
      <c r="Q43" s="179"/>
      <c r="R43" s="202"/>
      <c r="S43" s="202"/>
      <c r="T43" s="202"/>
      <c r="U43" s="202"/>
    </row>
    <row r="44" spans="10:35" ht="15.75" x14ac:dyDescent="0.25">
      <c r="J44" s="40"/>
      <c r="K44" s="173"/>
      <c r="L44" s="40"/>
      <c r="M44" s="40"/>
      <c r="N44" s="40"/>
      <c r="O44" s="40"/>
      <c r="P44" s="40"/>
      <c r="Q44" s="179"/>
      <c r="R44" s="178"/>
      <c r="S44" s="178"/>
      <c r="T44" s="178"/>
      <c r="U44" s="179"/>
    </row>
    <row r="45" spans="10:35" ht="15.75" x14ac:dyDescent="0.25">
      <c r="J45" s="40"/>
      <c r="K45" s="165"/>
      <c r="L45" s="204"/>
      <c r="M45" s="204"/>
      <c r="N45" s="204"/>
      <c r="O45" s="204"/>
      <c r="P45" s="40"/>
      <c r="Q45" s="179"/>
      <c r="R45" s="181"/>
      <c r="S45" s="106"/>
      <c r="T45" s="179"/>
      <c r="U45" s="179"/>
    </row>
    <row r="46" spans="10:35" ht="15.75" x14ac:dyDescent="0.25">
      <c r="J46" s="40"/>
      <c r="K46" s="165"/>
      <c r="L46" s="204"/>
      <c r="M46" s="204"/>
      <c r="N46" s="204"/>
      <c r="O46" s="204"/>
      <c r="P46" s="40"/>
      <c r="Q46" s="106"/>
      <c r="R46" s="106"/>
      <c r="S46" s="106"/>
      <c r="T46" s="106"/>
      <c r="U46" s="106"/>
    </row>
    <row r="47" spans="10:35" ht="15.75" x14ac:dyDescent="0.25">
      <c r="J47" s="40"/>
      <c r="K47" s="165"/>
      <c r="L47" s="165"/>
      <c r="M47" s="165"/>
      <c r="N47" s="148"/>
      <c r="O47" s="165"/>
      <c r="P47" s="40"/>
      <c r="Q47" s="178"/>
      <c r="R47" s="179"/>
      <c r="S47" s="179"/>
      <c r="T47" s="179"/>
      <c r="U47" s="179"/>
    </row>
    <row r="48" spans="10:35" ht="15.75" x14ac:dyDescent="0.25">
      <c r="J48" s="40"/>
      <c r="K48" s="165"/>
      <c r="L48" s="148"/>
      <c r="M48" s="165"/>
      <c r="N48" s="165"/>
      <c r="O48" s="165"/>
      <c r="P48" s="40"/>
      <c r="Q48" s="202"/>
      <c r="R48" s="202"/>
      <c r="S48" s="202"/>
      <c r="T48" s="202"/>
      <c r="U48" s="202"/>
    </row>
    <row r="49" spans="10:21" ht="15.75" x14ac:dyDescent="0.25">
      <c r="J49" s="40"/>
      <c r="K49" s="40"/>
      <c r="L49" s="40"/>
      <c r="M49" s="40"/>
      <c r="N49" s="40"/>
      <c r="O49" s="40"/>
      <c r="P49" s="40"/>
      <c r="Q49" s="202"/>
      <c r="R49" s="202"/>
      <c r="S49" s="202"/>
      <c r="T49" s="202"/>
      <c r="U49" s="202"/>
    </row>
    <row r="50" spans="10:21" x14ac:dyDescent="0.25">
      <c r="Q50" s="182"/>
      <c r="R50" s="106"/>
      <c r="S50" s="106"/>
      <c r="T50" s="106"/>
      <c r="U50" s="106"/>
    </row>
    <row r="51" spans="10:21" x14ac:dyDescent="0.25">
      <c r="Q51" s="106"/>
      <c r="R51" s="106"/>
      <c r="S51" s="106"/>
      <c r="T51" s="106"/>
      <c r="U51" s="106"/>
    </row>
  </sheetData>
  <mergeCells count="31">
    <mergeCell ref="R30:T30"/>
    <mergeCell ref="B2:E2"/>
    <mergeCell ref="F2:F3"/>
    <mergeCell ref="G2:G3"/>
    <mergeCell ref="I2:N2"/>
    <mergeCell ref="I3:I4"/>
    <mergeCell ref="J3:L3"/>
    <mergeCell ref="M3:M4"/>
    <mergeCell ref="N3:N4"/>
    <mergeCell ref="B16:I16"/>
    <mergeCell ref="B17:B18"/>
    <mergeCell ref="C17:C18"/>
    <mergeCell ref="D17:D18"/>
    <mergeCell ref="E17:E18"/>
    <mergeCell ref="F17:F18"/>
    <mergeCell ref="R42:U42"/>
    <mergeCell ref="R43:U43"/>
    <mergeCell ref="Q48:U48"/>
    <mergeCell ref="Q49:U49"/>
    <mergeCell ref="G17:H17"/>
    <mergeCell ref="I17:I18"/>
    <mergeCell ref="K43:O43"/>
    <mergeCell ref="L45:O45"/>
    <mergeCell ref="L46:O46"/>
    <mergeCell ref="M18:N18"/>
    <mergeCell ref="M24:N24"/>
    <mergeCell ref="M28:N28"/>
    <mergeCell ref="L36:O36"/>
    <mergeCell ref="L37:O37"/>
    <mergeCell ref="K42:O42"/>
    <mergeCell ref="R18:S18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33"/>
  <sheetViews>
    <sheetView topLeftCell="B1" zoomScale="70" zoomScaleNormal="70" workbookViewId="0">
      <selection activeCell="K14" sqref="K14:O19"/>
    </sheetView>
  </sheetViews>
  <sheetFormatPr defaultRowHeight="15" x14ac:dyDescent="0.25"/>
  <cols>
    <col min="2" max="2" width="15" customWidth="1"/>
    <col min="4" max="4" width="11" customWidth="1"/>
    <col min="7" max="7" width="10.140625" customWidth="1"/>
    <col min="9" max="9" width="12.28515625" customWidth="1"/>
    <col min="11" max="11" width="11" customWidth="1"/>
    <col min="12" max="13" width="12.5703125" customWidth="1"/>
    <col min="14" max="14" width="10.140625" customWidth="1"/>
    <col min="16" max="16" width="19.5703125" customWidth="1"/>
    <col min="26" max="26" width="18.42578125" customWidth="1"/>
    <col min="27" max="27" width="16.7109375" customWidth="1"/>
    <col min="28" max="28" width="12.5703125" customWidth="1"/>
    <col min="29" max="29" width="17.140625" customWidth="1"/>
  </cols>
  <sheetData>
    <row r="1" spans="2:23" x14ac:dyDescent="0.25">
      <c r="S1" s="106"/>
      <c r="T1" s="106"/>
      <c r="U1" s="106"/>
      <c r="V1" s="106"/>
      <c r="W1" s="106"/>
    </row>
    <row r="2" spans="2:23" ht="15.75" x14ac:dyDescent="0.25">
      <c r="B2" s="189" t="s">
        <v>0</v>
      </c>
      <c r="C2" s="190"/>
      <c r="D2" s="190"/>
      <c r="E2" s="191"/>
      <c r="F2" s="192" t="s">
        <v>1</v>
      </c>
      <c r="G2" s="192" t="s">
        <v>2</v>
      </c>
      <c r="H2" s="3"/>
      <c r="I2" s="189" t="s">
        <v>3</v>
      </c>
      <c r="J2" s="190"/>
      <c r="K2" s="190"/>
      <c r="L2" s="190"/>
      <c r="M2" s="190"/>
      <c r="N2" s="191"/>
      <c r="O2" s="3"/>
      <c r="P2" s="16" t="s">
        <v>4</v>
      </c>
      <c r="Q2" s="108">
        <v>9</v>
      </c>
      <c r="R2" s="106"/>
      <c r="S2" s="68"/>
      <c r="T2" s="68"/>
      <c r="U2" s="68"/>
      <c r="V2" s="68"/>
      <c r="W2" s="68"/>
    </row>
    <row r="3" spans="2:23" ht="15.75" x14ac:dyDescent="0.25">
      <c r="B3" s="15" t="s">
        <v>5</v>
      </c>
      <c r="C3" s="15">
        <v>1</v>
      </c>
      <c r="D3" s="15">
        <v>2</v>
      </c>
      <c r="E3" s="15">
        <v>3</v>
      </c>
      <c r="F3" s="193"/>
      <c r="G3" s="193"/>
      <c r="H3" s="3"/>
      <c r="I3" s="192" t="s">
        <v>6</v>
      </c>
      <c r="J3" s="189" t="s">
        <v>7</v>
      </c>
      <c r="K3" s="190"/>
      <c r="L3" s="191"/>
      <c r="M3" s="192" t="s">
        <v>1</v>
      </c>
      <c r="N3" s="192" t="s">
        <v>2</v>
      </c>
      <c r="O3" s="3"/>
      <c r="P3" s="16" t="s">
        <v>8</v>
      </c>
      <c r="Q3" s="108">
        <v>3</v>
      </c>
      <c r="R3" s="106"/>
      <c r="S3" s="68"/>
      <c r="T3" s="47"/>
      <c r="U3" s="47"/>
      <c r="V3" s="47"/>
      <c r="W3" s="267"/>
    </row>
    <row r="4" spans="2:23" ht="15.75" x14ac:dyDescent="0.25">
      <c r="B4" s="108" t="s">
        <v>9</v>
      </c>
      <c r="C4" s="4">
        <v>66.069999999999993</v>
      </c>
      <c r="D4" s="4">
        <v>53.07</v>
      </c>
      <c r="E4" s="4">
        <v>75.73</v>
      </c>
      <c r="F4" s="111">
        <f>SUM(C4:E4)</f>
        <v>194.87</v>
      </c>
      <c r="G4" s="5">
        <f>AVERAGE(C4:E4)</f>
        <v>64.956666666666663</v>
      </c>
      <c r="H4" s="3"/>
      <c r="I4" s="193"/>
      <c r="J4" s="15" t="s">
        <v>10</v>
      </c>
      <c r="K4" s="15" t="s">
        <v>11</v>
      </c>
      <c r="L4" s="15" t="s">
        <v>12</v>
      </c>
      <c r="M4" s="193"/>
      <c r="N4" s="193"/>
      <c r="O4" s="3"/>
      <c r="P4" s="16" t="s">
        <v>13</v>
      </c>
      <c r="Q4" s="108">
        <v>3</v>
      </c>
      <c r="R4" s="106"/>
      <c r="S4" s="68"/>
      <c r="T4" s="47"/>
      <c r="U4" s="47"/>
      <c r="V4" s="47"/>
      <c r="W4" s="267"/>
    </row>
    <row r="5" spans="2:23" ht="15.75" x14ac:dyDescent="0.25">
      <c r="B5" s="108" t="s">
        <v>14</v>
      </c>
      <c r="C5" s="4">
        <v>53.9</v>
      </c>
      <c r="D5" s="4">
        <v>55.31</v>
      </c>
      <c r="E5" s="4">
        <v>54.73</v>
      </c>
      <c r="F5" s="111">
        <f t="shared" ref="F5:F12" si="0">SUM(C5:E5)</f>
        <v>163.94</v>
      </c>
      <c r="G5" s="5">
        <f t="shared" ref="G5:G12" si="1">AVERAGE(C5:E5)</f>
        <v>54.646666666666668</v>
      </c>
      <c r="H5" s="3"/>
      <c r="I5" s="108" t="s">
        <v>15</v>
      </c>
      <c r="J5" s="123">
        <f>F4</f>
        <v>194.87</v>
      </c>
      <c r="K5" s="123">
        <f>F5</f>
        <v>163.94</v>
      </c>
      <c r="L5" s="123">
        <f>F6</f>
        <v>187.88</v>
      </c>
      <c r="M5" s="4">
        <f>SUM(J5:L5)</f>
        <v>546.69000000000005</v>
      </c>
      <c r="N5" s="6">
        <f>M5/Q2</f>
        <v>60.743333333333339</v>
      </c>
      <c r="O5" s="3"/>
      <c r="P5" s="16" t="s">
        <v>16</v>
      </c>
      <c r="Q5" s="108">
        <v>3</v>
      </c>
      <c r="R5" s="106"/>
      <c r="S5" s="68"/>
      <c r="T5" s="47"/>
      <c r="U5" s="47"/>
      <c r="V5" s="47"/>
      <c r="W5" s="267"/>
    </row>
    <row r="6" spans="2:23" ht="15.75" x14ac:dyDescent="0.25">
      <c r="B6" s="108" t="s">
        <v>17</v>
      </c>
      <c r="C6" s="4">
        <v>66.849999999999994</v>
      </c>
      <c r="D6" s="4">
        <v>57.54</v>
      </c>
      <c r="E6" s="4">
        <v>63.49</v>
      </c>
      <c r="F6" s="111">
        <f t="shared" si="0"/>
        <v>187.88</v>
      </c>
      <c r="G6" s="5">
        <f t="shared" si="1"/>
        <v>62.626666666666665</v>
      </c>
      <c r="H6" s="3"/>
      <c r="I6" s="108" t="s">
        <v>18</v>
      </c>
      <c r="J6" s="123">
        <f>F7</f>
        <v>185.69</v>
      </c>
      <c r="K6" s="123">
        <f>F8</f>
        <v>180.12</v>
      </c>
      <c r="L6" s="123">
        <f>F9</f>
        <v>175.97</v>
      </c>
      <c r="M6" s="4">
        <f t="shared" ref="M6:M7" si="2">SUM(J6:L6)</f>
        <v>541.78</v>
      </c>
      <c r="N6" s="6">
        <f>M6/Q2</f>
        <v>60.197777777777773</v>
      </c>
      <c r="O6" s="3"/>
      <c r="P6" s="3"/>
      <c r="Q6" s="3"/>
      <c r="R6" s="106"/>
      <c r="S6" s="267"/>
      <c r="T6" s="47"/>
      <c r="U6" s="47"/>
      <c r="V6" s="47"/>
      <c r="W6" s="267"/>
    </row>
    <row r="7" spans="2:23" ht="15.75" x14ac:dyDescent="0.25">
      <c r="B7" s="108" t="s">
        <v>19</v>
      </c>
      <c r="C7" s="4">
        <v>64.16</v>
      </c>
      <c r="D7" s="4">
        <v>65.040000000000006</v>
      </c>
      <c r="E7" s="4">
        <v>56.49</v>
      </c>
      <c r="F7" s="111">
        <f t="shared" si="0"/>
        <v>185.69</v>
      </c>
      <c r="G7" s="5">
        <f>AVERAGE(C7:E7)</f>
        <v>61.896666666666668</v>
      </c>
      <c r="H7" s="3"/>
      <c r="I7" s="108" t="s">
        <v>20</v>
      </c>
      <c r="J7" s="123">
        <f>F10</f>
        <v>156.43</v>
      </c>
      <c r="K7" s="123">
        <f>F11</f>
        <v>161.72</v>
      </c>
      <c r="L7" s="123">
        <f>F12</f>
        <v>170.28</v>
      </c>
      <c r="M7" s="4">
        <f t="shared" si="2"/>
        <v>488.42999999999995</v>
      </c>
      <c r="N7" s="6">
        <f>M7/Q2</f>
        <v>54.269999999999996</v>
      </c>
      <c r="O7" s="3"/>
      <c r="P7" s="136" t="s">
        <v>21</v>
      </c>
      <c r="Q7" s="137">
        <f>F13^2/(Q4*Q5*Q3)</f>
        <v>92096.800370370387</v>
      </c>
      <c r="R7" s="106"/>
      <c r="S7" s="267"/>
      <c r="T7" s="47"/>
      <c r="U7" s="47"/>
      <c r="V7" s="47"/>
      <c r="W7" s="267"/>
    </row>
    <row r="8" spans="2:23" ht="15.75" x14ac:dyDescent="0.25">
      <c r="B8" s="108" t="s">
        <v>22</v>
      </c>
      <c r="C8" s="4">
        <v>62.51</v>
      </c>
      <c r="D8" s="4">
        <v>60.94</v>
      </c>
      <c r="E8" s="4">
        <v>56.67</v>
      </c>
      <c r="F8" s="111">
        <f t="shared" si="0"/>
        <v>180.12</v>
      </c>
      <c r="G8" s="5">
        <f t="shared" si="1"/>
        <v>60.04</v>
      </c>
      <c r="H8" s="3"/>
      <c r="I8" s="15" t="s">
        <v>1</v>
      </c>
      <c r="J8" s="4">
        <f>SUM(J5:J7)</f>
        <v>536.99</v>
      </c>
      <c r="K8" s="4">
        <f t="shared" ref="K8:M8" si="3">SUM(K5:K7)</f>
        <v>505.78</v>
      </c>
      <c r="L8" s="4">
        <f t="shared" si="3"/>
        <v>534.13</v>
      </c>
      <c r="M8" s="124">
        <f t="shared" si="3"/>
        <v>1576.9</v>
      </c>
      <c r="N8" s="127"/>
      <c r="O8" s="3"/>
      <c r="P8" s="185" t="s">
        <v>49</v>
      </c>
      <c r="Q8" s="186">
        <f>(SQRT(E24)/G13)*100</f>
        <v>9.9298625414189416</v>
      </c>
      <c r="R8" s="106"/>
      <c r="S8" s="267"/>
      <c r="T8" s="47"/>
      <c r="U8" s="47"/>
      <c r="V8" s="47"/>
      <c r="W8" s="267"/>
    </row>
    <row r="9" spans="2:23" ht="15.75" x14ac:dyDescent="0.25">
      <c r="B9" s="108" t="s">
        <v>23</v>
      </c>
      <c r="C9" s="4">
        <v>56.06</v>
      </c>
      <c r="D9" s="4">
        <v>65.98</v>
      </c>
      <c r="E9" s="4">
        <v>53.93</v>
      </c>
      <c r="F9" s="111">
        <f t="shared" si="0"/>
        <v>175.97</v>
      </c>
      <c r="G9" s="5">
        <f t="shared" si="1"/>
        <v>58.656666666666666</v>
      </c>
      <c r="H9" s="3"/>
      <c r="I9" s="15" t="s">
        <v>2</v>
      </c>
      <c r="J9" s="6">
        <f>J8/Q2</f>
        <v>59.665555555555557</v>
      </c>
      <c r="K9" s="6">
        <f>K8/Q2</f>
        <v>56.197777777777773</v>
      </c>
      <c r="L9" s="6">
        <f>L8/Q2</f>
        <v>59.347777777777779</v>
      </c>
      <c r="M9" s="127"/>
      <c r="N9" s="127"/>
      <c r="O9" s="3"/>
      <c r="P9" s="3"/>
      <c r="Q9" s="3"/>
      <c r="R9" s="106"/>
      <c r="S9" s="68"/>
      <c r="T9" s="47"/>
      <c r="U9" s="47"/>
      <c r="V9" s="47"/>
      <c r="W9" s="267"/>
    </row>
    <row r="10" spans="2:23" ht="15.75" x14ac:dyDescent="0.25">
      <c r="B10" s="108" t="s">
        <v>24</v>
      </c>
      <c r="C10" s="4">
        <v>52.81</v>
      </c>
      <c r="D10" s="4">
        <v>53.06</v>
      </c>
      <c r="E10" s="4">
        <v>50.56</v>
      </c>
      <c r="F10" s="111">
        <f t="shared" si="0"/>
        <v>156.43</v>
      </c>
      <c r="G10" s="5">
        <f t="shared" si="1"/>
        <v>52.143333333333338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106"/>
      <c r="S10" s="68"/>
      <c r="T10" s="47"/>
      <c r="U10" s="47"/>
      <c r="V10" s="47"/>
      <c r="W10" s="267"/>
    </row>
    <row r="11" spans="2:23" ht="15.75" x14ac:dyDescent="0.25">
      <c r="B11" s="108" t="s">
        <v>25</v>
      </c>
      <c r="C11" s="4">
        <v>53.71</v>
      </c>
      <c r="D11" s="4">
        <v>55.17</v>
      </c>
      <c r="E11" s="4">
        <v>52.84</v>
      </c>
      <c r="F11" s="111">
        <f t="shared" si="0"/>
        <v>161.72</v>
      </c>
      <c r="G11" s="5">
        <f t="shared" si="1"/>
        <v>53.906666666666666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106"/>
      <c r="S11" s="68"/>
      <c r="T11" s="47"/>
      <c r="U11" s="47"/>
      <c r="V11" s="47"/>
      <c r="W11" s="267"/>
    </row>
    <row r="12" spans="2:23" ht="15.75" x14ac:dyDescent="0.25">
      <c r="B12" s="108" t="s">
        <v>26</v>
      </c>
      <c r="C12" s="4">
        <v>62.65</v>
      </c>
      <c r="D12" s="4">
        <v>48.16</v>
      </c>
      <c r="E12" s="4">
        <v>59.47</v>
      </c>
      <c r="F12" s="111">
        <f t="shared" si="0"/>
        <v>170.28</v>
      </c>
      <c r="G12" s="5">
        <f t="shared" si="1"/>
        <v>56.76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106"/>
      <c r="S12" s="68"/>
      <c r="T12" s="47"/>
      <c r="U12" s="47"/>
      <c r="V12" s="47"/>
      <c r="W12" s="267"/>
    </row>
    <row r="13" spans="2:23" ht="15.75" x14ac:dyDescent="0.25">
      <c r="B13" s="15" t="s">
        <v>1</v>
      </c>
      <c r="C13" s="7">
        <f>SUM(C4:C12)</f>
        <v>538.72</v>
      </c>
      <c r="D13" s="7">
        <f t="shared" ref="D13:F13" si="4">SUM(D4:D12)</f>
        <v>514.27</v>
      </c>
      <c r="E13" s="7">
        <f t="shared" si="4"/>
        <v>523.91000000000008</v>
      </c>
      <c r="F13" s="78">
        <f t="shared" si="4"/>
        <v>1576.9</v>
      </c>
      <c r="G13" s="7">
        <f>AVERAGE(G4:G12)</f>
        <v>58.403703703703705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106"/>
      <c r="S13" s="68"/>
      <c r="T13" s="47"/>
      <c r="U13" s="47"/>
      <c r="V13" s="47"/>
      <c r="W13" s="267"/>
    </row>
    <row r="14" spans="2:23" ht="15.75" x14ac:dyDescent="0.25">
      <c r="B14" s="3"/>
      <c r="C14" s="3"/>
      <c r="D14" s="3"/>
      <c r="E14" s="3"/>
      <c r="F14" s="3"/>
      <c r="G14" s="3"/>
      <c r="H14" s="3"/>
      <c r="I14" s="3"/>
      <c r="J14" s="3"/>
      <c r="K14" s="67"/>
      <c r="L14" s="67"/>
      <c r="M14" s="67"/>
      <c r="N14" s="67"/>
      <c r="O14" s="67"/>
      <c r="P14" s="3"/>
      <c r="Q14" s="3"/>
      <c r="R14" s="106"/>
      <c r="S14" s="68"/>
      <c r="T14" s="47"/>
      <c r="U14" s="47"/>
      <c r="V14" s="47"/>
      <c r="W14" s="267"/>
    </row>
    <row r="15" spans="2:23" ht="15.75" x14ac:dyDescent="0.25">
      <c r="B15" s="3"/>
      <c r="C15" s="3"/>
      <c r="D15" s="3"/>
      <c r="E15" s="3"/>
      <c r="F15" s="3"/>
      <c r="G15" s="3"/>
      <c r="H15" s="3"/>
      <c r="I15" s="3"/>
      <c r="J15" s="3"/>
      <c r="K15" s="67"/>
      <c r="L15" s="67"/>
      <c r="M15" s="67"/>
      <c r="N15" s="67"/>
      <c r="O15" s="67"/>
      <c r="P15" s="3"/>
      <c r="Q15" s="3"/>
      <c r="R15" s="106"/>
      <c r="S15" s="68"/>
      <c r="T15" s="47"/>
      <c r="U15" s="47"/>
      <c r="V15" s="47"/>
      <c r="W15" s="267"/>
    </row>
    <row r="16" spans="2:23" ht="15.75" x14ac:dyDescent="0.25">
      <c r="B16" s="214" t="s">
        <v>81</v>
      </c>
      <c r="C16" s="214"/>
      <c r="D16" s="214"/>
      <c r="E16" s="214"/>
      <c r="F16" s="214"/>
      <c r="G16" s="214"/>
      <c r="H16" s="214"/>
      <c r="I16" s="214"/>
      <c r="J16" s="3"/>
      <c r="K16" s="67"/>
      <c r="L16" s="66"/>
      <c r="M16" s="66"/>
      <c r="N16" s="66"/>
      <c r="O16" s="67"/>
      <c r="P16" s="3"/>
      <c r="Q16" s="3"/>
      <c r="R16" s="106"/>
      <c r="S16" s="68"/>
      <c r="T16" s="47"/>
      <c r="U16" s="47"/>
      <c r="V16" s="47"/>
      <c r="W16" s="267"/>
    </row>
    <row r="17" spans="2:23" ht="15.75" x14ac:dyDescent="0.25">
      <c r="B17" s="215" t="s">
        <v>31</v>
      </c>
      <c r="C17" s="215" t="s">
        <v>32</v>
      </c>
      <c r="D17" s="215" t="s">
        <v>33</v>
      </c>
      <c r="E17" s="215" t="s">
        <v>34</v>
      </c>
      <c r="F17" s="215" t="s">
        <v>35</v>
      </c>
      <c r="G17" s="215" t="s">
        <v>36</v>
      </c>
      <c r="H17" s="215"/>
      <c r="I17" s="215" t="s">
        <v>37</v>
      </c>
      <c r="J17" s="3"/>
      <c r="K17" s="67"/>
      <c r="L17" s="47"/>
      <c r="M17" s="66"/>
      <c r="N17" s="47"/>
      <c r="O17" s="67"/>
      <c r="P17" s="3"/>
      <c r="Q17" s="3"/>
      <c r="R17" s="106"/>
      <c r="S17" s="68"/>
      <c r="T17" s="47"/>
      <c r="U17" s="47"/>
      <c r="V17" s="47"/>
      <c r="W17" s="267"/>
    </row>
    <row r="18" spans="2:23" ht="15.75" x14ac:dyDescent="0.25">
      <c r="B18" s="215"/>
      <c r="C18" s="215"/>
      <c r="D18" s="215"/>
      <c r="E18" s="215"/>
      <c r="F18" s="215"/>
      <c r="G18" s="55">
        <v>0.05</v>
      </c>
      <c r="H18" s="55">
        <v>0.01</v>
      </c>
      <c r="I18" s="215"/>
      <c r="J18" s="3"/>
      <c r="K18" s="67"/>
      <c r="L18" s="66"/>
      <c r="M18" s="267"/>
      <c r="N18" s="267"/>
      <c r="O18" s="67"/>
      <c r="P18" s="3"/>
      <c r="Q18" s="3"/>
      <c r="R18" s="106"/>
      <c r="S18" s="68"/>
      <c r="T18" s="47"/>
      <c r="U18" s="47"/>
      <c r="V18" s="47"/>
      <c r="W18" s="267"/>
    </row>
    <row r="19" spans="2:23" ht="15.75" x14ac:dyDescent="0.25">
      <c r="B19" s="83" t="s">
        <v>39</v>
      </c>
      <c r="C19" s="103">
        <f>Q3-1</f>
        <v>2</v>
      </c>
      <c r="D19" s="4">
        <f>SUMSQ(C13:E13)/(Q4*Q5)-Q7</f>
        <v>33.706229629635345</v>
      </c>
      <c r="E19" s="4">
        <f t="shared" ref="E19:E25" si="5">D19/C19</f>
        <v>16.853114814817673</v>
      </c>
      <c r="F19" s="38">
        <f>E19/E24</f>
        <v>0.50108676059375501</v>
      </c>
      <c r="G19" s="4">
        <f>FINV(G18,C19,C24)</f>
        <v>3.6337234675916301</v>
      </c>
      <c r="H19" s="4">
        <f>FINV(H18,C19,C24)</f>
        <v>6.2262352803113821</v>
      </c>
      <c r="I19" s="23" t="str">
        <f>IF(F19&lt;G19,"tn",IF(F19&lt;H19,"*","**"))</f>
        <v>tn</v>
      </c>
      <c r="J19" s="3"/>
      <c r="K19" s="67"/>
      <c r="L19" s="67"/>
      <c r="M19" s="67"/>
      <c r="N19" s="67"/>
      <c r="O19" s="67"/>
      <c r="P19" s="3"/>
      <c r="Q19" s="3"/>
      <c r="R19" s="106"/>
      <c r="S19" s="68"/>
      <c r="T19" s="47"/>
      <c r="U19" s="47"/>
      <c r="V19" s="47"/>
      <c r="W19" s="267"/>
    </row>
    <row r="20" spans="2:23" ht="15.75" x14ac:dyDescent="0.25">
      <c r="B20" s="83" t="s">
        <v>40</v>
      </c>
      <c r="C20" s="103">
        <f>Q4*Q5-1</f>
        <v>8</v>
      </c>
      <c r="D20" s="4">
        <f>SUMSQ(F4:F12)/Q3-Q7</f>
        <v>455.848962962933</v>
      </c>
      <c r="E20" s="4">
        <f t="shared" si="5"/>
        <v>56.981120370366625</v>
      </c>
      <c r="F20" s="38">
        <f>E20/E24</f>
        <v>1.6941963153473441</v>
      </c>
      <c r="G20" s="4">
        <f>FINV(G18,C20,C24)</f>
        <v>2.5910961798744014</v>
      </c>
      <c r="H20" s="4">
        <f>FINV(H18,C20,C24)</f>
        <v>3.8895721399261927</v>
      </c>
      <c r="I20" s="23" t="str">
        <f t="shared" ref="I20:I23" si="6">IF(F20&lt;G20,"tn",IF(F20&lt;H20,"*","**"))</f>
        <v>tn</v>
      </c>
      <c r="J20" s="3"/>
      <c r="K20" s="3"/>
      <c r="L20" s="3"/>
      <c r="M20" s="3"/>
      <c r="N20" s="106"/>
      <c r="O20" s="106"/>
      <c r="P20" s="106"/>
      <c r="Q20" s="106"/>
      <c r="R20" s="106"/>
      <c r="S20" s="68"/>
      <c r="T20" s="47"/>
      <c r="U20" s="47"/>
      <c r="V20" s="47"/>
      <c r="W20" s="267"/>
    </row>
    <row r="21" spans="2:23" ht="15.75" x14ac:dyDescent="0.25">
      <c r="B21" s="83" t="s">
        <v>43</v>
      </c>
      <c r="C21" s="103">
        <f>Q4-1</f>
        <v>2</v>
      </c>
      <c r="D21" s="4">
        <f>SUMSQ(M5:M7)/(Q4*Q3)-Q7</f>
        <v>232.02067407405411</v>
      </c>
      <c r="E21" s="4">
        <f t="shared" si="5"/>
        <v>116.01033703702706</v>
      </c>
      <c r="F21" s="38">
        <f>E21/E24</f>
        <v>3.4492878390743051</v>
      </c>
      <c r="G21" s="4">
        <f>FINV(G18,C21,C24)</f>
        <v>3.6337234675916301</v>
      </c>
      <c r="H21" s="4">
        <f>FINV(H18,C21,C24)</f>
        <v>6.2262352803113821</v>
      </c>
      <c r="I21" s="23" t="str">
        <f t="shared" si="6"/>
        <v>tn</v>
      </c>
      <c r="J21" s="3"/>
      <c r="K21" s="3"/>
      <c r="L21" s="3"/>
      <c r="M21" s="3"/>
      <c r="N21" s="106"/>
      <c r="O21" s="106"/>
      <c r="P21" s="106"/>
      <c r="Q21" s="106"/>
      <c r="R21" s="106"/>
      <c r="S21" s="172"/>
      <c r="T21" s="172"/>
      <c r="U21" s="172"/>
      <c r="V21" s="172"/>
      <c r="W21" s="172"/>
    </row>
    <row r="22" spans="2:23" ht="15.75" x14ac:dyDescent="0.25">
      <c r="B22" s="83" t="s">
        <v>16</v>
      </c>
      <c r="C22" s="103">
        <f>Q5-1</f>
        <v>2</v>
      </c>
      <c r="D22" s="4">
        <f>SUMSQ(J8:L8)/(Q5*Q3)-Q7</f>
        <v>66.146896296282648</v>
      </c>
      <c r="E22" s="4">
        <f t="shared" si="5"/>
        <v>33.073448148141324</v>
      </c>
      <c r="F22" s="38">
        <f>E22/E24</f>
        <v>0.98335928855398091</v>
      </c>
      <c r="G22" s="4">
        <f>FINV(G18,C22,C24)</f>
        <v>3.6337234675916301</v>
      </c>
      <c r="H22" s="4">
        <f>FINV(H18,C22,C24)</f>
        <v>6.2262352803113821</v>
      </c>
      <c r="I22" s="23" t="str">
        <f t="shared" si="6"/>
        <v>tn</v>
      </c>
      <c r="J22" s="3"/>
      <c r="K22" s="3"/>
      <c r="L22" s="3"/>
      <c r="M22" s="3"/>
      <c r="N22" s="106"/>
      <c r="O22" s="106"/>
      <c r="P22" s="106"/>
      <c r="Q22" s="106"/>
      <c r="R22" s="106"/>
      <c r="S22" s="172"/>
      <c r="T22" s="172"/>
      <c r="U22" s="172"/>
      <c r="V22" s="172"/>
      <c r="W22" s="172"/>
    </row>
    <row r="23" spans="2:23" ht="15.75" x14ac:dyDescent="0.25">
      <c r="B23" s="83" t="s">
        <v>46</v>
      </c>
      <c r="C23" s="103">
        <f>C21*C22</f>
        <v>4</v>
      </c>
      <c r="D23" s="4">
        <f>D20-D21-D22</f>
        <v>157.68139259259624</v>
      </c>
      <c r="E23" s="4">
        <f t="shared" si="5"/>
        <v>39.42034814814906</v>
      </c>
      <c r="F23" s="38">
        <f>E23/E24</f>
        <v>1.1720690668805451</v>
      </c>
      <c r="G23" s="4">
        <f>FINV(G18,C23,C24)</f>
        <v>3.0069172799243447</v>
      </c>
      <c r="H23" s="4">
        <f>FINV(H18,C23,C24)</f>
        <v>4.772577999723211</v>
      </c>
      <c r="I23" s="23" t="str">
        <f t="shared" si="6"/>
        <v>tn</v>
      </c>
      <c r="J23" s="3"/>
      <c r="K23" s="3"/>
      <c r="L23" s="3"/>
      <c r="M23" s="3"/>
      <c r="N23" s="106"/>
      <c r="O23" s="106"/>
      <c r="P23" s="106"/>
      <c r="Q23" s="106"/>
      <c r="R23" s="106"/>
      <c r="S23" s="68"/>
      <c r="T23" s="68"/>
      <c r="U23" s="172"/>
      <c r="V23" s="172"/>
      <c r="W23" s="172"/>
    </row>
    <row r="24" spans="2:23" ht="15.75" x14ac:dyDescent="0.25">
      <c r="B24" s="83" t="s">
        <v>47</v>
      </c>
      <c r="C24" s="103">
        <f>C25-C19-C20</f>
        <v>16</v>
      </c>
      <c r="D24" s="4">
        <f>D25-D19-D20</f>
        <v>538.13003703702998</v>
      </c>
      <c r="E24" s="4">
        <f t="shared" si="5"/>
        <v>33.633127314814374</v>
      </c>
      <c r="F24" s="128"/>
      <c r="G24" s="128"/>
      <c r="H24" s="128"/>
      <c r="I24" s="128"/>
      <c r="J24" s="3"/>
      <c r="K24" s="3"/>
      <c r="L24" s="3"/>
      <c r="M24" s="3"/>
      <c r="N24" s="106"/>
      <c r="O24" s="106"/>
      <c r="P24" s="106"/>
      <c r="Q24" s="106"/>
      <c r="R24" s="106"/>
      <c r="S24" s="66"/>
      <c r="T24" s="47"/>
      <c r="U24" s="172"/>
      <c r="V24" s="172"/>
      <c r="W24" s="172"/>
    </row>
    <row r="25" spans="2:23" ht="15.75" x14ac:dyDescent="0.25">
      <c r="B25" s="83" t="s">
        <v>48</v>
      </c>
      <c r="C25" s="103">
        <f>Q4*Q5*Q3-1</f>
        <v>26</v>
      </c>
      <c r="D25" s="12">
        <f>SUMSQ(C4:E12)-Q7</f>
        <v>1027.6852296295983</v>
      </c>
      <c r="E25" s="4">
        <f t="shared" si="5"/>
        <v>39.526354985753784</v>
      </c>
      <c r="F25" s="128"/>
      <c r="G25" s="128"/>
      <c r="H25" s="128"/>
      <c r="I25" s="128"/>
      <c r="J25" s="3"/>
      <c r="K25" s="3"/>
      <c r="L25" s="3"/>
      <c r="M25" s="3"/>
      <c r="N25" s="106"/>
      <c r="O25" s="106"/>
      <c r="P25" s="106"/>
      <c r="Q25" s="106"/>
      <c r="R25" s="106"/>
      <c r="S25" s="66"/>
      <c r="T25" s="47"/>
      <c r="U25" s="172"/>
      <c r="V25" s="172"/>
      <c r="W25" s="172"/>
    </row>
    <row r="26" spans="2:23" ht="15.75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106"/>
      <c r="O26" s="106"/>
      <c r="P26" s="106"/>
      <c r="Q26" s="106"/>
      <c r="R26" s="106"/>
      <c r="S26" s="66"/>
      <c r="T26" s="47"/>
      <c r="U26" s="172"/>
      <c r="V26" s="172"/>
      <c r="W26" s="172"/>
    </row>
    <row r="27" spans="2:23" ht="15.75" x14ac:dyDescent="0.25">
      <c r="B27" s="3"/>
      <c r="C27" s="40"/>
      <c r="D27" s="3"/>
      <c r="E27" s="3"/>
      <c r="F27" s="3"/>
      <c r="G27" s="3"/>
      <c r="H27" s="3"/>
      <c r="I27" s="3"/>
      <c r="J27" s="3"/>
      <c r="K27" s="3"/>
      <c r="L27" s="3"/>
      <c r="M27" s="3"/>
      <c r="N27" s="106"/>
      <c r="O27" s="106"/>
      <c r="P27" s="106"/>
      <c r="Q27" s="106"/>
      <c r="R27" s="106"/>
      <c r="S27" s="66"/>
      <c r="T27" s="47"/>
      <c r="U27" s="172"/>
      <c r="V27" s="172"/>
      <c r="W27" s="172"/>
    </row>
    <row r="28" spans="2:23" ht="15.75" x14ac:dyDescent="0.25">
      <c r="B28" s="3"/>
      <c r="C28" s="40"/>
      <c r="D28" s="3"/>
      <c r="E28" s="3"/>
      <c r="F28" s="3"/>
      <c r="G28" s="3"/>
      <c r="H28" s="3"/>
      <c r="I28" s="3"/>
      <c r="J28" s="3"/>
      <c r="K28" s="3"/>
      <c r="L28" s="3"/>
      <c r="M28" s="3"/>
      <c r="N28" s="106"/>
      <c r="O28" s="106"/>
      <c r="P28" s="106"/>
      <c r="Q28" s="106"/>
      <c r="R28" s="106"/>
      <c r="S28" s="66"/>
      <c r="T28" s="47"/>
      <c r="U28" s="172"/>
      <c r="V28" s="172"/>
      <c r="W28" s="172"/>
    </row>
    <row r="29" spans="2:23" ht="15.75" x14ac:dyDescent="0.25">
      <c r="C29" s="40"/>
      <c r="S29" s="66"/>
      <c r="T29" s="47"/>
      <c r="U29" s="172"/>
      <c r="V29" s="172"/>
      <c r="W29" s="172"/>
    </row>
    <row r="30" spans="2:23" ht="15.75" x14ac:dyDescent="0.25">
      <c r="S30" s="66"/>
      <c r="T30" s="47"/>
      <c r="U30" s="172"/>
      <c r="V30" s="172"/>
      <c r="W30" s="172"/>
    </row>
    <row r="31" spans="2:23" ht="15.75" x14ac:dyDescent="0.25">
      <c r="S31" s="66"/>
      <c r="T31" s="47"/>
      <c r="U31" s="172"/>
      <c r="V31" s="172"/>
      <c r="W31" s="172"/>
    </row>
    <row r="32" spans="2:23" ht="15.75" x14ac:dyDescent="0.25">
      <c r="S32" s="66"/>
      <c r="T32" s="47"/>
      <c r="U32" s="172"/>
      <c r="V32" s="172"/>
      <c r="W32" s="172"/>
    </row>
    <row r="33" spans="19:23" x14ac:dyDescent="0.25">
      <c r="S33" s="106"/>
      <c r="T33" s="106"/>
      <c r="U33" s="106"/>
      <c r="V33" s="106"/>
      <c r="W33" s="106"/>
    </row>
  </sheetData>
  <mergeCells count="16">
    <mergeCell ref="B2:E2"/>
    <mergeCell ref="F2:F3"/>
    <mergeCell ref="G2:G3"/>
    <mergeCell ref="I2:N2"/>
    <mergeCell ref="I3:I4"/>
    <mergeCell ref="J3:L3"/>
    <mergeCell ref="M3:M4"/>
    <mergeCell ref="N3:N4"/>
    <mergeCell ref="B16:I16"/>
    <mergeCell ref="B17:B18"/>
    <mergeCell ref="C17:C18"/>
    <mergeCell ref="D17:D18"/>
    <mergeCell ref="E17:E18"/>
    <mergeCell ref="F17:F18"/>
    <mergeCell ref="G17:H17"/>
    <mergeCell ref="I17:I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33"/>
  <sheetViews>
    <sheetView zoomScale="70" zoomScaleNormal="70" workbookViewId="0">
      <selection activeCell="L14" sqref="L14:N18"/>
    </sheetView>
  </sheetViews>
  <sheetFormatPr defaultRowHeight="15" x14ac:dyDescent="0.25"/>
  <cols>
    <col min="2" max="2" width="14.7109375" customWidth="1"/>
    <col min="7" max="7" width="10.7109375" customWidth="1"/>
    <col min="9" max="9" width="12" customWidth="1"/>
    <col min="12" max="12" width="12.42578125" customWidth="1"/>
    <col min="13" max="13" width="11.140625" customWidth="1"/>
    <col min="14" max="14" width="10.7109375" customWidth="1"/>
    <col min="16" max="16" width="18.85546875" customWidth="1"/>
  </cols>
  <sheetData>
    <row r="2" spans="2:25" ht="15.75" x14ac:dyDescent="0.25">
      <c r="B2" s="189" t="s">
        <v>0</v>
      </c>
      <c r="C2" s="190"/>
      <c r="D2" s="190"/>
      <c r="E2" s="191"/>
      <c r="F2" s="192" t="s">
        <v>1</v>
      </c>
      <c r="G2" s="192" t="s">
        <v>2</v>
      </c>
      <c r="H2" s="3"/>
      <c r="I2" s="189" t="s">
        <v>3</v>
      </c>
      <c r="J2" s="190"/>
      <c r="K2" s="190"/>
      <c r="L2" s="190"/>
      <c r="M2" s="190"/>
      <c r="N2" s="191"/>
      <c r="O2" s="3"/>
      <c r="P2" s="16" t="s">
        <v>4</v>
      </c>
      <c r="Q2" s="108">
        <v>9</v>
      </c>
      <c r="R2" s="106"/>
      <c r="S2" s="68"/>
      <c r="T2" s="68"/>
      <c r="U2" s="68"/>
      <c r="V2" s="68"/>
      <c r="W2" s="68"/>
      <c r="X2" s="172"/>
      <c r="Y2" s="172"/>
    </row>
    <row r="3" spans="2:25" ht="15.75" x14ac:dyDescent="0.25">
      <c r="B3" s="15" t="s">
        <v>5</v>
      </c>
      <c r="C3" s="15">
        <v>1</v>
      </c>
      <c r="D3" s="15">
        <v>2</v>
      </c>
      <c r="E3" s="15">
        <v>3</v>
      </c>
      <c r="F3" s="193"/>
      <c r="G3" s="193"/>
      <c r="H3" s="3"/>
      <c r="I3" s="192" t="s">
        <v>6</v>
      </c>
      <c r="J3" s="189" t="s">
        <v>7</v>
      </c>
      <c r="K3" s="190"/>
      <c r="L3" s="191"/>
      <c r="M3" s="192" t="s">
        <v>1</v>
      </c>
      <c r="N3" s="192" t="s">
        <v>2</v>
      </c>
      <c r="O3" s="3"/>
      <c r="P3" s="16" t="s">
        <v>8</v>
      </c>
      <c r="Q3" s="108">
        <v>3</v>
      </c>
      <c r="R3" s="106"/>
      <c r="S3" s="68"/>
      <c r="T3" s="47"/>
      <c r="U3" s="47"/>
      <c r="V3" s="47"/>
      <c r="W3" s="267"/>
      <c r="X3" s="172"/>
      <c r="Y3" s="172"/>
    </row>
    <row r="4" spans="2:25" ht="15.75" x14ac:dyDescent="0.25">
      <c r="B4" s="108" t="s">
        <v>9</v>
      </c>
      <c r="C4" s="4">
        <v>3.5</v>
      </c>
      <c r="D4" s="4">
        <v>4.08</v>
      </c>
      <c r="E4" s="4">
        <v>2.87</v>
      </c>
      <c r="F4" s="111">
        <f>SUM(C4:E4)</f>
        <v>10.45</v>
      </c>
      <c r="G4" s="5">
        <f>AVERAGE(C4:E4)</f>
        <v>3.4833333333333329</v>
      </c>
      <c r="H4" s="3"/>
      <c r="I4" s="193"/>
      <c r="J4" s="15" t="s">
        <v>10</v>
      </c>
      <c r="K4" s="15" t="s">
        <v>11</v>
      </c>
      <c r="L4" s="15" t="s">
        <v>12</v>
      </c>
      <c r="M4" s="193"/>
      <c r="N4" s="193"/>
      <c r="O4" s="3"/>
      <c r="P4" s="16" t="s">
        <v>13</v>
      </c>
      <c r="Q4" s="108">
        <v>3</v>
      </c>
      <c r="R4" s="106"/>
      <c r="S4" s="68"/>
      <c r="T4" s="47"/>
      <c r="U4" s="47"/>
      <c r="V4" s="47"/>
      <c r="W4" s="267"/>
      <c r="X4" s="172"/>
      <c r="Y4" s="172"/>
    </row>
    <row r="5" spans="2:25" ht="15.75" x14ac:dyDescent="0.25">
      <c r="B5" s="108" t="s">
        <v>14</v>
      </c>
      <c r="C5" s="4">
        <v>7.3</v>
      </c>
      <c r="D5" s="4">
        <v>3.59</v>
      </c>
      <c r="E5" s="4">
        <v>4.2300000000000004</v>
      </c>
      <c r="F5" s="111">
        <f t="shared" ref="F5:F12" si="0">SUM(C5:E5)</f>
        <v>15.120000000000001</v>
      </c>
      <c r="G5" s="5">
        <f t="shared" ref="G5:G12" si="1">AVERAGE(C5:E5)</f>
        <v>5.04</v>
      </c>
      <c r="H5" s="3"/>
      <c r="I5" s="108" t="s">
        <v>15</v>
      </c>
      <c r="J5" s="123">
        <f>F4</f>
        <v>10.45</v>
      </c>
      <c r="K5" s="123">
        <f>F5</f>
        <v>15.120000000000001</v>
      </c>
      <c r="L5" s="123">
        <f>F6</f>
        <v>9.7800000000000011</v>
      </c>
      <c r="M5" s="4">
        <f>SUM(J5:L5)</f>
        <v>35.35</v>
      </c>
      <c r="N5" s="6">
        <f>M5/Q2</f>
        <v>3.927777777777778</v>
      </c>
      <c r="O5" s="3"/>
      <c r="P5" s="16" t="s">
        <v>16</v>
      </c>
      <c r="Q5" s="108">
        <v>3</v>
      </c>
      <c r="R5" s="106"/>
      <c r="S5" s="68"/>
      <c r="T5" s="47"/>
      <c r="U5" s="47"/>
      <c r="V5" s="47"/>
      <c r="W5" s="267"/>
      <c r="X5" s="172"/>
      <c r="Y5" s="172"/>
    </row>
    <row r="6" spans="2:25" ht="15.75" x14ac:dyDescent="0.25">
      <c r="B6" s="108" t="s">
        <v>17</v>
      </c>
      <c r="C6" s="4">
        <v>2.74</v>
      </c>
      <c r="D6" s="4">
        <v>4.03</v>
      </c>
      <c r="E6" s="4">
        <v>3.01</v>
      </c>
      <c r="F6" s="111">
        <f t="shared" si="0"/>
        <v>9.7800000000000011</v>
      </c>
      <c r="G6" s="5">
        <f t="shared" si="1"/>
        <v>3.2600000000000002</v>
      </c>
      <c r="H6" s="3"/>
      <c r="I6" s="108" t="s">
        <v>18</v>
      </c>
      <c r="J6" s="123">
        <f>F7</f>
        <v>9.8099999999999987</v>
      </c>
      <c r="K6" s="123">
        <f>F8</f>
        <v>14.34</v>
      </c>
      <c r="L6" s="123">
        <f>F9</f>
        <v>11.59</v>
      </c>
      <c r="M6" s="4">
        <f t="shared" ref="M6:M7" si="2">SUM(J6:L6)</f>
        <v>35.739999999999995</v>
      </c>
      <c r="N6" s="6">
        <f>M6/Q2</f>
        <v>3.9711111111111106</v>
      </c>
      <c r="O6" s="3"/>
      <c r="P6" s="3"/>
      <c r="Q6" s="3"/>
      <c r="R6" s="106"/>
      <c r="S6" s="267"/>
      <c r="T6" s="47"/>
      <c r="U6" s="47"/>
      <c r="V6" s="47"/>
      <c r="W6" s="267"/>
      <c r="X6" s="172"/>
      <c r="Y6" s="172"/>
    </row>
    <row r="7" spans="2:25" ht="15.75" x14ac:dyDescent="0.25">
      <c r="B7" s="108" t="s">
        <v>19</v>
      </c>
      <c r="C7" s="4">
        <v>2.13</v>
      </c>
      <c r="D7" s="4">
        <v>3.26</v>
      </c>
      <c r="E7" s="4">
        <v>4.42</v>
      </c>
      <c r="F7" s="111">
        <f t="shared" si="0"/>
        <v>9.8099999999999987</v>
      </c>
      <c r="G7" s="5">
        <f>AVERAGE(C7:E7)</f>
        <v>3.2699999999999996</v>
      </c>
      <c r="H7" s="3"/>
      <c r="I7" s="108" t="s">
        <v>20</v>
      </c>
      <c r="J7" s="123">
        <f>F10</f>
        <v>9.75</v>
      </c>
      <c r="K7" s="123">
        <f>F11</f>
        <v>9.26</v>
      </c>
      <c r="L7" s="123">
        <f>F12</f>
        <v>9.57</v>
      </c>
      <c r="M7" s="4">
        <f t="shared" si="2"/>
        <v>28.58</v>
      </c>
      <c r="N7" s="6">
        <f>M7/Q2</f>
        <v>3.1755555555555555</v>
      </c>
      <c r="O7" s="3"/>
      <c r="P7" s="142" t="s">
        <v>21</v>
      </c>
      <c r="Q7" s="143">
        <f>F13^2/(Q4*Q5*Q3)</f>
        <v>367.92995925925936</v>
      </c>
      <c r="R7" s="106"/>
      <c r="S7" s="267"/>
      <c r="T7" s="47"/>
      <c r="U7" s="47"/>
      <c r="V7" s="47"/>
      <c r="W7" s="267"/>
      <c r="X7" s="172"/>
      <c r="Y7" s="172"/>
    </row>
    <row r="8" spans="2:25" ht="15.75" x14ac:dyDescent="0.25">
      <c r="B8" s="108" t="s">
        <v>22</v>
      </c>
      <c r="C8" s="4">
        <v>4.72</v>
      </c>
      <c r="D8" s="4">
        <v>5.97</v>
      </c>
      <c r="E8" s="4">
        <v>3.65</v>
      </c>
      <c r="F8" s="111">
        <f t="shared" si="0"/>
        <v>14.34</v>
      </c>
      <c r="G8" s="5">
        <f t="shared" si="1"/>
        <v>4.78</v>
      </c>
      <c r="H8" s="3"/>
      <c r="I8" s="15" t="s">
        <v>1</v>
      </c>
      <c r="J8" s="4">
        <f>SUM(J5:J7)</f>
        <v>30.009999999999998</v>
      </c>
      <c r="K8" s="4">
        <f t="shared" ref="K8:M8" si="3">SUM(K5:K7)</f>
        <v>38.72</v>
      </c>
      <c r="L8" s="4">
        <f t="shared" si="3"/>
        <v>30.94</v>
      </c>
      <c r="M8" s="125">
        <f t="shared" si="3"/>
        <v>99.67</v>
      </c>
      <c r="N8" s="109"/>
      <c r="O8" s="3"/>
      <c r="P8" s="185" t="s">
        <v>49</v>
      </c>
      <c r="Q8" s="186">
        <f>(SQRT(E24)/G13)*100</f>
        <v>26.446822357017126</v>
      </c>
      <c r="R8" s="106"/>
      <c r="S8" s="267"/>
      <c r="T8" s="47"/>
      <c r="U8" s="47"/>
      <c r="V8" s="47"/>
      <c r="W8" s="267"/>
      <c r="X8" s="172"/>
      <c r="Y8" s="172"/>
    </row>
    <row r="9" spans="2:25" ht="15.75" x14ac:dyDescent="0.25">
      <c r="B9" s="108" t="s">
        <v>23</v>
      </c>
      <c r="C9" s="4">
        <v>4.0599999999999996</v>
      </c>
      <c r="D9" s="4">
        <v>4.53</v>
      </c>
      <c r="E9" s="4">
        <v>3</v>
      </c>
      <c r="F9" s="111">
        <f t="shared" si="0"/>
        <v>11.59</v>
      </c>
      <c r="G9" s="5">
        <f t="shared" si="1"/>
        <v>3.8633333333333333</v>
      </c>
      <c r="H9" s="3"/>
      <c r="I9" s="15" t="s">
        <v>2</v>
      </c>
      <c r="J9" s="6">
        <f>J8/Q2</f>
        <v>3.3344444444444443</v>
      </c>
      <c r="K9" s="6">
        <f>K8/Q2</f>
        <v>4.3022222222222224</v>
      </c>
      <c r="L9" s="6">
        <f>L8/Q2</f>
        <v>3.4377777777777778</v>
      </c>
      <c r="M9" s="109"/>
      <c r="N9" s="109"/>
      <c r="O9" s="3"/>
      <c r="P9" s="3"/>
      <c r="Q9" s="3"/>
      <c r="R9" s="106"/>
      <c r="S9" s="68"/>
      <c r="T9" s="47"/>
      <c r="U9" s="47"/>
      <c r="V9" s="47"/>
      <c r="W9" s="267"/>
      <c r="X9" s="172"/>
      <c r="Y9" s="172"/>
    </row>
    <row r="10" spans="2:25" ht="15.75" x14ac:dyDescent="0.25">
      <c r="B10" s="108" t="s">
        <v>24</v>
      </c>
      <c r="C10" s="4">
        <v>2.95</v>
      </c>
      <c r="D10" s="4">
        <v>4.1399999999999997</v>
      </c>
      <c r="E10" s="4">
        <v>2.66</v>
      </c>
      <c r="F10" s="111">
        <f t="shared" si="0"/>
        <v>9.75</v>
      </c>
      <c r="G10" s="5">
        <f t="shared" si="1"/>
        <v>3.25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106"/>
      <c r="S10" s="68"/>
      <c r="T10" s="47"/>
      <c r="U10" s="47"/>
      <c r="V10" s="47"/>
      <c r="W10" s="267"/>
      <c r="X10" s="172"/>
      <c r="Y10" s="172"/>
    </row>
    <row r="11" spans="2:25" ht="15.75" x14ac:dyDescent="0.25">
      <c r="B11" s="108" t="s">
        <v>25</v>
      </c>
      <c r="C11" s="4">
        <v>3.28</v>
      </c>
      <c r="D11" s="4">
        <v>3.74</v>
      </c>
      <c r="E11" s="4">
        <v>2.2400000000000002</v>
      </c>
      <c r="F11" s="111">
        <f t="shared" si="0"/>
        <v>9.26</v>
      </c>
      <c r="G11" s="5">
        <f t="shared" si="1"/>
        <v>3.0866666666666664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106"/>
      <c r="S11" s="68"/>
      <c r="T11" s="47"/>
      <c r="U11" s="47"/>
      <c r="V11" s="47"/>
      <c r="W11" s="267"/>
      <c r="X11" s="172"/>
      <c r="Y11" s="172"/>
    </row>
    <row r="12" spans="2:25" ht="15.75" x14ac:dyDescent="0.25">
      <c r="B12" s="108" t="s">
        <v>26</v>
      </c>
      <c r="C12" s="4">
        <v>2.95</v>
      </c>
      <c r="D12" s="4">
        <v>3.8</v>
      </c>
      <c r="E12" s="4">
        <v>2.82</v>
      </c>
      <c r="F12" s="111">
        <f t="shared" si="0"/>
        <v>9.57</v>
      </c>
      <c r="G12" s="5">
        <f t="shared" si="1"/>
        <v>3.19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106"/>
      <c r="S12" s="68"/>
      <c r="T12" s="47"/>
      <c r="U12" s="47"/>
      <c r="V12" s="47"/>
      <c r="W12" s="267"/>
      <c r="X12" s="172"/>
      <c r="Y12" s="172"/>
    </row>
    <row r="13" spans="2:25" ht="15.75" x14ac:dyDescent="0.25">
      <c r="B13" s="15" t="s">
        <v>1</v>
      </c>
      <c r="C13" s="7">
        <f>SUM(C4:C12)</f>
        <v>33.630000000000003</v>
      </c>
      <c r="D13" s="7">
        <f t="shared" ref="D13:F13" si="4">SUM(D4:D12)</f>
        <v>37.14</v>
      </c>
      <c r="E13" s="7">
        <f t="shared" si="4"/>
        <v>28.9</v>
      </c>
      <c r="F13" s="140">
        <f t="shared" si="4"/>
        <v>99.670000000000016</v>
      </c>
      <c r="G13" s="7">
        <f>AVERAGE(G4:G12)</f>
        <v>3.6914814814814809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106"/>
      <c r="S13" s="68"/>
      <c r="T13" s="47"/>
      <c r="U13" s="47"/>
      <c r="V13" s="47"/>
      <c r="W13" s="267"/>
      <c r="X13" s="172"/>
      <c r="Y13" s="172"/>
    </row>
    <row r="14" spans="2:25" ht="15.75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  <c r="L14" s="67"/>
      <c r="M14" s="67"/>
      <c r="N14" s="67"/>
      <c r="O14" s="3"/>
      <c r="P14" s="3"/>
      <c r="Q14" s="3"/>
      <c r="R14" s="106"/>
      <c r="S14" s="68"/>
      <c r="T14" s="47"/>
      <c r="U14" s="47"/>
      <c r="V14" s="47"/>
      <c r="W14" s="267"/>
      <c r="X14" s="172"/>
      <c r="Y14" s="172"/>
    </row>
    <row r="15" spans="2:25" ht="15.75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  <c r="L15" s="67"/>
      <c r="M15" s="67"/>
      <c r="N15" s="67"/>
      <c r="O15" s="3"/>
      <c r="P15" s="3"/>
      <c r="Q15" s="3"/>
      <c r="R15" s="106"/>
      <c r="S15" s="68"/>
      <c r="T15" s="47"/>
      <c r="U15" s="47"/>
      <c r="V15" s="47"/>
      <c r="W15" s="267"/>
      <c r="X15" s="172"/>
      <c r="Y15" s="172"/>
    </row>
    <row r="16" spans="2:25" ht="15.75" x14ac:dyDescent="0.25">
      <c r="B16" s="218" t="s">
        <v>82</v>
      </c>
      <c r="C16" s="218"/>
      <c r="D16" s="218"/>
      <c r="E16" s="218"/>
      <c r="F16" s="218"/>
      <c r="G16" s="218"/>
      <c r="H16" s="218"/>
      <c r="I16" s="218"/>
      <c r="J16" s="3"/>
      <c r="K16" s="3"/>
      <c r="L16" s="66"/>
      <c r="M16" s="66"/>
      <c r="N16" s="66"/>
      <c r="O16" s="3"/>
      <c r="P16" s="3"/>
      <c r="Q16" s="3"/>
      <c r="R16" s="106"/>
      <c r="S16" s="68"/>
      <c r="T16" s="47"/>
      <c r="U16" s="47"/>
      <c r="V16" s="47"/>
      <c r="W16" s="267"/>
      <c r="X16" s="172"/>
      <c r="Y16" s="172"/>
    </row>
    <row r="17" spans="2:25" ht="15.75" x14ac:dyDescent="0.25">
      <c r="B17" s="215" t="s">
        <v>31</v>
      </c>
      <c r="C17" s="215" t="s">
        <v>32</v>
      </c>
      <c r="D17" s="215" t="s">
        <v>33</v>
      </c>
      <c r="E17" s="215" t="s">
        <v>34</v>
      </c>
      <c r="F17" s="215" t="s">
        <v>35</v>
      </c>
      <c r="G17" s="215" t="s">
        <v>36</v>
      </c>
      <c r="H17" s="215"/>
      <c r="I17" s="215" t="s">
        <v>37</v>
      </c>
      <c r="J17" s="3"/>
      <c r="K17" s="3"/>
      <c r="L17" s="47"/>
      <c r="M17" s="66"/>
      <c r="N17" s="47"/>
      <c r="O17" s="3"/>
      <c r="P17" s="3"/>
      <c r="Q17" s="3"/>
      <c r="R17" s="106"/>
      <c r="S17" s="68"/>
      <c r="T17" s="47"/>
      <c r="U17" s="47"/>
      <c r="V17" s="47"/>
      <c r="W17" s="267"/>
      <c r="X17" s="172"/>
      <c r="Y17" s="172"/>
    </row>
    <row r="18" spans="2:25" ht="15.75" x14ac:dyDescent="0.25">
      <c r="B18" s="215"/>
      <c r="C18" s="215"/>
      <c r="D18" s="215"/>
      <c r="E18" s="215"/>
      <c r="F18" s="215"/>
      <c r="G18" s="55">
        <v>0.05</v>
      </c>
      <c r="H18" s="55">
        <v>0.01</v>
      </c>
      <c r="I18" s="215"/>
      <c r="J18" s="3"/>
      <c r="K18" s="3"/>
      <c r="L18" s="66"/>
      <c r="M18" s="267"/>
      <c r="N18" s="267"/>
      <c r="O18" s="3"/>
      <c r="P18" s="3"/>
      <c r="Q18" s="3"/>
      <c r="R18" s="106"/>
      <c r="S18" s="68"/>
      <c r="T18" s="47"/>
      <c r="U18" s="47"/>
      <c r="V18" s="47"/>
      <c r="W18" s="267"/>
      <c r="X18" s="172"/>
      <c r="Y18" s="172"/>
    </row>
    <row r="19" spans="2:25" ht="15.75" x14ac:dyDescent="0.25">
      <c r="B19" s="132" t="s">
        <v>39</v>
      </c>
      <c r="C19" s="103">
        <f>Q3-1</f>
        <v>2</v>
      </c>
      <c r="D19" s="4">
        <f>SUMSQ(C13:E13)/(Q4*Q5)-Q7</f>
        <v>3.7996518518517632</v>
      </c>
      <c r="E19" s="4">
        <f t="shared" ref="E19:E25" si="5">D19/C19</f>
        <v>1.8998259259258816</v>
      </c>
      <c r="F19" s="19">
        <f>E19/E24</f>
        <v>1.9932667652057012</v>
      </c>
      <c r="G19" s="4">
        <f>FINV(G18,C19,C24)</f>
        <v>3.6337234675916301</v>
      </c>
      <c r="H19" s="4">
        <f>FINV(H18,C19,C24)</f>
        <v>6.2262352803113821</v>
      </c>
      <c r="I19" s="23" t="str">
        <f>IF(F19&lt;G19,"tn",IF(F19&lt;H19,"*","**"))</f>
        <v>tn</v>
      </c>
      <c r="J19" s="3"/>
      <c r="K19" s="3"/>
      <c r="L19" s="3"/>
      <c r="M19" s="3"/>
      <c r="N19" s="3"/>
      <c r="O19" s="3"/>
      <c r="P19" s="3"/>
      <c r="Q19" s="3"/>
      <c r="R19" s="106"/>
      <c r="S19" s="68"/>
      <c r="T19" s="47"/>
      <c r="U19" s="47"/>
      <c r="V19" s="47"/>
      <c r="W19" s="267"/>
      <c r="X19" s="172"/>
      <c r="Y19" s="172"/>
    </row>
    <row r="20" spans="2:25" ht="15.75" x14ac:dyDescent="0.25">
      <c r="B20" s="132" t="s">
        <v>40</v>
      </c>
      <c r="C20" s="103">
        <f>Q4*Q5-1</f>
        <v>8</v>
      </c>
      <c r="D20" s="4">
        <f>SUMSQ(F4:F12)/Q3-Q7</f>
        <v>12.756740740740611</v>
      </c>
      <c r="E20" s="4">
        <f t="shared" si="5"/>
        <v>1.5945925925925764</v>
      </c>
      <c r="F20" s="19">
        <f>E20/E24</f>
        <v>1.6730208675876228</v>
      </c>
      <c r="G20" s="4">
        <f>FINV(G18,C20,C24)</f>
        <v>2.5910961798744014</v>
      </c>
      <c r="H20" s="4">
        <f>FINV(H18,C20,C24)</f>
        <v>3.8895721399261927</v>
      </c>
      <c r="I20" s="23" t="str">
        <f t="shared" ref="I20:I23" si="6">IF(F20&lt;G20,"tn",IF(F20&lt;H20,"*","**"))</f>
        <v>tn</v>
      </c>
      <c r="J20" s="3"/>
      <c r="K20" s="3"/>
      <c r="L20" s="3"/>
      <c r="M20" s="3"/>
      <c r="N20" s="106"/>
      <c r="O20" s="106"/>
      <c r="P20" s="106"/>
      <c r="Q20" s="106"/>
      <c r="R20" s="106"/>
      <c r="S20" s="68"/>
      <c r="T20" s="47"/>
      <c r="U20" s="47"/>
      <c r="V20" s="47"/>
      <c r="W20" s="267"/>
      <c r="X20" s="172"/>
      <c r="Y20" s="172"/>
    </row>
    <row r="21" spans="2:25" ht="15.75" x14ac:dyDescent="0.25">
      <c r="B21" s="132" t="s">
        <v>43</v>
      </c>
      <c r="C21" s="103">
        <f>Q4-1</f>
        <v>2</v>
      </c>
      <c r="D21" s="4">
        <f>SUMSQ(M5:M7)/(Q4*Q3)-Q7</f>
        <v>3.6018740740738622</v>
      </c>
      <c r="E21" s="4">
        <f t="shared" si="5"/>
        <v>1.8009370370369311</v>
      </c>
      <c r="F21" s="19">
        <f>E21/E24</f>
        <v>1.8895141355670664</v>
      </c>
      <c r="G21" s="4">
        <f>FINV(G18,C21,C24)</f>
        <v>3.6337234675916301</v>
      </c>
      <c r="H21" s="4">
        <f>FINV(H18,C21,C24)</f>
        <v>6.2262352803113821</v>
      </c>
      <c r="I21" s="23" t="str">
        <f t="shared" si="6"/>
        <v>tn</v>
      </c>
      <c r="J21" s="3"/>
      <c r="K21" s="3"/>
      <c r="L21" s="3"/>
      <c r="M21" s="3"/>
      <c r="N21" s="106"/>
      <c r="O21" s="106"/>
      <c r="P21" s="106"/>
      <c r="Q21" s="106"/>
      <c r="R21" s="106"/>
      <c r="S21" s="172"/>
      <c r="T21" s="172"/>
      <c r="U21" s="172"/>
      <c r="V21" s="172"/>
      <c r="W21" s="172"/>
      <c r="X21" s="172"/>
      <c r="Y21" s="172"/>
    </row>
    <row r="22" spans="2:25" ht="15.75" x14ac:dyDescent="0.25">
      <c r="B22" s="132" t="s">
        <v>16</v>
      </c>
      <c r="C22" s="103">
        <f>Q5-1</f>
        <v>2</v>
      </c>
      <c r="D22" s="4">
        <f>SUMSQ(J8:L8)/(Q5*Q3)-Q7</f>
        <v>5.0836074074073281</v>
      </c>
      <c r="E22" s="4">
        <f t="shared" si="5"/>
        <v>2.541803703703664</v>
      </c>
      <c r="F22" s="19">
        <f>E22/E24</f>
        <v>2.6668195107402348</v>
      </c>
      <c r="G22" s="4">
        <f>FINV(G18,C22,C24)</f>
        <v>3.6337234675916301</v>
      </c>
      <c r="H22" s="4">
        <f>FINV(H18,C22,C24)</f>
        <v>6.2262352803113821</v>
      </c>
      <c r="I22" s="23" t="str">
        <f t="shared" si="6"/>
        <v>tn</v>
      </c>
      <c r="J22" s="3"/>
      <c r="K22" s="3"/>
      <c r="L22" s="3"/>
      <c r="M22" s="3"/>
      <c r="N22" s="106"/>
      <c r="O22" s="106"/>
      <c r="P22" s="106"/>
      <c r="Q22" s="106"/>
      <c r="R22" s="106"/>
      <c r="S22" s="172"/>
      <c r="T22" s="172"/>
      <c r="U22" s="172"/>
      <c r="V22" s="172"/>
      <c r="W22" s="172"/>
      <c r="X22" s="172"/>
      <c r="Y22" s="172"/>
    </row>
    <row r="23" spans="2:25" ht="15.75" x14ac:dyDescent="0.25">
      <c r="B23" s="132" t="s">
        <v>46</v>
      </c>
      <c r="C23" s="103">
        <f>C21*C22</f>
        <v>4</v>
      </c>
      <c r="D23" s="4">
        <f>D20-D21-D22</f>
        <v>4.0712592592594206</v>
      </c>
      <c r="E23" s="4">
        <f t="shared" si="5"/>
        <v>1.0178148148148551</v>
      </c>
      <c r="F23" s="19">
        <f>E23/E24</f>
        <v>1.0678749120215951</v>
      </c>
      <c r="G23" s="4">
        <f>FINV(G18,C23,C24)</f>
        <v>3.0069172799243447</v>
      </c>
      <c r="H23" s="4">
        <f>FINV(H18,C23,C24)</f>
        <v>4.772577999723211</v>
      </c>
      <c r="I23" s="23" t="str">
        <f t="shared" si="6"/>
        <v>tn</v>
      </c>
      <c r="J23" s="3"/>
      <c r="K23" s="3"/>
      <c r="L23" s="3"/>
      <c r="M23" s="3"/>
      <c r="N23" s="106"/>
      <c r="O23" s="106"/>
      <c r="P23" s="106"/>
      <c r="Q23" s="106"/>
      <c r="R23" s="106"/>
      <c r="S23" s="68"/>
      <c r="T23" s="68"/>
      <c r="U23" s="172"/>
      <c r="V23" s="172"/>
      <c r="W23" s="172"/>
      <c r="X23" s="172"/>
      <c r="Y23" s="172"/>
    </row>
    <row r="24" spans="2:25" ht="15.75" x14ac:dyDescent="0.25">
      <c r="B24" s="132" t="s">
        <v>47</v>
      </c>
      <c r="C24" s="103">
        <f>C25-C19-C20</f>
        <v>16</v>
      </c>
      <c r="D24" s="4">
        <f>D25-D19-D20</f>
        <v>15.249948148148235</v>
      </c>
      <c r="E24" s="4">
        <f t="shared" si="5"/>
        <v>0.95312175925926468</v>
      </c>
      <c r="F24" s="81"/>
      <c r="G24" s="81"/>
      <c r="H24" s="81"/>
      <c r="I24" s="81"/>
      <c r="J24" s="3"/>
      <c r="K24" s="3"/>
      <c r="L24" s="3"/>
      <c r="M24" s="3"/>
      <c r="N24" s="106"/>
      <c r="O24" s="106"/>
      <c r="P24" s="106"/>
      <c r="Q24" s="106"/>
      <c r="R24" s="106"/>
      <c r="S24" s="66"/>
      <c r="T24" s="47"/>
      <c r="U24" s="172"/>
      <c r="V24" s="172"/>
      <c r="W24" s="172"/>
      <c r="X24" s="172"/>
      <c r="Y24" s="172"/>
    </row>
    <row r="25" spans="2:25" ht="15.75" x14ac:dyDescent="0.25">
      <c r="B25" s="132" t="s">
        <v>48</v>
      </c>
      <c r="C25" s="103">
        <f>Q4*Q5*Q3-1</f>
        <v>26</v>
      </c>
      <c r="D25" s="12">
        <f>SUMSQ(C4:E12)-Q7</f>
        <v>31.806340740740609</v>
      </c>
      <c r="E25" s="4">
        <f t="shared" si="5"/>
        <v>1.2233207977207927</v>
      </c>
      <c r="F25" s="81"/>
      <c r="G25" s="81"/>
      <c r="H25" s="81"/>
      <c r="I25" s="81"/>
      <c r="J25" s="3"/>
      <c r="K25" s="3"/>
      <c r="L25" s="3"/>
      <c r="M25" s="3"/>
      <c r="N25" s="106"/>
      <c r="O25" s="106"/>
      <c r="P25" s="106"/>
      <c r="Q25" s="106"/>
      <c r="R25" s="106"/>
      <c r="S25" s="66"/>
      <c r="T25" s="47"/>
      <c r="U25" s="172"/>
      <c r="V25" s="172"/>
      <c r="W25" s="172"/>
      <c r="X25" s="172"/>
      <c r="Y25" s="172"/>
    </row>
    <row r="26" spans="2:25" ht="15.75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106"/>
      <c r="O26" s="106"/>
      <c r="P26" s="106"/>
      <c r="Q26" s="106"/>
      <c r="R26" s="106"/>
      <c r="S26" s="66"/>
      <c r="T26" s="47"/>
      <c r="U26" s="172"/>
      <c r="V26" s="172"/>
      <c r="W26" s="172"/>
      <c r="X26" s="172"/>
      <c r="Y26" s="172"/>
    </row>
    <row r="27" spans="2:25" ht="15.75" x14ac:dyDescent="0.25">
      <c r="B27" s="3"/>
      <c r="C27" s="40"/>
      <c r="D27" s="3"/>
      <c r="E27" s="3"/>
      <c r="F27" s="3"/>
      <c r="G27" s="3"/>
      <c r="H27" s="3"/>
      <c r="I27" s="3"/>
      <c r="J27" s="3"/>
      <c r="K27" s="3"/>
      <c r="L27" s="3"/>
      <c r="M27" s="3"/>
      <c r="N27" s="106"/>
      <c r="O27" s="106"/>
      <c r="P27" s="106"/>
      <c r="Q27" s="106"/>
      <c r="R27" s="106"/>
      <c r="S27" s="66"/>
      <c r="T27" s="47"/>
      <c r="U27" s="172"/>
      <c r="V27" s="172"/>
      <c r="W27" s="172"/>
      <c r="X27" s="172"/>
      <c r="Y27" s="172"/>
    </row>
    <row r="28" spans="2:25" ht="15.75" x14ac:dyDescent="0.25">
      <c r="C28" s="40"/>
      <c r="S28" s="66"/>
      <c r="T28" s="47"/>
      <c r="U28" s="172"/>
      <c r="V28" s="172"/>
      <c r="W28" s="172"/>
      <c r="X28" s="172"/>
      <c r="Y28" s="172"/>
    </row>
    <row r="29" spans="2:25" ht="15.75" x14ac:dyDescent="0.25">
      <c r="C29" s="40"/>
      <c r="S29" s="66"/>
      <c r="T29" s="47"/>
      <c r="U29" s="172"/>
      <c r="V29" s="172"/>
      <c r="W29" s="172"/>
      <c r="X29" s="172"/>
      <c r="Y29" s="172"/>
    </row>
    <row r="30" spans="2:25" ht="15.75" x14ac:dyDescent="0.25">
      <c r="S30" s="66"/>
      <c r="T30" s="47"/>
      <c r="U30" s="172"/>
      <c r="V30" s="172"/>
      <c r="W30" s="172"/>
      <c r="X30" s="172"/>
      <c r="Y30" s="172"/>
    </row>
    <row r="31" spans="2:25" ht="15.75" x14ac:dyDescent="0.25">
      <c r="S31" s="66"/>
      <c r="T31" s="47"/>
      <c r="U31" s="172"/>
      <c r="V31" s="172"/>
      <c r="W31" s="172"/>
      <c r="X31" s="172"/>
      <c r="Y31" s="172"/>
    </row>
    <row r="32" spans="2:25" ht="15.75" x14ac:dyDescent="0.25">
      <c r="S32" s="66"/>
      <c r="T32" s="47"/>
      <c r="U32" s="172"/>
      <c r="V32" s="172"/>
      <c r="W32" s="172"/>
      <c r="X32" s="172"/>
      <c r="Y32" s="172"/>
    </row>
    <row r="33" spans="19:23" x14ac:dyDescent="0.25">
      <c r="S33" s="106"/>
      <c r="T33" s="106"/>
      <c r="U33" s="106"/>
      <c r="V33" s="106"/>
      <c r="W33" s="106"/>
    </row>
  </sheetData>
  <mergeCells count="16">
    <mergeCell ref="B2:E2"/>
    <mergeCell ref="F2:F3"/>
    <mergeCell ref="G2:G3"/>
    <mergeCell ref="I2:N2"/>
    <mergeCell ref="I3:I4"/>
    <mergeCell ref="J3:L3"/>
    <mergeCell ref="M3:M4"/>
    <mergeCell ref="N3:N4"/>
    <mergeCell ref="B16:I16"/>
    <mergeCell ref="B17:B18"/>
    <mergeCell ref="C17:C18"/>
    <mergeCell ref="D17:D18"/>
    <mergeCell ref="E17:E18"/>
    <mergeCell ref="F17:F18"/>
    <mergeCell ref="G17:H17"/>
    <mergeCell ref="I17:I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35"/>
  <sheetViews>
    <sheetView topLeftCell="I1" zoomScale="70" zoomScaleNormal="70" workbookViewId="0">
      <selection activeCell="Q17" sqref="Q17"/>
    </sheetView>
  </sheetViews>
  <sheetFormatPr defaultRowHeight="15" x14ac:dyDescent="0.25"/>
  <cols>
    <col min="2" max="2" width="15.140625" customWidth="1"/>
    <col min="6" max="6" width="12.42578125" customWidth="1"/>
    <col min="7" max="7" width="10.7109375" customWidth="1"/>
    <col min="9" max="9" width="12" customWidth="1"/>
    <col min="11" max="11" width="10.5703125" customWidth="1"/>
    <col min="12" max="12" width="13.85546875" customWidth="1"/>
    <col min="13" max="13" width="11.42578125" customWidth="1"/>
    <col min="14" max="14" width="10.42578125" customWidth="1"/>
    <col min="16" max="16" width="19" customWidth="1"/>
    <col min="26" max="26" width="19.28515625" customWidth="1"/>
    <col min="27" max="27" width="18" customWidth="1"/>
    <col min="29" max="29" width="14.28515625" customWidth="1"/>
  </cols>
  <sheetData>
    <row r="2" spans="2:29" ht="15.75" x14ac:dyDescent="0.25">
      <c r="B2" s="189" t="s">
        <v>0</v>
      </c>
      <c r="C2" s="190"/>
      <c r="D2" s="190"/>
      <c r="E2" s="191"/>
      <c r="F2" s="192" t="s">
        <v>1</v>
      </c>
      <c r="G2" s="192" t="s">
        <v>2</v>
      </c>
      <c r="H2" s="3"/>
      <c r="I2" s="189" t="s">
        <v>3</v>
      </c>
      <c r="J2" s="190"/>
      <c r="K2" s="190"/>
      <c r="L2" s="190"/>
      <c r="M2" s="190"/>
      <c r="N2" s="191"/>
      <c r="O2" s="3"/>
      <c r="P2" s="16" t="s">
        <v>4</v>
      </c>
      <c r="Q2" s="108">
        <v>9</v>
      </c>
      <c r="R2" s="106"/>
      <c r="S2" s="68"/>
      <c r="T2" s="68"/>
      <c r="U2" s="68"/>
      <c r="V2" s="68"/>
      <c r="W2" s="68"/>
      <c r="X2" s="172"/>
      <c r="Y2" s="172"/>
      <c r="Z2" s="266"/>
      <c r="AA2" s="266"/>
      <c r="AB2" s="266"/>
      <c r="AC2" s="266"/>
    </row>
    <row r="3" spans="2:29" ht="15.75" x14ac:dyDescent="0.25">
      <c r="B3" s="15" t="s">
        <v>5</v>
      </c>
      <c r="C3" s="15">
        <v>1</v>
      </c>
      <c r="D3" s="15">
        <v>2</v>
      </c>
      <c r="E3" s="15">
        <v>3</v>
      </c>
      <c r="F3" s="193"/>
      <c r="G3" s="193"/>
      <c r="H3" s="3"/>
      <c r="I3" s="192" t="s">
        <v>6</v>
      </c>
      <c r="J3" s="189" t="s">
        <v>7</v>
      </c>
      <c r="K3" s="190"/>
      <c r="L3" s="191"/>
      <c r="M3" s="192" t="s">
        <v>1</v>
      </c>
      <c r="N3" s="192" t="s">
        <v>2</v>
      </c>
      <c r="O3" s="3"/>
      <c r="P3" s="16" t="s">
        <v>8</v>
      </c>
      <c r="Q3" s="108">
        <v>3</v>
      </c>
      <c r="R3" s="106"/>
      <c r="S3" s="68"/>
      <c r="T3" s="47"/>
      <c r="U3" s="47"/>
      <c r="V3" s="47"/>
      <c r="W3" s="267"/>
      <c r="X3" s="172"/>
      <c r="Y3" s="172"/>
      <c r="Z3" s="268"/>
      <c r="AA3" s="268"/>
      <c r="AB3" s="268"/>
      <c r="AC3" s="268"/>
    </row>
    <row r="4" spans="2:29" ht="15.75" x14ac:dyDescent="0.25">
      <c r="B4" s="108" t="s">
        <v>9</v>
      </c>
      <c r="C4" s="4">
        <v>16.13</v>
      </c>
      <c r="D4" s="4">
        <v>9.94</v>
      </c>
      <c r="E4" s="4">
        <v>15.53</v>
      </c>
      <c r="F4" s="113">
        <f>SUM(C4:E4)</f>
        <v>41.6</v>
      </c>
      <c r="G4" s="5">
        <f>AVERAGE(C4:E4)</f>
        <v>13.866666666666667</v>
      </c>
      <c r="H4" s="3"/>
      <c r="I4" s="193"/>
      <c r="J4" s="15" t="s">
        <v>10</v>
      </c>
      <c r="K4" s="15" t="s">
        <v>11</v>
      </c>
      <c r="L4" s="15" t="s">
        <v>12</v>
      </c>
      <c r="M4" s="193"/>
      <c r="N4" s="193"/>
      <c r="O4" s="3"/>
      <c r="P4" s="16" t="s">
        <v>13</v>
      </c>
      <c r="Q4" s="108">
        <v>3</v>
      </c>
      <c r="R4" s="106"/>
      <c r="S4" s="68"/>
      <c r="T4" s="47"/>
      <c r="U4" s="47"/>
      <c r="V4" s="47"/>
      <c r="W4" s="267"/>
      <c r="X4" s="172"/>
      <c r="Y4" s="172"/>
      <c r="Z4" s="269"/>
      <c r="AA4" s="269"/>
      <c r="AB4" s="269"/>
      <c r="AC4" s="270"/>
    </row>
    <row r="5" spans="2:29" ht="15.75" x14ac:dyDescent="0.25">
      <c r="B5" s="108" t="s">
        <v>14</v>
      </c>
      <c r="C5" s="4">
        <v>15.72</v>
      </c>
      <c r="D5" s="4">
        <v>20.89</v>
      </c>
      <c r="E5" s="4">
        <v>12.22</v>
      </c>
      <c r="F5" s="113">
        <f t="shared" ref="F5:F12" si="0">SUM(C5:E5)</f>
        <v>48.83</v>
      </c>
      <c r="G5" s="5">
        <f t="shared" ref="G5:G12" si="1">AVERAGE(C5:E5)</f>
        <v>16.276666666666667</v>
      </c>
      <c r="H5" s="3"/>
      <c r="I5" s="108" t="s">
        <v>15</v>
      </c>
      <c r="J5" s="82">
        <f>F4</f>
        <v>41.6</v>
      </c>
      <c r="K5" s="82">
        <f>F5</f>
        <v>48.83</v>
      </c>
      <c r="L5" s="82">
        <f>F6</f>
        <v>48.45</v>
      </c>
      <c r="M5" s="4">
        <f>SUM(J5:L5)</f>
        <v>138.88</v>
      </c>
      <c r="N5" s="6">
        <f>M5/Q2</f>
        <v>15.431111111111111</v>
      </c>
      <c r="O5" s="3"/>
      <c r="P5" s="16" t="s">
        <v>16</v>
      </c>
      <c r="Q5" s="108">
        <v>3</v>
      </c>
      <c r="R5" s="106"/>
      <c r="S5" s="68"/>
      <c r="T5" s="47"/>
      <c r="U5" s="47"/>
      <c r="V5" s="47"/>
      <c r="W5" s="267"/>
      <c r="X5" s="172"/>
      <c r="Y5" s="172"/>
      <c r="Z5" s="269"/>
      <c r="AA5" s="269"/>
      <c r="AB5" s="269"/>
      <c r="AC5" s="270"/>
    </row>
    <row r="6" spans="2:29" ht="15.75" x14ac:dyDescent="0.25">
      <c r="B6" s="108" t="s">
        <v>17</v>
      </c>
      <c r="C6" s="4">
        <v>12.83</v>
      </c>
      <c r="D6" s="4">
        <v>17.57</v>
      </c>
      <c r="E6" s="4">
        <v>18.05</v>
      </c>
      <c r="F6" s="113">
        <f t="shared" si="0"/>
        <v>48.45</v>
      </c>
      <c r="G6" s="5">
        <f t="shared" si="1"/>
        <v>16.150000000000002</v>
      </c>
      <c r="H6" s="3"/>
      <c r="I6" s="108" t="s">
        <v>18</v>
      </c>
      <c r="J6" s="82">
        <f>F7</f>
        <v>60.459999999999994</v>
      </c>
      <c r="K6" s="82">
        <f>F8</f>
        <v>53.29</v>
      </c>
      <c r="L6" s="82">
        <f>F9</f>
        <v>60.78</v>
      </c>
      <c r="M6" s="4">
        <f t="shared" ref="M6:M7" si="2">SUM(J6:L6)</f>
        <v>174.53</v>
      </c>
      <c r="N6" s="6">
        <f>M6/Q2</f>
        <v>19.392222222222223</v>
      </c>
      <c r="O6" s="3"/>
      <c r="P6" s="3"/>
      <c r="Q6" s="3"/>
      <c r="R6" s="106"/>
      <c r="S6" s="267"/>
      <c r="T6" s="47"/>
      <c r="U6" s="47"/>
      <c r="V6" s="47"/>
      <c r="W6" s="267"/>
      <c r="X6" s="172"/>
      <c r="Y6" s="172"/>
      <c r="Z6" s="269"/>
      <c r="AA6" s="269"/>
      <c r="AB6" s="269"/>
      <c r="AC6" s="270"/>
    </row>
    <row r="7" spans="2:29" ht="15.75" x14ac:dyDescent="0.25">
      <c r="B7" s="108" t="s">
        <v>19</v>
      </c>
      <c r="C7" s="4">
        <v>21.43</v>
      </c>
      <c r="D7" s="4">
        <v>24.58</v>
      </c>
      <c r="E7" s="4">
        <v>14.45</v>
      </c>
      <c r="F7" s="113">
        <f t="shared" si="0"/>
        <v>60.459999999999994</v>
      </c>
      <c r="G7" s="5">
        <f>AVERAGE(C7:E7)</f>
        <v>20.153333333333332</v>
      </c>
      <c r="H7" s="3"/>
      <c r="I7" s="108" t="s">
        <v>20</v>
      </c>
      <c r="J7" s="82">
        <f>F10</f>
        <v>55.22</v>
      </c>
      <c r="K7" s="82">
        <f>F11</f>
        <v>53.54</v>
      </c>
      <c r="L7" s="82">
        <f>F12</f>
        <v>51.94</v>
      </c>
      <c r="M7" s="4">
        <f t="shared" si="2"/>
        <v>160.69999999999999</v>
      </c>
      <c r="N7" s="6">
        <f>M7/Q2</f>
        <v>17.855555555555554</v>
      </c>
      <c r="O7" s="3"/>
      <c r="P7" s="142" t="s">
        <v>21</v>
      </c>
      <c r="Q7" s="187">
        <f>F13^2/(Q4*Q5*Q3)</f>
        <v>8325.1960037037043</v>
      </c>
      <c r="R7" s="106"/>
      <c r="S7" s="267"/>
      <c r="T7" s="47"/>
      <c r="U7" s="47"/>
      <c r="V7" s="47"/>
      <c r="W7" s="267"/>
      <c r="X7" s="172"/>
      <c r="Y7" s="172"/>
      <c r="Z7" s="269"/>
      <c r="AA7" s="268"/>
      <c r="AB7" s="269"/>
      <c r="AC7" s="270"/>
    </row>
    <row r="8" spans="2:29" ht="15.75" x14ac:dyDescent="0.25">
      <c r="B8" s="108" t="s">
        <v>22</v>
      </c>
      <c r="C8" s="4">
        <v>18.079999999999998</v>
      </c>
      <c r="D8" s="4">
        <v>19.579999999999998</v>
      </c>
      <c r="E8" s="4">
        <v>15.63</v>
      </c>
      <c r="F8" s="113">
        <f t="shared" si="0"/>
        <v>53.29</v>
      </c>
      <c r="G8" s="5">
        <f t="shared" si="1"/>
        <v>17.763333333333332</v>
      </c>
      <c r="H8" s="3"/>
      <c r="I8" s="15" t="s">
        <v>1</v>
      </c>
      <c r="J8" s="4">
        <f>SUM(J5:J7)</f>
        <v>157.28</v>
      </c>
      <c r="K8" s="4">
        <f t="shared" ref="K8:M8" si="3">SUM(K5:K7)</f>
        <v>155.66</v>
      </c>
      <c r="L8" s="4">
        <f t="shared" si="3"/>
        <v>161.17000000000002</v>
      </c>
      <c r="M8" s="126">
        <f t="shared" si="3"/>
        <v>474.10999999999996</v>
      </c>
      <c r="N8" s="127"/>
      <c r="O8" s="3"/>
      <c r="P8" s="185" t="s">
        <v>49</v>
      </c>
      <c r="Q8" s="186">
        <f>(SQRT(E24)/G13)*100</f>
        <v>16.079974004550163</v>
      </c>
      <c r="R8" s="106"/>
      <c r="S8" s="267"/>
      <c r="T8" s="47"/>
      <c r="U8" s="47"/>
      <c r="V8" s="47"/>
      <c r="W8" s="267"/>
      <c r="X8" s="172"/>
      <c r="Y8" s="172"/>
      <c r="Z8" s="269"/>
      <c r="AA8" s="268"/>
      <c r="AB8" s="269"/>
      <c r="AC8" s="270"/>
    </row>
    <row r="9" spans="2:29" ht="15.75" x14ac:dyDescent="0.25">
      <c r="B9" s="108" t="s">
        <v>23</v>
      </c>
      <c r="C9" s="4">
        <v>20.48</v>
      </c>
      <c r="D9" s="4">
        <v>21.75</v>
      </c>
      <c r="E9" s="4">
        <v>18.55</v>
      </c>
      <c r="F9" s="113">
        <f t="shared" si="0"/>
        <v>60.78</v>
      </c>
      <c r="G9" s="5">
        <f t="shared" si="1"/>
        <v>20.260000000000002</v>
      </c>
      <c r="H9" s="3"/>
      <c r="I9" s="15" t="s">
        <v>2</v>
      </c>
      <c r="J9" s="6">
        <f>J8/Q2</f>
        <v>17.475555555555555</v>
      </c>
      <c r="K9" s="6">
        <f>K8/Q2</f>
        <v>17.295555555555556</v>
      </c>
      <c r="L9" s="6">
        <f>L8/Q2</f>
        <v>17.907777777777781</v>
      </c>
      <c r="M9" s="127"/>
      <c r="N9" s="127"/>
      <c r="O9" s="3"/>
      <c r="P9" s="3"/>
      <c r="Q9" s="3"/>
      <c r="R9" s="106"/>
      <c r="S9" s="68"/>
      <c r="T9" s="47"/>
      <c r="U9" s="47"/>
      <c r="V9" s="47"/>
      <c r="W9" s="267"/>
      <c r="X9" s="172"/>
      <c r="Y9" s="172"/>
      <c r="Z9" s="269"/>
      <c r="AA9" s="268"/>
      <c r="AB9" s="269"/>
      <c r="AC9" s="270"/>
    </row>
    <row r="10" spans="2:29" ht="15.75" x14ac:dyDescent="0.25">
      <c r="B10" s="108" t="s">
        <v>24</v>
      </c>
      <c r="C10" s="4">
        <v>17.079999999999998</v>
      </c>
      <c r="D10" s="4">
        <v>21.27</v>
      </c>
      <c r="E10" s="4">
        <v>16.87</v>
      </c>
      <c r="F10" s="113">
        <f t="shared" si="0"/>
        <v>55.22</v>
      </c>
      <c r="G10" s="5">
        <f t="shared" si="1"/>
        <v>18.406666666666666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106"/>
      <c r="S10" s="68"/>
      <c r="T10" s="47"/>
      <c r="U10" s="47"/>
      <c r="V10" s="47"/>
      <c r="W10" s="267"/>
      <c r="X10" s="172"/>
      <c r="Y10" s="172"/>
      <c r="Z10" s="269"/>
      <c r="AA10" s="268"/>
      <c r="AB10" s="269"/>
      <c r="AC10" s="270"/>
    </row>
    <row r="11" spans="2:29" ht="15.75" x14ac:dyDescent="0.25">
      <c r="B11" s="108" t="s">
        <v>25</v>
      </c>
      <c r="C11" s="4">
        <v>17.89</v>
      </c>
      <c r="D11" s="4">
        <v>20.46</v>
      </c>
      <c r="E11" s="4">
        <v>15.19</v>
      </c>
      <c r="F11" s="113">
        <f t="shared" si="0"/>
        <v>53.54</v>
      </c>
      <c r="G11" s="5">
        <f t="shared" si="1"/>
        <v>17.846666666666668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106"/>
      <c r="S11" s="68"/>
      <c r="T11" s="47"/>
      <c r="U11" s="47"/>
      <c r="V11" s="47"/>
      <c r="W11" s="267"/>
      <c r="X11" s="172"/>
      <c r="Y11" s="172"/>
      <c r="Z11" s="269"/>
      <c r="AA11" s="268"/>
      <c r="AB11" s="269"/>
      <c r="AC11" s="270"/>
    </row>
    <row r="12" spans="2:29" ht="15.75" x14ac:dyDescent="0.25">
      <c r="B12" s="108" t="s">
        <v>26</v>
      </c>
      <c r="C12" s="4">
        <v>18.02</v>
      </c>
      <c r="D12" s="4">
        <v>16.399999999999999</v>
      </c>
      <c r="E12" s="4">
        <v>17.52</v>
      </c>
      <c r="F12" s="113">
        <f t="shared" si="0"/>
        <v>51.94</v>
      </c>
      <c r="G12" s="5">
        <f t="shared" si="1"/>
        <v>17.313333333333333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106"/>
      <c r="S12" s="68"/>
      <c r="T12" s="47"/>
      <c r="U12" s="47"/>
      <c r="V12" s="47"/>
      <c r="W12" s="267"/>
      <c r="X12" s="172"/>
      <c r="Y12" s="172"/>
      <c r="Z12" s="269"/>
      <c r="AA12" s="268"/>
      <c r="AB12" s="269"/>
      <c r="AC12" s="270"/>
    </row>
    <row r="13" spans="2:29" ht="15.75" x14ac:dyDescent="0.25">
      <c r="B13" s="15" t="s">
        <v>1</v>
      </c>
      <c r="C13" s="7">
        <f>SUM(C4:C12)</f>
        <v>157.66</v>
      </c>
      <c r="D13" s="7">
        <f t="shared" ref="D13:F13" si="4">SUM(D4:D12)</f>
        <v>172.44</v>
      </c>
      <c r="E13" s="88">
        <f t="shared" si="4"/>
        <v>144.01</v>
      </c>
      <c r="F13" s="31">
        <f t="shared" si="4"/>
        <v>474.11</v>
      </c>
      <c r="G13" s="7">
        <f>AVERAGE(G4:G12)</f>
        <v>17.559629629629633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106"/>
      <c r="S13" s="68"/>
      <c r="T13" s="47"/>
      <c r="U13" s="47"/>
      <c r="V13" s="47"/>
      <c r="W13" s="267"/>
      <c r="X13" s="172"/>
      <c r="Y13" s="172"/>
      <c r="Z13" s="269"/>
      <c r="AA13" s="268"/>
      <c r="AB13" s="269"/>
      <c r="AC13" s="270"/>
    </row>
    <row r="14" spans="2:29" ht="15.75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106"/>
      <c r="S14" s="68"/>
      <c r="T14" s="47"/>
      <c r="U14" s="47"/>
      <c r="V14" s="47"/>
      <c r="W14" s="267"/>
      <c r="X14" s="172"/>
      <c r="Y14" s="172"/>
      <c r="Z14" s="269"/>
      <c r="AA14" s="268"/>
      <c r="AB14" s="269"/>
      <c r="AC14" s="270"/>
    </row>
    <row r="15" spans="2:29" ht="15.75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106"/>
      <c r="S15" s="68"/>
      <c r="T15" s="47"/>
      <c r="U15" s="47"/>
      <c r="V15" s="47"/>
      <c r="W15" s="267"/>
      <c r="X15" s="172"/>
      <c r="Y15" s="172"/>
      <c r="Z15" s="269"/>
      <c r="AA15" s="268"/>
      <c r="AB15" s="269"/>
      <c r="AC15" s="270"/>
    </row>
    <row r="16" spans="2:29" ht="15.75" x14ac:dyDescent="0.25">
      <c r="B16" s="221" t="s">
        <v>83</v>
      </c>
      <c r="C16" s="221"/>
      <c r="D16" s="221"/>
      <c r="E16" s="221"/>
      <c r="F16" s="221"/>
      <c r="G16" s="221"/>
      <c r="H16" s="221"/>
      <c r="I16" s="221"/>
      <c r="J16" s="3"/>
      <c r="K16" s="3"/>
      <c r="L16" s="56" t="s">
        <v>28</v>
      </c>
      <c r="M16" s="56" t="s">
        <v>29</v>
      </c>
      <c r="N16" s="56" t="s">
        <v>30</v>
      </c>
      <c r="O16" s="3"/>
      <c r="P16" s="3"/>
      <c r="Q16" s="3"/>
      <c r="R16" s="106"/>
      <c r="S16" s="68"/>
      <c r="T16" s="47"/>
      <c r="U16" s="47"/>
      <c r="V16" s="47"/>
      <c r="W16" s="267"/>
      <c r="X16" s="172"/>
      <c r="Y16" s="172"/>
      <c r="Z16" s="269"/>
      <c r="AA16" s="268"/>
      <c r="AB16" s="269"/>
      <c r="AC16" s="270"/>
    </row>
    <row r="17" spans="2:29" ht="15.75" x14ac:dyDescent="0.25">
      <c r="B17" s="215" t="s">
        <v>31</v>
      </c>
      <c r="C17" s="215" t="s">
        <v>32</v>
      </c>
      <c r="D17" s="215" t="s">
        <v>33</v>
      </c>
      <c r="E17" s="215" t="s">
        <v>34</v>
      </c>
      <c r="F17" s="215" t="s">
        <v>35</v>
      </c>
      <c r="G17" s="215" t="s">
        <v>36</v>
      </c>
      <c r="H17" s="215"/>
      <c r="I17" s="215" t="s">
        <v>37</v>
      </c>
      <c r="J17" s="3"/>
      <c r="K17" s="3"/>
      <c r="L17" s="4">
        <f>SQRT(E24/Q2)</f>
        <v>0.94119462657991093</v>
      </c>
      <c r="M17" s="103">
        <v>3.65</v>
      </c>
      <c r="N17" s="4">
        <f>L17*M17</f>
        <v>3.4353603870166749</v>
      </c>
      <c r="O17" s="3"/>
      <c r="P17" s="3"/>
      <c r="Q17" s="3"/>
      <c r="R17" s="106"/>
      <c r="S17" s="68"/>
      <c r="T17" s="47"/>
      <c r="U17" s="47"/>
      <c r="V17" s="47"/>
      <c r="W17" s="267"/>
      <c r="X17" s="172"/>
      <c r="Y17" s="172"/>
      <c r="Z17" s="269"/>
      <c r="AA17" s="268"/>
      <c r="AB17" s="269"/>
      <c r="AC17" s="270"/>
    </row>
    <row r="18" spans="2:29" ht="15.75" x14ac:dyDescent="0.25">
      <c r="B18" s="215"/>
      <c r="C18" s="215"/>
      <c r="D18" s="215"/>
      <c r="E18" s="215"/>
      <c r="F18" s="215"/>
      <c r="G18" s="55">
        <v>0.05</v>
      </c>
      <c r="H18" s="55">
        <v>0.01</v>
      </c>
      <c r="I18" s="215"/>
      <c r="J18" s="3"/>
      <c r="K18" s="3"/>
      <c r="L18" s="141" t="s">
        <v>38</v>
      </c>
      <c r="M18" s="216">
        <f>M17*L17</f>
        <v>3.4353603870166749</v>
      </c>
      <c r="N18" s="217"/>
      <c r="O18" s="3"/>
      <c r="P18" s="3"/>
      <c r="Q18" s="3"/>
      <c r="R18" s="106"/>
      <c r="S18" s="68"/>
      <c r="T18" s="47"/>
      <c r="U18" s="47"/>
      <c r="V18" s="47"/>
      <c r="W18" s="267"/>
      <c r="X18" s="172"/>
      <c r="Y18" s="172"/>
      <c r="Z18" s="269"/>
      <c r="AA18" s="268"/>
      <c r="AB18" s="269"/>
      <c r="AC18" s="270"/>
    </row>
    <row r="19" spans="2:29" ht="15.75" x14ac:dyDescent="0.25">
      <c r="B19" s="131" t="s">
        <v>39</v>
      </c>
      <c r="C19" s="103">
        <f>Q3-1</f>
        <v>2</v>
      </c>
      <c r="D19" s="4">
        <f>SUMSQ(C13:E13)/(Q4*Q5)-Q7</f>
        <v>44.927251851850087</v>
      </c>
      <c r="E19" s="4">
        <f t="shared" ref="E19:E25" si="5">D19/C19</f>
        <v>22.463625925925044</v>
      </c>
      <c r="F19" s="82">
        <f>E19/E24</f>
        <v>2.817594370366213</v>
      </c>
      <c r="G19" s="4">
        <f>FINV(G18,C19,C24)</f>
        <v>3.6337234675916301</v>
      </c>
      <c r="H19" s="4">
        <f>FINV(H18,C19,C24)</f>
        <v>6.2262352803113821</v>
      </c>
      <c r="I19" s="23" t="str">
        <f>IF(F19&lt;G19,"tn",IF(F19&lt;H19,"*","**"))</f>
        <v>tn</v>
      </c>
      <c r="J19" s="3"/>
      <c r="K19" s="3"/>
      <c r="L19" s="3"/>
      <c r="M19" s="3"/>
      <c r="N19" s="3"/>
      <c r="O19" s="3"/>
      <c r="P19" s="3"/>
      <c r="Q19" s="3"/>
      <c r="R19" s="106"/>
      <c r="S19" s="68"/>
      <c r="T19" s="47"/>
      <c r="U19" s="47"/>
      <c r="V19" s="47"/>
      <c r="W19" s="267"/>
      <c r="X19" s="172"/>
      <c r="Y19" s="172"/>
      <c r="Z19" s="269"/>
      <c r="AA19" s="268"/>
      <c r="AB19" s="269"/>
      <c r="AC19" s="270"/>
    </row>
    <row r="20" spans="2:29" ht="15.75" x14ac:dyDescent="0.25">
      <c r="B20" s="131" t="s">
        <v>40</v>
      </c>
      <c r="C20" s="103">
        <f>Q4*Q5-1</f>
        <v>8</v>
      </c>
      <c r="D20" s="4">
        <f>SUMSQ(F4:F12)/Q3-Q7</f>
        <v>96.577029629628669</v>
      </c>
      <c r="E20" s="4">
        <f t="shared" si="5"/>
        <v>12.072128703703584</v>
      </c>
      <c r="F20" s="82">
        <f>E20/E24</f>
        <v>1.5141973066171812</v>
      </c>
      <c r="G20" s="4">
        <f>FINV(G18,C20,C24)</f>
        <v>2.5910961798744014</v>
      </c>
      <c r="H20" s="4">
        <f>FINV(H18,C20,C24)</f>
        <v>3.8895721399261927</v>
      </c>
      <c r="I20" s="23" t="str">
        <f t="shared" ref="I20:I23" si="6">IF(F20&lt;G20,"tn",IF(F20&lt;H20,"*","**"))</f>
        <v>tn</v>
      </c>
      <c r="J20" s="3"/>
      <c r="K20" s="3"/>
      <c r="L20" s="9" t="s">
        <v>40</v>
      </c>
      <c r="M20" s="9" t="s">
        <v>41</v>
      </c>
      <c r="N20" s="9" t="s">
        <v>42</v>
      </c>
      <c r="O20" s="3"/>
      <c r="P20" s="3"/>
      <c r="Q20" s="3"/>
      <c r="R20" s="106"/>
      <c r="S20" s="68"/>
      <c r="T20" s="47"/>
      <c r="U20" s="47"/>
      <c r="V20" s="47"/>
      <c r="W20" s="267"/>
      <c r="X20" s="172"/>
      <c r="Y20" s="172"/>
      <c r="Z20" s="269"/>
      <c r="AA20" s="268"/>
      <c r="AB20" s="269"/>
      <c r="AC20" s="270"/>
    </row>
    <row r="21" spans="2:29" ht="15.75" x14ac:dyDescent="0.25">
      <c r="B21" s="131" t="s">
        <v>43</v>
      </c>
      <c r="C21" s="103">
        <f>Q4-1</f>
        <v>2</v>
      </c>
      <c r="D21" s="4">
        <f>SUMSQ(M5:M7)/(Q4*Q3)-Q7</f>
        <v>71.789029629630022</v>
      </c>
      <c r="E21" s="4">
        <f t="shared" si="5"/>
        <v>35.894514814815011</v>
      </c>
      <c r="F21" s="82">
        <f>E21/E24</f>
        <v>4.5022198643598834</v>
      </c>
      <c r="G21" s="4">
        <f>FINV(G18,C21,C24)</f>
        <v>3.6337234675916301</v>
      </c>
      <c r="H21" s="4">
        <f>FINV(H18,C21,C24)</f>
        <v>6.2262352803113821</v>
      </c>
      <c r="I21" s="24" t="str">
        <f t="shared" si="6"/>
        <v>*</v>
      </c>
      <c r="J21" s="3" t="s">
        <v>45</v>
      </c>
      <c r="K21" s="3"/>
      <c r="L21" s="10" t="s">
        <v>15</v>
      </c>
      <c r="M21" s="5">
        <f>N5</f>
        <v>15.431111111111111</v>
      </c>
      <c r="N21" s="103" t="s">
        <v>114</v>
      </c>
      <c r="O21" s="11">
        <f>M21+M$24</f>
        <v>18.866471498127787</v>
      </c>
      <c r="P21" s="3"/>
      <c r="Q21" s="3"/>
      <c r="R21" s="106"/>
      <c r="S21" s="172"/>
      <c r="T21" s="172"/>
      <c r="U21" s="172"/>
      <c r="V21" s="172"/>
      <c r="W21" s="172"/>
      <c r="X21" s="172"/>
      <c r="Y21" s="172"/>
      <c r="Z21" s="269"/>
      <c r="AA21" s="268"/>
      <c r="AB21" s="269"/>
      <c r="AC21" s="270"/>
    </row>
    <row r="22" spans="2:29" ht="15.75" x14ac:dyDescent="0.25">
      <c r="B22" s="131" t="s">
        <v>16</v>
      </c>
      <c r="C22" s="103">
        <f>Q5-1</f>
        <v>2</v>
      </c>
      <c r="D22" s="4">
        <f>SUMSQ(J8:L8)/(Q5*Q3)-Q7</f>
        <v>1.7820962962960039</v>
      </c>
      <c r="E22" s="4">
        <f t="shared" si="5"/>
        <v>0.89104814814800193</v>
      </c>
      <c r="F22" s="82">
        <f>E22/E24</f>
        <v>0.11176344612512343</v>
      </c>
      <c r="G22" s="4">
        <f>FINV(G18,C22,C24)</f>
        <v>3.6337234675916301</v>
      </c>
      <c r="H22" s="4">
        <f>FINV(H18,C22,C24)</f>
        <v>6.2262352803113821</v>
      </c>
      <c r="I22" s="23" t="str">
        <f t="shared" si="6"/>
        <v>tn</v>
      </c>
      <c r="J22" s="3"/>
      <c r="K22" s="3"/>
      <c r="L22" s="10" t="s">
        <v>18</v>
      </c>
      <c r="M22" s="5">
        <f>N6</f>
        <v>19.392222222222223</v>
      </c>
      <c r="N22" s="103" t="s">
        <v>115</v>
      </c>
      <c r="O22" s="11">
        <f>M22+M$24</f>
        <v>22.827582609238899</v>
      </c>
      <c r="P22" s="3"/>
      <c r="Q22" s="3"/>
      <c r="R22" s="106"/>
      <c r="S22" s="172"/>
      <c r="T22" s="172"/>
      <c r="U22" s="172"/>
      <c r="V22" s="172"/>
      <c r="W22" s="172"/>
      <c r="X22" s="172"/>
      <c r="Y22" s="172"/>
      <c r="Z22" s="269"/>
      <c r="AA22" s="268"/>
      <c r="AB22" s="269"/>
      <c r="AC22" s="270"/>
    </row>
    <row r="23" spans="2:29" ht="15.75" x14ac:dyDescent="0.25">
      <c r="B23" s="131" t="s">
        <v>46</v>
      </c>
      <c r="C23" s="103">
        <f>C21*C22</f>
        <v>4</v>
      </c>
      <c r="D23" s="4">
        <f>D20-D21-D22</f>
        <v>23.005903703702643</v>
      </c>
      <c r="E23" s="4">
        <f t="shared" si="5"/>
        <v>5.7514759259256607</v>
      </c>
      <c r="F23" s="82">
        <f>E23/E24</f>
        <v>0.72140295799185927</v>
      </c>
      <c r="G23" s="4">
        <f>FINV(G18,C23,C24)</f>
        <v>3.0069172799243447</v>
      </c>
      <c r="H23" s="4">
        <f>FINV(H18,C23,C24)</f>
        <v>4.772577999723211</v>
      </c>
      <c r="I23" s="23" t="str">
        <f t="shared" si="6"/>
        <v>tn</v>
      </c>
      <c r="J23" s="3"/>
      <c r="K23" s="3"/>
      <c r="L23" s="10" t="s">
        <v>20</v>
      </c>
      <c r="M23" s="5">
        <f>N7</f>
        <v>17.855555555555554</v>
      </c>
      <c r="N23" s="103" t="s">
        <v>113</v>
      </c>
      <c r="O23" s="11">
        <f>M23+M$24</f>
        <v>21.29091594257223</v>
      </c>
      <c r="P23" s="3"/>
      <c r="Q23" s="3"/>
      <c r="R23" s="106"/>
      <c r="S23" s="68"/>
      <c r="T23" s="68"/>
      <c r="U23" s="172"/>
      <c r="V23" s="172"/>
      <c r="W23" s="172"/>
      <c r="X23" s="172"/>
      <c r="Y23" s="172"/>
      <c r="Z23" s="269"/>
      <c r="AA23" s="268"/>
      <c r="AB23" s="269"/>
      <c r="AC23" s="270"/>
    </row>
    <row r="24" spans="2:29" ht="15.75" x14ac:dyDescent="0.25">
      <c r="B24" s="131" t="s">
        <v>47</v>
      </c>
      <c r="C24" s="103">
        <f>C25-C19-C20</f>
        <v>16</v>
      </c>
      <c r="D24" s="4">
        <f>D25-D19-D20</f>
        <v>127.5620148148173</v>
      </c>
      <c r="E24" s="4">
        <f t="shared" si="5"/>
        <v>7.9726259259260814</v>
      </c>
      <c r="F24" s="128"/>
      <c r="G24" s="128"/>
      <c r="H24" s="128"/>
      <c r="I24" s="128"/>
      <c r="J24" s="3"/>
      <c r="K24" s="3"/>
      <c r="L24" s="102" t="s">
        <v>38</v>
      </c>
      <c r="M24" s="205">
        <f>M17*L17</f>
        <v>3.4353603870166749</v>
      </c>
      <c r="N24" s="206"/>
      <c r="O24" s="3"/>
      <c r="P24" s="3"/>
      <c r="Q24" s="3"/>
      <c r="R24" s="106"/>
      <c r="S24" s="66"/>
      <c r="T24" s="47"/>
      <c r="U24" s="172"/>
      <c r="V24" s="172"/>
      <c r="W24" s="172"/>
      <c r="X24" s="172"/>
      <c r="Y24" s="172"/>
      <c r="Z24" s="269"/>
      <c r="AA24" s="268"/>
      <c r="AB24" s="269"/>
      <c r="AC24" s="270"/>
    </row>
    <row r="25" spans="2:29" ht="15.75" x14ac:dyDescent="0.25">
      <c r="B25" s="131" t="s">
        <v>48</v>
      </c>
      <c r="C25" s="103">
        <f>Q4*Q5*Q3-1</f>
        <v>26</v>
      </c>
      <c r="D25" s="12">
        <f>SUMSQ(C4:E12)-Q7</f>
        <v>269.06629629629606</v>
      </c>
      <c r="E25" s="4">
        <f t="shared" si="5"/>
        <v>10.348703703703695</v>
      </c>
      <c r="F25" s="128"/>
      <c r="G25" s="128"/>
      <c r="H25" s="128"/>
      <c r="I25" s="128"/>
      <c r="J25" s="3"/>
      <c r="K25" s="3"/>
      <c r="L25" s="10" t="s">
        <v>10</v>
      </c>
      <c r="M25" s="5">
        <f>J9</f>
        <v>17.475555555555555</v>
      </c>
      <c r="N25" s="103" t="s">
        <v>44</v>
      </c>
      <c r="O25" s="11"/>
      <c r="P25" s="3"/>
      <c r="Q25" s="3"/>
      <c r="R25" s="106"/>
      <c r="S25" s="66"/>
      <c r="T25" s="47"/>
      <c r="U25" s="172"/>
      <c r="V25" s="172"/>
      <c r="W25" s="172"/>
      <c r="X25" s="172"/>
      <c r="Y25" s="172"/>
      <c r="Z25" s="269"/>
      <c r="AA25" s="268"/>
      <c r="AB25" s="269"/>
      <c r="AC25" s="270"/>
    </row>
    <row r="26" spans="2:29" ht="15.75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  <c r="L26" s="13" t="s">
        <v>11</v>
      </c>
      <c r="M26" s="5">
        <f>K9</f>
        <v>17.295555555555556</v>
      </c>
      <c r="N26" s="103" t="s">
        <v>44</v>
      </c>
      <c r="O26" s="11"/>
      <c r="P26" s="3"/>
      <c r="Q26" s="3"/>
      <c r="R26" s="106"/>
      <c r="S26" s="66"/>
      <c r="T26" s="47"/>
      <c r="U26" s="172"/>
      <c r="V26" s="172"/>
      <c r="W26" s="172"/>
      <c r="X26" s="172"/>
      <c r="Y26" s="172"/>
      <c r="Z26" s="269"/>
      <c r="AA26" s="268"/>
      <c r="AB26" s="269"/>
      <c r="AC26" s="270"/>
    </row>
    <row r="27" spans="2:29" ht="15.75" x14ac:dyDescent="0.25">
      <c r="B27" s="3"/>
      <c r="C27" s="40"/>
      <c r="D27" s="3"/>
      <c r="E27" s="3"/>
      <c r="F27" s="3"/>
      <c r="G27" s="3"/>
      <c r="H27" s="3"/>
      <c r="I27" s="3"/>
      <c r="J27" s="3"/>
      <c r="K27" s="3"/>
      <c r="L27" s="13" t="s">
        <v>12</v>
      </c>
      <c r="M27" s="5">
        <f>L9</f>
        <v>17.907777777777781</v>
      </c>
      <c r="N27" s="103" t="s">
        <v>44</v>
      </c>
      <c r="O27" s="11"/>
      <c r="P27" s="3"/>
      <c r="Q27" s="3"/>
      <c r="R27" s="106"/>
      <c r="S27" s="66"/>
      <c r="T27" s="47"/>
      <c r="U27" s="172"/>
      <c r="V27" s="172"/>
      <c r="W27" s="172"/>
      <c r="X27" s="172"/>
      <c r="Y27" s="172"/>
      <c r="Z27" s="269"/>
      <c r="AA27" s="268"/>
      <c r="AB27" s="269"/>
      <c r="AC27" s="270"/>
    </row>
    <row r="28" spans="2:29" ht="15.75" x14ac:dyDescent="0.25">
      <c r="B28" s="3"/>
      <c r="C28" s="40"/>
      <c r="D28" s="3"/>
      <c r="E28" s="3"/>
      <c r="F28" s="3"/>
      <c r="G28" s="3"/>
      <c r="H28" s="3"/>
      <c r="I28" s="3"/>
      <c r="J28" s="3"/>
      <c r="K28" s="3"/>
      <c r="L28" s="138" t="s">
        <v>38</v>
      </c>
      <c r="M28" s="219" t="s">
        <v>44</v>
      </c>
      <c r="N28" s="220"/>
      <c r="O28" s="3"/>
      <c r="P28" s="3"/>
      <c r="Q28" s="3"/>
      <c r="R28" s="106"/>
      <c r="S28" s="66"/>
      <c r="T28" s="47"/>
      <c r="U28" s="172"/>
      <c r="V28" s="172"/>
      <c r="W28" s="172"/>
      <c r="X28" s="172"/>
      <c r="Y28" s="172"/>
      <c r="Z28" s="269"/>
      <c r="AA28" s="268"/>
      <c r="AB28" s="269"/>
      <c r="AC28" s="270"/>
    </row>
    <row r="29" spans="2:29" ht="15.75" x14ac:dyDescent="0.25">
      <c r="B29" s="106"/>
      <c r="C29" s="40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66"/>
      <c r="T29" s="47"/>
      <c r="U29" s="172"/>
      <c r="V29" s="172"/>
      <c r="W29" s="172"/>
      <c r="X29" s="172"/>
      <c r="Y29" s="172"/>
      <c r="Z29" s="269"/>
      <c r="AA29" s="268"/>
      <c r="AB29" s="269"/>
      <c r="AC29" s="270"/>
    </row>
    <row r="30" spans="2:29" ht="15.75" x14ac:dyDescent="0.25"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66"/>
      <c r="T30" s="47"/>
      <c r="U30" s="172"/>
      <c r="V30" s="172"/>
      <c r="W30" s="172"/>
      <c r="X30" s="172"/>
      <c r="Y30" s="172"/>
      <c r="Z30" s="269"/>
      <c r="AA30" s="268"/>
      <c r="AB30" s="269"/>
      <c r="AC30" s="270"/>
    </row>
    <row r="31" spans="2:29" ht="15.75" x14ac:dyDescent="0.25">
      <c r="B31" s="106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66"/>
      <c r="T31" s="47"/>
      <c r="U31" s="172"/>
      <c r="V31" s="172"/>
      <c r="W31" s="172"/>
      <c r="X31" s="172"/>
      <c r="Y31" s="172"/>
      <c r="Z31" s="172"/>
      <c r="AA31" s="172"/>
      <c r="AB31" s="172"/>
      <c r="AC31" s="172"/>
    </row>
    <row r="32" spans="2:29" ht="15.75" x14ac:dyDescent="0.25">
      <c r="B32" s="106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66"/>
      <c r="T32" s="47"/>
      <c r="U32" s="172"/>
      <c r="V32" s="172"/>
      <c r="W32" s="172"/>
      <c r="X32" s="172"/>
      <c r="Y32" s="172"/>
      <c r="Z32" s="172"/>
      <c r="AA32" s="172"/>
      <c r="AB32" s="172"/>
      <c r="AC32" s="172"/>
    </row>
    <row r="33" spans="2:29" x14ac:dyDescent="0.25"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72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</row>
    <row r="34" spans="2:29" x14ac:dyDescent="0.25"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</row>
    <row r="35" spans="2:29" x14ac:dyDescent="0.25"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</row>
  </sheetData>
  <mergeCells count="19">
    <mergeCell ref="B2:E2"/>
    <mergeCell ref="F2:F3"/>
    <mergeCell ref="G2:G3"/>
    <mergeCell ref="I2:N2"/>
    <mergeCell ref="I3:I4"/>
    <mergeCell ref="J3:L3"/>
    <mergeCell ref="M3:M4"/>
    <mergeCell ref="N3:N4"/>
    <mergeCell ref="M18:N18"/>
    <mergeCell ref="M24:N24"/>
    <mergeCell ref="M28:N28"/>
    <mergeCell ref="B16:I16"/>
    <mergeCell ref="B17:B18"/>
    <mergeCell ref="C17:C18"/>
    <mergeCell ref="D17:D18"/>
    <mergeCell ref="E17:E18"/>
    <mergeCell ref="F17:F18"/>
    <mergeCell ref="G17:H17"/>
    <mergeCell ref="I17:I1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44"/>
  <sheetViews>
    <sheetView topLeftCell="M1" zoomScale="80" zoomScaleNormal="80" workbookViewId="0">
      <selection activeCell="Y2" sqref="Y2:AC36"/>
    </sheetView>
  </sheetViews>
  <sheetFormatPr defaultRowHeight="15" x14ac:dyDescent="0.25"/>
  <cols>
    <col min="2" max="2" width="15.42578125" customWidth="1"/>
    <col min="4" max="4" width="10.42578125" customWidth="1"/>
    <col min="6" max="6" width="11" customWidth="1"/>
    <col min="7" max="7" width="10.7109375" customWidth="1"/>
    <col min="9" max="9" width="13.140625" customWidth="1"/>
    <col min="10" max="10" width="9.85546875" customWidth="1"/>
    <col min="11" max="11" width="15.7109375" customWidth="1"/>
    <col min="12" max="12" width="16.42578125" customWidth="1"/>
    <col min="13" max="13" width="12.42578125" customWidth="1"/>
    <col min="14" max="14" width="12.7109375" customWidth="1"/>
    <col min="16" max="16" width="18.5703125" customWidth="1"/>
    <col min="19" max="19" width="7.85546875" customWidth="1"/>
    <col min="20" max="20" width="12.85546875" customWidth="1"/>
    <col min="25" max="25" width="6.7109375" customWidth="1"/>
    <col min="26" max="26" width="23.42578125" customWidth="1"/>
    <col min="27" max="27" width="20.28515625" customWidth="1"/>
    <col min="28" max="28" width="13" customWidth="1"/>
    <col min="29" max="29" width="17.5703125" customWidth="1"/>
  </cols>
  <sheetData>
    <row r="1" spans="2:29" x14ac:dyDescent="0.25">
      <c r="S1" s="172"/>
      <c r="T1" s="172"/>
      <c r="U1" s="172"/>
      <c r="V1" s="172"/>
      <c r="W1" s="172"/>
    </row>
    <row r="2" spans="2:29" ht="15.75" x14ac:dyDescent="0.25">
      <c r="B2" s="189" t="s">
        <v>0</v>
      </c>
      <c r="C2" s="190"/>
      <c r="D2" s="190"/>
      <c r="E2" s="191"/>
      <c r="F2" s="192" t="s">
        <v>1</v>
      </c>
      <c r="G2" s="192" t="s">
        <v>2</v>
      </c>
      <c r="H2" s="3"/>
      <c r="I2" s="189" t="s">
        <v>3</v>
      </c>
      <c r="J2" s="190"/>
      <c r="K2" s="190"/>
      <c r="L2" s="190"/>
      <c r="M2" s="190"/>
      <c r="N2" s="191"/>
      <c r="O2" s="3"/>
      <c r="P2" s="16" t="s">
        <v>4</v>
      </c>
      <c r="Q2" s="108">
        <v>9</v>
      </c>
      <c r="R2" s="106"/>
      <c r="S2" s="68"/>
      <c r="T2" s="68"/>
      <c r="U2" s="68"/>
      <c r="V2" s="68"/>
      <c r="W2" s="68"/>
      <c r="X2" s="106"/>
      <c r="Y2" s="172"/>
      <c r="Z2" s="266"/>
      <c r="AA2" s="266"/>
      <c r="AB2" s="266"/>
      <c r="AC2" s="266"/>
    </row>
    <row r="3" spans="2:29" ht="15.75" x14ac:dyDescent="0.25">
      <c r="B3" s="15" t="s">
        <v>5</v>
      </c>
      <c r="C3" s="15">
        <v>1</v>
      </c>
      <c r="D3" s="15">
        <v>2</v>
      </c>
      <c r="E3" s="15">
        <v>3</v>
      </c>
      <c r="F3" s="193"/>
      <c r="G3" s="193"/>
      <c r="H3" s="3"/>
      <c r="I3" s="192" t="s">
        <v>6</v>
      </c>
      <c r="J3" s="189" t="s">
        <v>7</v>
      </c>
      <c r="K3" s="190"/>
      <c r="L3" s="191"/>
      <c r="M3" s="192" t="s">
        <v>1</v>
      </c>
      <c r="N3" s="192" t="s">
        <v>2</v>
      </c>
      <c r="O3" s="3"/>
      <c r="P3" s="16" t="s">
        <v>8</v>
      </c>
      <c r="Q3" s="108">
        <v>3</v>
      </c>
      <c r="R3" s="106"/>
      <c r="S3" s="68"/>
      <c r="T3" s="47"/>
      <c r="U3" s="47"/>
      <c r="V3" s="47"/>
      <c r="W3" s="267"/>
      <c r="X3" s="106"/>
      <c r="Y3" s="172"/>
      <c r="Z3" s="268"/>
      <c r="AA3" s="268"/>
      <c r="AB3" s="268"/>
      <c r="AC3" s="268"/>
    </row>
    <row r="4" spans="2:29" ht="15.75" x14ac:dyDescent="0.25">
      <c r="B4" s="108" t="s">
        <v>9</v>
      </c>
      <c r="C4" s="175">
        <v>32.75</v>
      </c>
      <c r="D4" s="175">
        <v>33.700000000000003</v>
      </c>
      <c r="E4" s="175">
        <v>32.11</v>
      </c>
      <c r="F4" s="112">
        <f>SUM(C4:E4)</f>
        <v>98.56</v>
      </c>
      <c r="G4" s="5">
        <f>AVERAGE(C4:E4)</f>
        <v>32.853333333333332</v>
      </c>
      <c r="H4" s="3"/>
      <c r="I4" s="193"/>
      <c r="J4" s="15" t="s">
        <v>10</v>
      </c>
      <c r="K4" s="15" t="s">
        <v>11</v>
      </c>
      <c r="L4" s="15" t="s">
        <v>12</v>
      </c>
      <c r="M4" s="193"/>
      <c r="N4" s="193"/>
      <c r="O4" s="3"/>
      <c r="P4" s="16" t="s">
        <v>13</v>
      </c>
      <c r="Q4" s="108">
        <v>3</v>
      </c>
      <c r="R4" s="106"/>
      <c r="S4" s="68"/>
      <c r="T4" s="47"/>
      <c r="U4" s="47"/>
      <c r="V4" s="47"/>
      <c r="W4" s="267"/>
      <c r="X4" s="106"/>
      <c r="Y4" s="172"/>
      <c r="Z4" s="269"/>
      <c r="AA4" s="269"/>
      <c r="AB4" s="269"/>
      <c r="AC4" s="271"/>
    </row>
    <row r="5" spans="2:29" ht="15.75" x14ac:dyDescent="0.25">
      <c r="B5" s="108" t="s">
        <v>14</v>
      </c>
      <c r="C5" s="175">
        <v>32.270000000000003</v>
      </c>
      <c r="D5" s="175">
        <v>31.4</v>
      </c>
      <c r="E5" s="175">
        <v>37.450000000000003</v>
      </c>
      <c r="F5" s="112">
        <f t="shared" ref="F5:F12" si="0">SUM(C5:E5)</f>
        <v>101.12</v>
      </c>
      <c r="G5" s="5">
        <f t="shared" ref="G5:G12" si="1">AVERAGE(C5:E5)</f>
        <v>33.706666666666671</v>
      </c>
      <c r="H5" s="3"/>
      <c r="I5" s="108" t="s">
        <v>15</v>
      </c>
      <c r="J5" s="114">
        <f>F4</f>
        <v>98.56</v>
      </c>
      <c r="K5" s="114">
        <f>F5</f>
        <v>101.12</v>
      </c>
      <c r="L5" s="114">
        <f>F6</f>
        <v>125.22</v>
      </c>
      <c r="M5" s="4">
        <f>SUM(J5:L5)</f>
        <v>324.89999999999998</v>
      </c>
      <c r="N5" s="6">
        <f>M5/Q2</f>
        <v>36.099999999999994</v>
      </c>
      <c r="O5" s="3"/>
      <c r="P5" s="16" t="s">
        <v>16</v>
      </c>
      <c r="Q5" s="108">
        <v>3</v>
      </c>
      <c r="R5" s="106"/>
      <c r="S5" s="68"/>
      <c r="T5" s="47"/>
      <c r="U5" s="47"/>
      <c r="V5" s="47"/>
      <c r="W5" s="267"/>
      <c r="X5" s="106"/>
      <c r="Y5" s="172"/>
      <c r="Z5" s="269"/>
      <c r="AA5" s="269"/>
      <c r="AB5" s="269"/>
      <c r="AC5" s="271"/>
    </row>
    <row r="6" spans="2:29" ht="15.75" x14ac:dyDescent="0.25">
      <c r="B6" s="108" t="s">
        <v>17</v>
      </c>
      <c r="C6" s="175">
        <v>43.33</v>
      </c>
      <c r="D6" s="175">
        <v>41.58</v>
      </c>
      <c r="E6" s="175">
        <v>40.31</v>
      </c>
      <c r="F6" s="112">
        <f t="shared" si="0"/>
        <v>125.22</v>
      </c>
      <c r="G6" s="5">
        <f t="shared" si="1"/>
        <v>41.74</v>
      </c>
      <c r="H6" s="3"/>
      <c r="I6" s="108" t="s">
        <v>18</v>
      </c>
      <c r="J6" s="114">
        <f>F7</f>
        <v>127.53999999999999</v>
      </c>
      <c r="K6" s="114">
        <f>F8</f>
        <v>106.52</v>
      </c>
      <c r="L6" s="114">
        <f>F9</f>
        <v>123.24000000000001</v>
      </c>
      <c r="M6" s="4">
        <f t="shared" ref="M6:M7" si="2">SUM(J6:L6)</f>
        <v>357.3</v>
      </c>
      <c r="N6" s="6">
        <f>M6/Q2</f>
        <v>39.700000000000003</v>
      </c>
      <c r="O6" s="3"/>
      <c r="P6" s="3"/>
      <c r="Q6" s="3"/>
      <c r="R6" s="106"/>
      <c r="S6" s="267"/>
      <c r="T6" s="47"/>
      <c r="U6" s="47"/>
      <c r="V6" s="47"/>
      <c r="W6" s="267"/>
      <c r="X6" s="106"/>
      <c r="Y6" s="172"/>
      <c r="Z6" s="269"/>
      <c r="AA6" s="269"/>
      <c r="AB6" s="269"/>
      <c r="AC6" s="271"/>
    </row>
    <row r="7" spans="2:29" ht="15.75" x14ac:dyDescent="0.25">
      <c r="B7" s="108" t="s">
        <v>19</v>
      </c>
      <c r="C7" s="175">
        <v>42.86</v>
      </c>
      <c r="D7" s="175">
        <v>43.81</v>
      </c>
      <c r="E7" s="175">
        <v>40.869999999999997</v>
      </c>
      <c r="F7" s="112">
        <f t="shared" si="0"/>
        <v>127.53999999999999</v>
      </c>
      <c r="G7" s="5">
        <f>AVERAGE(C7:E7)</f>
        <v>42.513333333333328</v>
      </c>
      <c r="H7" s="3"/>
      <c r="I7" s="108" t="s">
        <v>20</v>
      </c>
      <c r="J7" s="114">
        <f>F10</f>
        <v>117.9</v>
      </c>
      <c r="K7" s="114">
        <f>F11</f>
        <v>128.49</v>
      </c>
      <c r="L7" s="114">
        <f>F12</f>
        <v>132.38999999999999</v>
      </c>
      <c r="M7" s="4">
        <f t="shared" si="2"/>
        <v>378.78</v>
      </c>
      <c r="N7" s="6">
        <f>M7/Q2</f>
        <v>42.086666666666666</v>
      </c>
      <c r="O7" s="3"/>
      <c r="P7" s="119" t="s">
        <v>21</v>
      </c>
      <c r="Q7" s="120">
        <f>F13^2/(Q4*Q5*Q3)</f>
        <v>41691.798533333334</v>
      </c>
      <c r="R7" s="106"/>
      <c r="S7" s="267"/>
      <c r="T7" s="47"/>
      <c r="U7" s="47"/>
      <c r="V7" s="47"/>
      <c r="W7" s="267"/>
      <c r="X7" s="106"/>
      <c r="Y7" s="172"/>
      <c r="Z7" s="269"/>
      <c r="AA7" s="268"/>
      <c r="AB7" s="269"/>
      <c r="AC7" s="271"/>
    </row>
    <row r="8" spans="2:29" ht="15.75" x14ac:dyDescent="0.25">
      <c r="B8" s="108" t="s">
        <v>22</v>
      </c>
      <c r="C8" s="175">
        <v>33.700000000000003</v>
      </c>
      <c r="D8" s="175">
        <v>35.93</v>
      </c>
      <c r="E8" s="175">
        <v>36.89</v>
      </c>
      <c r="F8" s="112">
        <f t="shared" si="0"/>
        <v>106.52</v>
      </c>
      <c r="G8" s="5">
        <f t="shared" si="1"/>
        <v>35.506666666666668</v>
      </c>
      <c r="H8" s="3"/>
      <c r="I8" s="15" t="s">
        <v>1</v>
      </c>
      <c r="J8" s="4">
        <f>SUM(J5:J7)</f>
        <v>344</v>
      </c>
      <c r="K8" s="4">
        <f t="shared" ref="K8:M8" si="3">SUM(K5:K7)</f>
        <v>336.13</v>
      </c>
      <c r="L8" s="4">
        <f t="shared" si="3"/>
        <v>380.85</v>
      </c>
      <c r="M8" s="117">
        <f t="shared" si="3"/>
        <v>1060.98</v>
      </c>
      <c r="N8" s="109"/>
      <c r="O8" s="3"/>
      <c r="P8" s="32" t="s">
        <v>49</v>
      </c>
      <c r="Q8" s="186">
        <f>(SQRT(E24)/G13)*100</f>
        <v>4.8346798805942948</v>
      </c>
      <c r="R8" s="106"/>
      <c r="S8" s="267"/>
      <c r="T8" s="47"/>
      <c r="U8" s="47"/>
      <c r="V8" s="47"/>
      <c r="W8" s="267"/>
      <c r="X8" s="106"/>
      <c r="Y8" s="172"/>
      <c r="Z8" s="269"/>
      <c r="AA8" s="268"/>
      <c r="AB8" s="269"/>
      <c r="AC8" s="271"/>
    </row>
    <row r="9" spans="2:29" ht="15.75" x14ac:dyDescent="0.25">
      <c r="B9" s="108" t="s">
        <v>23</v>
      </c>
      <c r="C9" s="175">
        <v>42.3</v>
      </c>
      <c r="D9" s="175">
        <v>38.32</v>
      </c>
      <c r="E9" s="175">
        <v>42.62</v>
      </c>
      <c r="F9" s="112">
        <f t="shared" si="0"/>
        <v>123.24000000000001</v>
      </c>
      <c r="G9" s="5">
        <f t="shared" si="1"/>
        <v>41.080000000000005</v>
      </c>
      <c r="H9" s="3"/>
      <c r="I9" s="15" t="s">
        <v>2</v>
      </c>
      <c r="J9" s="6">
        <f>J8/Q2</f>
        <v>38.222222222222221</v>
      </c>
      <c r="K9" s="6">
        <f>K8/Q2</f>
        <v>37.347777777777779</v>
      </c>
      <c r="L9" s="6">
        <f>L8/Q2</f>
        <v>42.31666666666667</v>
      </c>
      <c r="M9" s="109"/>
      <c r="N9" s="109"/>
      <c r="O9" s="3"/>
      <c r="P9" s="3"/>
      <c r="Q9" s="3"/>
      <c r="R9" s="106"/>
      <c r="S9" s="68"/>
      <c r="T9" s="47"/>
      <c r="U9" s="47"/>
      <c r="V9" s="47"/>
      <c r="W9" s="267"/>
      <c r="X9" s="106"/>
      <c r="Y9" s="172"/>
      <c r="Z9" s="269"/>
      <c r="AA9" s="268"/>
      <c r="AB9" s="269"/>
      <c r="AC9" s="271"/>
    </row>
    <row r="10" spans="2:29" ht="15.75" x14ac:dyDescent="0.25">
      <c r="B10" s="108" t="s">
        <v>24</v>
      </c>
      <c r="C10" s="175">
        <v>40.869999999999997</v>
      </c>
      <c r="D10" s="175">
        <v>37.6</v>
      </c>
      <c r="E10" s="175">
        <v>39.43</v>
      </c>
      <c r="F10" s="112">
        <f t="shared" si="0"/>
        <v>117.9</v>
      </c>
      <c r="G10" s="5">
        <f t="shared" si="1"/>
        <v>39.300000000000004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106"/>
      <c r="S10" s="68"/>
      <c r="T10" s="47"/>
      <c r="U10" s="47"/>
      <c r="V10" s="47"/>
      <c r="W10" s="267"/>
      <c r="X10" s="106"/>
      <c r="Y10" s="172"/>
      <c r="Z10" s="269"/>
      <c r="AA10" s="268"/>
      <c r="AB10" s="269"/>
      <c r="AC10" s="271"/>
    </row>
    <row r="11" spans="2:29" ht="15.75" x14ac:dyDescent="0.25">
      <c r="B11" s="108" t="s">
        <v>25</v>
      </c>
      <c r="C11" s="175">
        <v>41.5</v>
      </c>
      <c r="D11" s="175">
        <v>44.53</v>
      </c>
      <c r="E11" s="175">
        <v>42.46</v>
      </c>
      <c r="F11" s="112">
        <f t="shared" si="0"/>
        <v>128.49</v>
      </c>
      <c r="G11" s="5">
        <f t="shared" si="1"/>
        <v>42.830000000000005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106"/>
      <c r="S11" s="68"/>
      <c r="T11" s="47"/>
      <c r="U11" s="47"/>
      <c r="V11" s="47"/>
      <c r="W11" s="267"/>
      <c r="X11" s="106"/>
      <c r="Y11" s="172"/>
      <c r="Z11" s="269"/>
      <c r="AA11" s="268"/>
      <c r="AB11" s="269"/>
      <c r="AC11" s="271"/>
    </row>
    <row r="12" spans="2:29" ht="15.75" x14ac:dyDescent="0.25">
      <c r="B12" s="108" t="s">
        <v>26</v>
      </c>
      <c r="C12" s="175">
        <v>44.53</v>
      </c>
      <c r="D12" s="175">
        <v>44.13</v>
      </c>
      <c r="E12" s="175">
        <v>43.73</v>
      </c>
      <c r="F12" s="112">
        <f t="shared" si="0"/>
        <v>132.38999999999999</v>
      </c>
      <c r="G12" s="5">
        <f t="shared" si="1"/>
        <v>44.129999999999995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106"/>
      <c r="S12" s="68"/>
      <c r="T12" s="47"/>
      <c r="U12" s="47"/>
      <c r="V12" s="47"/>
      <c r="W12" s="267"/>
      <c r="X12" s="106"/>
      <c r="Y12" s="172"/>
      <c r="Z12" s="269"/>
      <c r="AA12" s="268"/>
      <c r="AB12" s="269"/>
      <c r="AC12" s="271"/>
    </row>
    <row r="13" spans="2:29" ht="15.75" x14ac:dyDescent="0.25">
      <c r="B13" s="15" t="s">
        <v>1</v>
      </c>
      <c r="C13" s="7">
        <f>SUM(C4:C12)</f>
        <v>354.11</v>
      </c>
      <c r="D13" s="7">
        <f t="shared" ref="D13:F13" si="4">SUM(D4:D12)</f>
        <v>351</v>
      </c>
      <c r="E13" s="7">
        <f t="shared" si="4"/>
        <v>355.87</v>
      </c>
      <c r="F13" s="115">
        <f t="shared" si="4"/>
        <v>1060.98</v>
      </c>
      <c r="G13" s="7">
        <f>AVERAGE(G4:G12)</f>
        <v>39.295555555555552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106"/>
      <c r="S13" s="68"/>
      <c r="T13" s="47"/>
      <c r="U13" s="47"/>
      <c r="V13" s="47"/>
      <c r="W13" s="267"/>
      <c r="X13" s="106"/>
      <c r="Y13" s="172"/>
      <c r="Z13" s="269"/>
      <c r="AA13" s="268"/>
      <c r="AB13" s="269"/>
      <c r="AC13" s="271"/>
    </row>
    <row r="14" spans="2:29" ht="15.75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106"/>
      <c r="S14" s="68"/>
      <c r="T14" s="47"/>
      <c r="U14" s="47"/>
      <c r="V14" s="47"/>
      <c r="W14" s="267"/>
      <c r="X14" s="106"/>
      <c r="Y14" s="172"/>
      <c r="Z14" s="269"/>
      <c r="AA14" s="268"/>
      <c r="AB14" s="269"/>
      <c r="AC14" s="271"/>
    </row>
    <row r="15" spans="2:29" ht="15.75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106"/>
      <c r="S15" s="68"/>
      <c r="T15" s="47"/>
      <c r="U15" s="47"/>
      <c r="V15" s="47"/>
      <c r="W15" s="267"/>
      <c r="X15" s="106"/>
      <c r="Y15" s="172"/>
      <c r="Z15" s="269"/>
      <c r="AA15" s="268"/>
      <c r="AB15" s="269"/>
      <c r="AC15" s="271"/>
    </row>
    <row r="16" spans="2:29" ht="15.75" x14ac:dyDescent="0.25">
      <c r="B16" s="224" t="s">
        <v>79</v>
      </c>
      <c r="C16" s="224"/>
      <c r="D16" s="224"/>
      <c r="E16" s="224"/>
      <c r="F16" s="224"/>
      <c r="G16" s="224"/>
      <c r="H16" s="224"/>
      <c r="I16" s="224"/>
      <c r="J16" s="3"/>
      <c r="K16" s="3"/>
      <c r="L16" s="118" t="s">
        <v>28</v>
      </c>
      <c r="M16" s="118" t="s">
        <v>29</v>
      </c>
      <c r="N16" s="118" t="s">
        <v>30</v>
      </c>
      <c r="O16" s="3"/>
      <c r="P16" s="3"/>
      <c r="Q16" s="3"/>
      <c r="R16" s="106"/>
      <c r="S16" s="68"/>
      <c r="T16" s="47"/>
      <c r="U16" s="47"/>
      <c r="V16" s="47"/>
      <c r="W16" s="267"/>
      <c r="X16" s="106"/>
      <c r="Y16" s="172"/>
      <c r="Z16" s="269"/>
      <c r="AA16" s="268"/>
      <c r="AB16" s="269"/>
      <c r="AC16" s="271"/>
    </row>
    <row r="17" spans="2:29" ht="15.75" x14ac:dyDescent="0.25">
      <c r="B17" s="225" t="s">
        <v>31</v>
      </c>
      <c r="C17" s="225" t="s">
        <v>32</v>
      </c>
      <c r="D17" s="225" t="s">
        <v>33</v>
      </c>
      <c r="E17" s="225" t="s">
        <v>34</v>
      </c>
      <c r="F17" s="225" t="s">
        <v>35</v>
      </c>
      <c r="G17" s="225" t="s">
        <v>36</v>
      </c>
      <c r="H17" s="225"/>
      <c r="I17" s="225" t="s">
        <v>37</v>
      </c>
      <c r="J17" s="3"/>
      <c r="K17" s="3"/>
      <c r="L17" s="4">
        <f>SQRT(E24/Q2)</f>
        <v>0.63327143947073261</v>
      </c>
      <c r="M17" s="103">
        <v>3.65</v>
      </c>
      <c r="N17" s="4">
        <f>L17*M17</f>
        <v>2.3114407540681738</v>
      </c>
      <c r="O17" s="3"/>
      <c r="P17" s="3"/>
      <c r="Q17" s="3"/>
      <c r="R17" s="106"/>
      <c r="S17" s="68"/>
      <c r="T17" s="47"/>
      <c r="U17" s="47"/>
      <c r="V17" s="47"/>
      <c r="W17" s="267"/>
      <c r="X17" s="106"/>
      <c r="Y17" s="172"/>
      <c r="Z17" s="269"/>
      <c r="AA17" s="268"/>
      <c r="AB17" s="269"/>
      <c r="AC17" s="271"/>
    </row>
    <row r="18" spans="2:29" ht="15.75" x14ac:dyDescent="0.25">
      <c r="B18" s="225"/>
      <c r="C18" s="225"/>
      <c r="D18" s="225"/>
      <c r="E18" s="225"/>
      <c r="F18" s="225"/>
      <c r="G18" s="121">
        <v>0.05</v>
      </c>
      <c r="H18" s="121">
        <v>0.01</v>
      </c>
      <c r="I18" s="225"/>
      <c r="J18" s="3"/>
      <c r="K18" s="3"/>
      <c r="L18" s="101" t="s">
        <v>38</v>
      </c>
      <c r="M18" s="222">
        <f>M17*L17</f>
        <v>2.3114407540681738</v>
      </c>
      <c r="N18" s="223"/>
      <c r="O18" s="3"/>
      <c r="P18" s="3"/>
      <c r="Q18" s="3"/>
      <c r="R18" s="106"/>
      <c r="S18" s="68"/>
      <c r="T18" s="47"/>
      <c r="U18" s="47"/>
      <c r="V18" s="47"/>
      <c r="W18" s="267"/>
      <c r="X18" s="106"/>
      <c r="Y18" s="172"/>
      <c r="Z18" s="269"/>
      <c r="AA18" s="268"/>
      <c r="AB18" s="269"/>
      <c r="AC18" s="271"/>
    </row>
    <row r="19" spans="2:29" ht="15.75" x14ac:dyDescent="0.25">
      <c r="B19" s="121" t="s">
        <v>39</v>
      </c>
      <c r="C19" s="103">
        <f>Q3-1</f>
        <v>2</v>
      </c>
      <c r="D19" s="4">
        <f>SUMSQ(C13:E13)/(Q4*Q5)-Q7</f>
        <v>1.3513555555546191</v>
      </c>
      <c r="E19" s="4">
        <f t="shared" ref="E19:E25" si="5">D19/C19</f>
        <v>0.67567777777730953</v>
      </c>
      <c r="F19" s="114">
        <f>E19/E24</f>
        <v>0.18720494771974605</v>
      </c>
      <c r="G19" s="4">
        <f>FINV(G18,C19,C24)</f>
        <v>3.6337234675916301</v>
      </c>
      <c r="H19" s="4">
        <f>FINV(H18,C19,C24)</f>
        <v>6.2262352803113821</v>
      </c>
      <c r="I19" s="23" t="str">
        <f>IF(F19&lt;G19,"tn",IF(F19&lt;H19,"*","**"))</f>
        <v>tn</v>
      </c>
      <c r="J19" s="3"/>
      <c r="K19" s="3"/>
      <c r="L19" s="3"/>
      <c r="M19" s="3"/>
      <c r="N19" s="3"/>
      <c r="O19" s="3"/>
      <c r="P19" s="3"/>
      <c r="Q19" s="3"/>
      <c r="R19" s="106"/>
      <c r="S19" s="68"/>
      <c r="T19" s="47"/>
      <c r="U19" s="47"/>
      <c r="V19" s="47"/>
      <c r="W19" s="267"/>
      <c r="X19" s="106"/>
      <c r="Y19" s="172"/>
      <c r="Z19" s="269"/>
      <c r="AA19" s="268"/>
      <c r="AB19" s="269"/>
      <c r="AC19" s="271"/>
    </row>
    <row r="20" spans="2:29" ht="15.75" x14ac:dyDescent="0.25">
      <c r="B20" s="121" t="s">
        <v>40</v>
      </c>
      <c r="C20" s="103">
        <f>Q4*Q5-1</f>
        <v>8</v>
      </c>
      <c r="D20" s="4">
        <f>SUMSQ(F4:F12)/Q3-Q7</f>
        <v>427.41419999999925</v>
      </c>
      <c r="E20" s="4">
        <f t="shared" si="5"/>
        <v>53.426774999999907</v>
      </c>
      <c r="F20" s="114">
        <f>E20/E24</f>
        <v>14.802553746271059</v>
      </c>
      <c r="G20" s="4">
        <f>FINV(G18,C20,C24)</f>
        <v>2.5910961798744014</v>
      </c>
      <c r="H20" s="4">
        <f>FINV(H18,C20,C24)</f>
        <v>3.8895721399261927</v>
      </c>
      <c r="I20" s="24" t="str">
        <f t="shared" ref="I20:I23" si="6">IF(F20&lt;G20,"tn",IF(F20&lt;H20,"*","**"))</f>
        <v>**</v>
      </c>
      <c r="J20" s="3" t="s">
        <v>112</v>
      </c>
      <c r="K20" s="3"/>
      <c r="L20" s="9" t="s">
        <v>40</v>
      </c>
      <c r="M20" s="9" t="s">
        <v>41</v>
      </c>
      <c r="N20" s="9" t="s">
        <v>42</v>
      </c>
      <c r="O20" s="3"/>
      <c r="P20" s="3"/>
      <c r="Q20" s="3"/>
      <c r="R20" s="106"/>
      <c r="S20" s="68"/>
      <c r="T20" s="47"/>
      <c r="U20" s="47"/>
      <c r="V20" s="47"/>
      <c r="W20" s="267"/>
      <c r="X20" s="106"/>
      <c r="Y20" s="172"/>
      <c r="Z20" s="269"/>
      <c r="AA20" s="268"/>
      <c r="AB20" s="269"/>
      <c r="AC20" s="271"/>
    </row>
    <row r="21" spans="2:29" ht="15.75" x14ac:dyDescent="0.25">
      <c r="B21" s="121" t="s">
        <v>43</v>
      </c>
      <c r="C21" s="103">
        <f>Q4-1</f>
        <v>2</v>
      </c>
      <c r="D21" s="4">
        <f>SUMSQ(M5:M7)/(Q4*Q3)-Q7</f>
        <v>163.4890666666688</v>
      </c>
      <c r="E21" s="4">
        <f t="shared" si="5"/>
        <v>81.744533333334402</v>
      </c>
      <c r="F21" s="114">
        <f>E21/E24</f>
        <v>22.64834155029067</v>
      </c>
      <c r="G21" s="4">
        <f>FINV(G18,C21,C24)</f>
        <v>3.6337234675916301</v>
      </c>
      <c r="H21" s="4">
        <f>FINV(H18,C21,C24)</f>
        <v>6.2262352803113821</v>
      </c>
      <c r="I21" s="24" t="str">
        <f t="shared" si="6"/>
        <v>**</v>
      </c>
      <c r="J21" s="3" t="s">
        <v>112</v>
      </c>
      <c r="K21" s="3"/>
      <c r="L21" s="10" t="s">
        <v>15</v>
      </c>
      <c r="M21" s="5">
        <f>N5</f>
        <v>36.099999999999994</v>
      </c>
      <c r="N21" s="103" t="s">
        <v>114</v>
      </c>
      <c r="O21" s="11">
        <f>M21+M$24</f>
        <v>38.411440754068167</v>
      </c>
      <c r="P21" s="3"/>
      <c r="Q21" s="3"/>
      <c r="R21" s="106"/>
      <c r="S21" s="172"/>
      <c r="T21" s="172"/>
      <c r="U21" s="172"/>
      <c r="V21" s="172"/>
      <c r="W21" s="172"/>
      <c r="X21" s="106"/>
      <c r="Y21" s="172"/>
      <c r="Z21" s="269"/>
      <c r="AA21" s="268"/>
      <c r="AB21" s="269"/>
      <c r="AC21" s="271"/>
    </row>
    <row r="22" spans="2:29" ht="15.75" x14ac:dyDescent="0.25">
      <c r="B22" s="121" t="s">
        <v>16</v>
      </c>
      <c r="C22" s="103">
        <f>Q5-1</f>
        <v>2</v>
      </c>
      <c r="D22" s="4">
        <f>SUMSQ(J8:L8)/(Q5*Q3)-Q7</f>
        <v>126.6569555555543</v>
      </c>
      <c r="E22" s="4">
        <f t="shared" si="5"/>
        <v>63.328477777777152</v>
      </c>
      <c r="F22" s="114">
        <f>E22/E24</f>
        <v>17.545943882539799</v>
      </c>
      <c r="G22" s="4">
        <f>FINV(G18,C22,C24)</f>
        <v>3.6337234675916301</v>
      </c>
      <c r="H22" s="4">
        <f>FINV(H18,C22,C24)</f>
        <v>6.2262352803113821</v>
      </c>
      <c r="I22" s="24" t="str">
        <f t="shared" si="6"/>
        <v>**</v>
      </c>
      <c r="J22" s="3" t="s">
        <v>112</v>
      </c>
      <c r="K22" s="3"/>
      <c r="L22" s="10" t="s">
        <v>18</v>
      </c>
      <c r="M22" s="5">
        <f>N6</f>
        <v>39.700000000000003</v>
      </c>
      <c r="N22" s="103" t="s">
        <v>115</v>
      </c>
      <c r="O22" s="11">
        <f>M22+M$24</f>
        <v>42.011440754068175</v>
      </c>
      <c r="P22" s="3"/>
      <c r="Q22" s="3"/>
      <c r="R22" s="106"/>
      <c r="S22" s="172"/>
      <c r="T22" s="172"/>
      <c r="U22" s="172"/>
      <c r="V22" s="172"/>
      <c r="W22" s="172"/>
      <c r="X22" s="106"/>
      <c r="Y22" s="172"/>
      <c r="Z22" s="269"/>
      <c r="AA22" s="268"/>
      <c r="AB22" s="269"/>
      <c r="AC22" s="271"/>
    </row>
    <row r="23" spans="2:29" ht="15.75" x14ac:dyDescent="0.25">
      <c r="B23" s="121" t="s">
        <v>46</v>
      </c>
      <c r="C23" s="103">
        <f>C21*C22</f>
        <v>4</v>
      </c>
      <c r="D23" s="4">
        <f>D20-D21-D22</f>
        <v>137.26817777777615</v>
      </c>
      <c r="E23" s="4">
        <f t="shared" si="5"/>
        <v>34.317044444444036</v>
      </c>
      <c r="F23" s="114">
        <f>E23/E24</f>
        <v>9.5079647761268831</v>
      </c>
      <c r="G23" s="4">
        <f>FINV(G18,C23,C24)</f>
        <v>3.0069172799243447</v>
      </c>
      <c r="H23" s="4">
        <f>FINV(H18,C23,C24)</f>
        <v>4.772577999723211</v>
      </c>
      <c r="I23" s="24" t="str">
        <f t="shared" si="6"/>
        <v>**</v>
      </c>
      <c r="J23" s="3" t="s">
        <v>112</v>
      </c>
      <c r="K23" s="3"/>
      <c r="L23" s="10" t="s">
        <v>20</v>
      </c>
      <c r="M23" s="5">
        <f>N7</f>
        <v>42.086666666666666</v>
      </c>
      <c r="N23" s="103" t="s">
        <v>117</v>
      </c>
      <c r="O23" s="11">
        <f>M23+M$24</f>
        <v>44.398107420734839</v>
      </c>
      <c r="P23" s="3"/>
      <c r="Q23" s="3"/>
      <c r="R23" s="106"/>
      <c r="S23" s="68"/>
      <c r="T23" s="68"/>
      <c r="U23" s="172"/>
      <c r="V23" s="172"/>
      <c r="W23" s="172"/>
      <c r="X23" s="106"/>
      <c r="Y23" s="172"/>
      <c r="Z23" s="269"/>
      <c r="AA23" s="268"/>
      <c r="AB23" s="269"/>
      <c r="AC23" s="271"/>
    </row>
    <row r="24" spans="2:29" ht="15.75" x14ac:dyDescent="0.25">
      <c r="B24" s="121" t="s">
        <v>47</v>
      </c>
      <c r="C24" s="103">
        <f>C25-C19-C20</f>
        <v>16</v>
      </c>
      <c r="D24" s="4">
        <f>D25-D19-D20</f>
        <v>57.748711111104058</v>
      </c>
      <c r="E24" s="4">
        <f t="shared" si="5"/>
        <v>3.6092944444440036</v>
      </c>
      <c r="F24" s="81"/>
      <c r="G24" s="81"/>
      <c r="H24" s="81"/>
      <c r="I24" s="81"/>
      <c r="J24" s="3"/>
      <c r="K24" s="3"/>
      <c r="L24" s="102" t="s">
        <v>38</v>
      </c>
      <c r="M24" s="205">
        <f>M17*L17</f>
        <v>2.3114407540681738</v>
      </c>
      <c r="N24" s="206"/>
      <c r="O24" s="3"/>
      <c r="P24" s="3"/>
      <c r="Q24" s="3"/>
      <c r="R24" s="106"/>
      <c r="S24" s="66"/>
      <c r="T24" s="267"/>
      <c r="U24" s="172"/>
      <c r="V24" s="172"/>
      <c r="W24" s="172"/>
      <c r="X24" s="106"/>
      <c r="Y24" s="172"/>
      <c r="Z24" s="269"/>
      <c r="AA24" s="268"/>
      <c r="AB24" s="269"/>
      <c r="AC24" s="271"/>
    </row>
    <row r="25" spans="2:29" ht="15.75" x14ac:dyDescent="0.25">
      <c r="B25" s="121" t="s">
        <v>48</v>
      </c>
      <c r="C25" s="103">
        <f>Q4*Q5*Q3-1</f>
        <v>26</v>
      </c>
      <c r="D25" s="12">
        <f>SUMSQ(C4:E12)-Q7</f>
        <v>486.51426666665793</v>
      </c>
      <c r="E25" s="4">
        <f t="shared" si="5"/>
        <v>18.712087179486844</v>
      </c>
      <c r="F25" s="81"/>
      <c r="G25" s="81"/>
      <c r="H25" s="81"/>
      <c r="I25" s="81"/>
      <c r="J25" s="3"/>
      <c r="K25" s="3"/>
      <c r="L25" s="10" t="s">
        <v>10</v>
      </c>
      <c r="M25" s="5">
        <f>J9</f>
        <v>38.222222222222221</v>
      </c>
      <c r="N25" s="103" t="s">
        <v>113</v>
      </c>
      <c r="O25" s="11">
        <f>M25+M$28</f>
        <v>40.533662976290394</v>
      </c>
      <c r="P25" s="3"/>
      <c r="Q25" s="3"/>
      <c r="R25" s="106"/>
      <c r="S25" s="66"/>
      <c r="T25" s="267"/>
      <c r="U25" s="172"/>
      <c r="V25" s="172"/>
      <c r="W25" s="172"/>
      <c r="X25" s="106"/>
      <c r="Y25" s="172"/>
      <c r="Z25" s="269"/>
      <c r="AA25" s="268"/>
      <c r="AB25" s="269"/>
      <c r="AC25" s="271"/>
    </row>
    <row r="26" spans="2:29" ht="15.75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  <c r="L26" s="13" t="s">
        <v>11</v>
      </c>
      <c r="M26" s="5">
        <f>K9</f>
        <v>37.347777777777779</v>
      </c>
      <c r="N26" s="103" t="s">
        <v>114</v>
      </c>
      <c r="O26" s="11">
        <f>M26+M$28</f>
        <v>39.659218531845951</v>
      </c>
      <c r="P26" s="3"/>
      <c r="Q26" s="3"/>
      <c r="R26" s="106"/>
      <c r="S26" s="66"/>
      <c r="T26" s="267"/>
      <c r="U26" s="172"/>
      <c r="V26" s="172"/>
      <c r="W26" s="172"/>
      <c r="X26" s="106"/>
      <c r="Y26" s="172"/>
      <c r="Z26" s="269"/>
      <c r="AA26" s="268"/>
      <c r="AB26" s="269"/>
      <c r="AC26" s="271"/>
    </row>
    <row r="27" spans="2:29" ht="15.75" x14ac:dyDescent="0.25">
      <c r="B27" s="3"/>
      <c r="C27" s="40"/>
      <c r="D27" s="3"/>
      <c r="E27" s="3"/>
      <c r="F27" s="3"/>
      <c r="G27" s="3"/>
      <c r="H27" s="3"/>
      <c r="I27" s="3"/>
      <c r="J27" s="3"/>
      <c r="K27" s="3"/>
      <c r="L27" s="13" t="s">
        <v>12</v>
      </c>
      <c r="M27" s="5">
        <f>L9</f>
        <v>42.31666666666667</v>
      </c>
      <c r="N27" s="103" t="s">
        <v>115</v>
      </c>
      <c r="O27" s="11">
        <f>M27+M$28</f>
        <v>44.628107420734842</v>
      </c>
      <c r="P27" s="3"/>
      <c r="Q27" s="3"/>
      <c r="R27" s="106"/>
      <c r="S27" s="66"/>
      <c r="T27" s="267"/>
      <c r="U27" s="172"/>
      <c r="V27" s="172"/>
      <c r="W27" s="172"/>
      <c r="X27" s="106"/>
      <c r="Y27" s="172"/>
      <c r="Z27" s="269"/>
      <c r="AA27" s="268"/>
      <c r="AB27" s="269"/>
      <c r="AC27" s="271"/>
    </row>
    <row r="28" spans="2:29" ht="15.75" x14ac:dyDescent="0.25">
      <c r="B28" s="3"/>
      <c r="C28" s="40"/>
      <c r="D28" s="3"/>
      <c r="E28" s="3"/>
      <c r="F28" s="3"/>
      <c r="G28" s="3"/>
      <c r="H28" s="3"/>
      <c r="I28" s="3"/>
      <c r="J28" s="3"/>
      <c r="K28" s="3"/>
      <c r="L28" s="139" t="s">
        <v>38</v>
      </c>
      <c r="M28" s="144">
        <f>M17*L17</f>
        <v>2.3114407540681738</v>
      </c>
      <c r="N28" s="145"/>
      <c r="O28" s="3"/>
      <c r="P28" s="3"/>
      <c r="Q28" s="3"/>
      <c r="R28" s="106"/>
      <c r="S28" s="66"/>
      <c r="T28" s="267"/>
      <c r="U28" s="172"/>
      <c r="V28" s="172"/>
      <c r="W28" s="172"/>
      <c r="X28" s="106"/>
      <c r="Y28" s="172"/>
      <c r="Z28" s="269"/>
      <c r="AA28" s="268"/>
      <c r="AB28" s="269"/>
      <c r="AC28" s="271"/>
    </row>
    <row r="29" spans="2:29" ht="15.75" x14ac:dyDescent="0.25">
      <c r="C29" s="40"/>
      <c r="S29" s="66"/>
      <c r="T29" s="267"/>
      <c r="U29" s="172"/>
      <c r="V29" s="172"/>
      <c r="W29" s="172"/>
      <c r="X29" s="106"/>
      <c r="Y29" s="172"/>
      <c r="Z29" s="269"/>
      <c r="AA29" s="268"/>
      <c r="AB29" s="269"/>
      <c r="AC29" s="271"/>
    </row>
    <row r="30" spans="2:29" ht="15.75" x14ac:dyDescent="0.25">
      <c r="L30" s="129" t="s">
        <v>118</v>
      </c>
      <c r="M30" s="129" t="s">
        <v>29</v>
      </c>
      <c r="N30" s="129" t="s">
        <v>30</v>
      </c>
      <c r="O30" s="47"/>
      <c r="P30" s="171"/>
      <c r="S30" s="66"/>
      <c r="T30" s="267"/>
      <c r="U30" s="172"/>
      <c r="V30" s="172"/>
      <c r="W30" s="172"/>
      <c r="X30" s="106"/>
      <c r="Y30" s="172"/>
      <c r="Z30" s="269"/>
      <c r="AA30" s="268"/>
      <c r="AB30" s="269"/>
      <c r="AC30" s="271"/>
    </row>
    <row r="31" spans="2:29" ht="15.75" x14ac:dyDescent="0.25">
      <c r="L31" s="4">
        <f>SQRT(E24/Q3)</f>
        <v>1.0968583081455878</v>
      </c>
      <c r="M31" s="166">
        <v>5.03</v>
      </c>
      <c r="N31" s="4">
        <f>L31*M31</f>
        <v>5.517197289972307</v>
      </c>
      <c r="O31" s="47"/>
      <c r="P31" s="171"/>
      <c r="S31" s="66"/>
      <c r="T31" s="267"/>
      <c r="U31" s="172"/>
      <c r="V31" s="172"/>
      <c r="W31" s="172"/>
      <c r="X31" s="106"/>
      <c r="Y31" s="172"/>
      <c r="Z31" s="172"/>
      <c r="AA31" s="172"/>
      <c r="AB31" s="172"/>
      <c r="AC31" s="172"/>
    </row>
    <row r="32" spans="2:29" ht="15.75" x14ac:dyDescent="0.25">
      <c r="L32" s="164" t="s">
        <v>38</v>
      </c>
      <c r="M32" s="205">
        <f>M31*L31</f>
        <v>5.517197289972307</v>
      </c>
      <c r="N32" s="206"/>
      <c r="O32" s="47"/>
      <c r="P32" s="171"/>
      <c r="S32" s="66"/>
      <c r="T32" s="267"/>
      <c r="U32" s="172"/>
      <c r="V32" s="172"/>
      <c r="W32" s="172"/>
      <c r="X32" s="106"/>
      <c r="Y32" s="172"/>
      <c r="Z32" s="172"/>
      <c r="AA32" s="172"/>
      <c r="AB32" s="172"/>
      <c r="AC32" s="172"/>
    </row>
    <row r="33" spans="12:29" ht="15.75" x14ac:dyDescent="0.25">
      <c r="L33" s="106"/>
      <c r="M33" s="47"/>
      <c r="N33" s="47"/>
      <c r="O33" s="47"/>
      <c r="P33" s="171"/>
      <c r="S33" s="172"/>
      <c r="T33" s="172"/>
      <c r="U33" s="172"/>
      <c r="V33" s="172"/>
      <c r="W33" s="172"/>
      <c r="X33" s="106"/>
      <c r="Y33" s="172"/>
      <c r="Z33" s="172"/>
      <c r="AA33" s="172"/>
      <c r="AB33" s="172"/>
      <c r="AC33" s="172"/>
    </row>
    <row r="34" spans="12:29" ht="15.75" x14ac:dyDescent="0.25">
      <c r="L34" s="129" t="s">
        <v>40</v>
      </c>
      <c r="M34" s="129" t="s">
        <v>41</v>
      </c>
      <c r="N34" s="129" t="s">
        <v>48</v>
      </c>
      <c r="O34" s="129" t="s">
        <v>42</v>
      </c>
      <c r="P34" s="3"/>
      <c r="S34" s="172"/>
      <c r="T34" s="172"/>
      <c r="U34" s="172"/>
      <c r="V34" s="172"/>
      <c r="W34" s="172"/>
      <c r="X34" s="106"/>
      <c r="Y34" s="172"/>
      <c r="Z34" s="172"/>
      <c r="AA34" s="172"/>
      <c r="AB34" s="172"/>
      <c r="AC34" s="172"/>
    </row>
    <row r="35" spans="12:29" ht="15.75" x14ac:dyDescent="0.25">
      <c r="L35" s="166" t="s">
        <v>9</v>
      </c>
      <c r="M35" s="6">
        <f t="shared" ref="M35:M43" si="7">G4</f>
        <v>32.853333333333332</v>
      </c>
      <c r="N35" s="6">
        <f t="shared" ref="N35:N43" si="8">F4</f>
        <v>98.56</v>
      </c>
      <c r="O35" s="180" t="s">
        <v>114</v>
      </c>
      <c r="P35" s="11">
        <f t="shared" ref="P35:P43" si="9">M35+M$44</f>
        <v>38.37053062330564</v>
      </c>
      <c r="S35" s="172"/>
      <c r="T35" s="172"/>
      <c r="U35" s="172"/>
      <c r="V35" s="172"/>
      <c r="W35" s="172"/>
      <c r="X35" s="106"/>
      <c r="Y35" s="172"/>
      <c r="Z35" s="172"/>
      <c r="AA35" s="172"/>
      <c r="AB35" s="172"/>
      <c r="AC35" s="172"/>
    </row>
    <row r="36" spans="12:29" ht="15.75" x14ac:dyDescent="0.25">
      <c r="L36" s="166" t="s">
        <v>14</v>
      </c>
      <c r="M36" s="6">
        <f t="shared" si="7"/>
        <v>33.706666666666671</v>
      </c>
      <c r="N36" s="6">
        <f t="shared" si="8"/>
        <v>101.12</v>
      </c>
      <c r="O36" s="180" t="s">
        <v>114</v>
      </c>
      <c r="P36" s="11">
        <f t="shared" si="9"/>
        <v>39.223863956638979</v>
      </c>
      <c r="S36" s="172"/>
      <c r="T36" s="172"/>
      <c r="U36" s="172"/>
      <c r="V36" s="172"/>
      <c r="W36" s="172"/>
      <c r="Y36" s="172"/>
      <c r="Z36" s="172"/>
      <c r="AA36" s="172"/>
      <c r="AB36" s="172"/>
      <c r="AC36" s="172"/>
    </row>
    <row r="37" spans="12:29" ht="15.75" x14ac:dyDescent="0.25">
      <c r="L37" s="166" t="s">
        <v>17</v>
      </c>
      <c r="M37" s="6">
        <f t="shared" si="7"/>
        <v>41.74</v>
      </c>
      <c r="N37" s="6">
        <f t="shared" si="8"/>
        <v>125.22</v>
      </c>
      <c r="O37" s="180" t="s">
        <v>117</v>
      </c>
      <c r="P37" s="11">
        <f t="shared" si="9"/>
        <v>47.257197289972311</v>
      </c>
      <c r="S37" s="172"/>
      <c r="T37" s="172"/>
      <c r="U37" s="172"/>
      <c r="V37" s="172"/>
      <c r="W37" s="172"/>
    </row>
    <row r="38" spans="12:29" ht="15.75" x14ac:dyDescent="0.25">
      <c r="L38" s="166" t="s">
        <v>19</v>
      </c>
      <c r="M38" s="6">
        <f t="shared" si="7"/>
        <v>42.513333333333328</v>
      </c>
      <c r="N38" s="6">
        <f t="shared" si="8"/>
        <v>127.53999999999999</v>
      </c>
      <c r="O38" s="180" t="s">
        <v>117</v>
      </c>
      <c r="P38" s="11">
        <f t="shared" si="9"/>
        <v>48.030530623305637</v>
      </c>
      <c r="S38" s="172"/>
      <c r="T38" s="172"/>
      <c r="U38" s="172"/>
      <c r="V38" s="172"/>
      <c r="W38" s="172"/>
    </row>
    <row r="39" spans="12:29" ht="15.75" x14ac:dyDescent="0.25">
      <c r="L39" s="166" t="s">
        <v>22</v>
      </c>
      <c r="M39" s="6">
        <f t="shared" si="7"/>
        <v>35.506666666666668</v>
      </c>
      <c r="N39" s="6">
        <f t="shared" si="8"/>
        <v>106.52</v>
      </c>
      <c r="O39" s="180" t="s">
        <v>113</v>
      </c>
      <c r="P39" s="11">
        <f t="shared" si="9"/>
        <v>41.023863956638976</v>
      </c>
    </row>
    <row r="40" spans="12:29" ht="15.75" x14ac:dyDescent="0.25">
      <c r="L40" s="166" t="s">
        <v>23</v>
      </c>
      <c r="M40" s="6">
        <f t="shared" si="7"/>
        <v>41.080000000000005</v>
      </c>
      <c r="N40" s="6">
        <f t="shared" si="8"/>
        <v>123.24000000000001</v>
      </c>
      <c r="O40" s="180" t="s">
        <v>117</v>
      </c>
      <c r="P40" s="11">
        <f t="shared" si="9"/>
        <v>46.597197289972314</v>
      </c>
    </row>
    <row r="41" spans="12:29" ht="15.75" x14ac:dyDescent="0.25">
      <c r="L41" s="166" t="s">
        <v>24</v>
      </c>
      <c r="M41" s="6">
        <f t="shared" si="7"/>
        <v>39.300000000000004</v>
      </c>
      <c r="N41" s="6">
        <f t="shared" si="8"/>
        <v>117.9</v>
      </c>
      <c r="O41" s="180" t="s">
        <v>119</v>
      </c>
      <c r="P41" s="11">
        <f t="shared" si="9"/>
        <v>44.817197289972313</v>
      </c>
    </row>
    <row r="42" spans="12:29" ht="15.75" x14ac:dyDescent="0.25">
      <c r="L42" s="166" t="s">
        <v>25</v>
      </c>
      <c r="M42" s="6">
        <f t="shared" si="7"/>
        <v>42.830000000000005</v>
      </c>
      <c r="N42" s="6">
        <f t="shared" si="8"/>
        <v>128.49</v>
      </c>
      <c r="O42" s="180" t="s">
        <v>117</v>
      </c>
      <c r="P42" s="11">
        <f t="shared" si="9"/>
        <v>48.347197289972314</v>
      </c>
    </row>
    <row r="43" spans="12:29" ht="15.75" x14ac:dyDescent="0.25">
      <c r="L43" s="166" t="s">
        <v>26</v>
      </c>
      <c r="M43" s="6">
        <f t="shared" si="7"/>
        <v>44.129999999999995</v>
      </c>
      <c r="N43" s="6">
        <f t="shared" si="8"/>
        <v>132.38999999999999</v>
      </c>
      <c r="O43" s="180" t="s">
        <v>117</v>
      </c>
      <c r="P43" s="170">
        <f t="shared" si="9"/>
        <v>49.647197289972304</v>
      </c>
    </row>
    <row r="44" spans="12:29" ht="15.75" x14ac:dyDescent="0.25">
      <c r="L44" s="174" t="s">
        <v>38</v>
      </c>
      <c r="M44" s="207">
        <f>M31*L31</f>
        <v>5.517197289972307</v>
      </c>
      <c r="N44" s="207"/>
      <c r="O44" s="207"/>
      <c r="P44" s="3"/>
    </row>
  </sheetData>
  <mergeCells count="20">
    <mergeCell ref="M32:N32"/>
    <mergeCell ref="M44:O44"/>
    <mergeCell ref="B2:E2"/>
    <mergeCell ref="F2:F3"/>
    <mergeCell ref="G2:G3"/>
    <mergeCell ref="I2:N2"/>
    <mergeCell ref="I3:I4"/>
    <mergeCell ref="J3:L3"/>
    <mergeCell ref="M3:M4"/>
    <mergeCell ref="N3:N4"/>
    <mergeCell ref="B16:I16"/>
    <mergeCell ref="B17:B18"/>
    <mergeCell ref="C17:C18"/>
    <mergeCell ref="D17:D18"/>
    <mergeCell ref="E17:E18"/>
    <mergeCell ref="F17:F18"/>
    <mergeCell ref="G17:H17"/>
    <mergeCell ref="I17:I18"/>
    <mergeCell ref="M18:N18"/>
    <mergeCell ref="M24:N2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9"/>
  <sheetViews>
    <sheetView topLeftCell="A62" zoomScale="70" zoomScaleNormal="70" workbookViewId="0">
      <selection activeCell="A37" sqref="A37:L90"/>
    </sheetView>
  </sheetViews>
  <sheetFormatPr defaultRowHeight="15" x14ac:dyDescent="0.25"/>
  <cols>
    <col min="1" max="1" width="7.5703125" customWidth="1"/>
    <col min="2" max="2" width="14.5703125" customWidth="1"/>
    <col min="3" max="3" width="12.7109375" customWidth="1"/>
    <col min="4" max="4" width="12.140625" customWidth="1"/>
    <col min="12" max="12" width="10.42578125" customWidth="1"/>
    <col min="13" max="13" width="12.5703125" customWidth="1"/>
    <col min="14" max="14" width="11.140625" customWidth="1"/>
    <col min="19" max="19" width="11.7109375" customWidth="1"/>
    <col min="20" max="20" width="13.5703125" customWidth="1"/>
    <col min="21" max="21" width="9.28515625" customWidth="1"/>
    <col min="22" max="22" width="11.7109375" customWidth="1"/>
    <col min="23" max="23" width="16.140625" customWidth="1"/>
    <col min="24" max="24" width="10" customWidth="1"/>
    <col min="27" max="27" width="14.85546875" customWidth="1"/>
  </cols>
  <sheetData>
    <row r="1" spans="2:28" x14ac:dyDescent="0.25"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O1">
        <v>1</v>
      </c>
      <c r="P1">
        <v>2</v>
      </c>
      <c r="Q1">
        <v>3</v>
      </c>
      <c r="R1">
        <v>4</v>
      </c>
      <c r="S1">
        <v>5</v>
      </c>
      <c r="T1">
        <v>6</v>
      </c>
      <c r="U1">
        <v>7</v>
      </c>
      <c r="V1">
        <v>8</v>
      </c>
      <c r="W1">
        <v>9</v>
      </c>
    </row>
    <row r="2" spans="2:28" ht="15.75" x14ac:dyDescent="0.25">
      <c r="B2" s="233" t="s">
        <v>51</v>
      </c>
      <c r="C2" s="233" t="s">
        <v>76</v>
      </c>
      <c r="D2" s="233"/>
      <c r="E2" s="233"/>
      <c r="F2" s="233"/>
      <c r="G2" s="233"/>
      <c r="H2" s="233"/>
      <c r="I2" s="233"/>
      <c r="J2" s="233"/>
      <c r="K2" s="8"/>
      <c r="L2" s="233" t="s">
        <v>1</v>
      </c>
      <c r="M2" s="3"/>
      <c r="N2" s="55" t="s">
        <v>52</v>
      </c>
      <c r="O2" s="42"/>
      <c r="P2" s="42"/>
      <c r="Q2" s="42"/>
      <c r="R2" s="42"/>
      <c r="S2" s="42"/>
      <c r="T2" s="42"/>
      <c r="U2" s="42"/>
      <c r="V2" s="42"/>
      <c r="W2" s="42"/>
      <c r="X2" s="43"/>
      <c r="Z2" s="69"/>
      <c r="AA2" s="69"/>
    </row>
    <row r="3" spans="2:28" ht="15.75" x14ac:dyDescent="0.25">
      <c r="B3" s="233"/>
      <c r="C3" s="8">
        <v>890</v>
      </c>
      <c r="D3" s="8">
        <v>873</v>
      </c>
      <c r="E3" s="8">
        <v>356</v>
      </c>
      <c r="F3" s="8">
        <v>851</v>
      </c>
      <c r="G3" s="8">
        <v>234</v>
      </c>
      <c r="H3" s="8">
        <v>941</v>
      </c>
      <c r="I3" s="8">
        <v>763</v>
      </c>
      <c r="J3" s="8">
        <v>567</v>
      </c>
      <c r="K3" s="8">
        <v>563</v>
      </c>
      <c r="L3" s="233"/>
      <c r="M3" s="44"/>
      <c r="N3" s="228" t="s">
        <v>51</v>
      </c>
      <c r="O3" s="230" t="s">
        <v>5</v>
      </c>
      <c r="P3" s="231"/>
      <c r="Q3" s="231"/>
      <c r="R3" s="231"/>
      <c r="S3" s="231"/>
      <c r="T3" s="231"/>
      <c r="U3" s="231"/>
      <c r="V3" s="231"/>
      <c r="W3" s="232"/>
      <c r="X3" s="233" t="s">
        <v>1</v>
      </c>
      <c r="Z3" s="69"/>
      <c r="AA3" s="226" t="s">
        <v>50</v>
      </c>
      <c r="AB3" s="227"/>
    </row>
    <row r="4" spans="2:28" ht="15.75" x14ac:dyDescent="0.25">
      <c r="B4" s="20" t="s">
        <v>62</v>
      </c>
      <c r="C4" s="56">
        <v>2</v>
      </c>
      <c r="D4" s="56">
        <v>2</v>
      </c>
      <c r="E4" s="56">
        <v>4</v>
      </c>
      <c r="F4" s="56">
        <v>3</v>
      </c>
      <c r="G4" s="56">
        <v>4</v>
      </c>
      <c r="H4" s="56">
        <v>4</v>
      </c>
      <c r="I4" s="56">
        <v>4</v>
      </c>
      <c r="J4" s="56">
        <v>2</v>
      </c>
      <c r="K4" s="56">
        <v>4</v>
      </c>
      <c r="L4" s="8">
        <f>SUM(C4:K4)</f>
        <v>29</v>
      </c>
      <c r="M4" s="3"/>
      <c r="N4" s="229"/>
      <c r="O4" s="8" t="s">
        <v>9</v>
      </c>
      <c r="P4" s="8" t="s">
        <v>14</v>
      </c>
      <c r="Q4" s="8" t="s">
        <v>17</v>
      </c>
      <c r="R4" s="8" t="s">
        <v>19</v>
      </c>
      <c r="S4" s="8" t="s">
        <v>22</v>
      </c>
      <c r="T4" s="8" t="s">
        <v>23</v>
      </c>
      <c r="U4" s="8" t="s">
        <v>24</v>
      </c>
      <c r="V4" s="8" t="s">
        <v>25</v>
      </c>
      <c r="W4" s="8" t="s">
        <v>26</v>
      </c>
      <c r="X4" s="233"/>
      <c r="AA4" s="36" t="s">
        <v>9</v>
      </c>
      <c r="AB4" s="75">
        <f>STDEV(O5:O19)</f>
        <v>2.2092877542213416</v>
      </c>
    </row>
    <row r="5" spans="2:28" ht="15.75" x14ac:dyDescent="0.25">
      <c r="B5" s="8" t="s">
        <v>63</v>
      </c>
      <c r="C5" s="56">
        <v>4</v>
      </c>
      <c r="D5" s="56">
        <v>4</v>
      </c>
      <c r="E5" s="56">
        <v>3</v>
      </c>
      <c r="F5" s="56">
        <v>3</v>
      </c>
      <c r="G5" s="56">
        <v>2</v>
      </c>
      <c r="H5" s="56">
        <v>2</v>
      </c>
      <c r="I5" s="56">
        <v>3</v>
      </c>
      <c r="J5" s="56">
        <v>3</v>
      </c>
      <c r="K5" s="56">
        <v>3</v>
      </c>
      <c r="L5" s="8">
        <f>SUM(C5:K5)</f>
        <v>27</v>
      </c>
      <c r="M5" s="3"/>
      <c r="N5" s="8">
        <v>1</v>
      </c>
      <c r="O5" s="160">
        <f>(1+2+3)/3</f>
        <v>2</v>
      </c>
      <c r="P5" s="160">
        <f>(1+2+3)/3</f>
        <v>2</v>
      </c>
      <c r="Q5" s="160">
        <f>(5+6+7+8+9)/5</f>
        <v>7</v>
      </c>
      <c r="R5" s="160">
        <f>4/1</f>
        <v>4</v>
      </c>
      <c r="S5" s="160">
        <f t="shared" ref="S5:U5" si="0">(5+6+7+8+9)/5</f>
        <v>7</v>
      </c>
      <c r="T5" s="160">
        <f t="shared" si="0"/>
        <v>7</v>
      </c>
      <c r="U5" s="160">
        <f t="shared" si="0"/>
        <v>7</v>
      </c>
      <c r="V5" s="160">
        <f>(1+2+3)/3</f>
        <v>2</v>
      </c>
      <c r="W5" s="160">
        <f>(5+6+7+8+9)/5</f>
        <v>7</v>
      </c>
      <c r="X5" s="4">
        <f>SUM(O5:W5)</f>
        <v>45</v>
      </c>
      <c r="AA5" s="36" t="s">
        <v>14</v>
      </c>
      <c r="AB5" s="75">
        <f>STDEV(P5:P19)</f>
        <v>2.4201534780139164</v>
      </c>
    </row>
    <row r="6" spans="2:28" ht="15.75" x14ac:dyDescent="0.25">
      <c r="B6" s="8" t="s">
        <v>64</v>
      </c>
      <c r="C6" s="56">
        <v>3</v>
      </c>
      <c r="D6" s="56">
        <v>2</v>
      </c>
      <c r="E6" s="56">
        <v>4</v>
      </c>
      <c r="F6" s="56">
        <v>4</v>
      </c>
      <c r="G6" s="56">
        <v>2</v>
      </c>
      <c r="H6" s="56">
        <v>4</v>
      </c>
      <c r="I6" s="56">
        <v>2</v>
      </c>
      <c r="J6" s="56">
        <v>3</v>
      </c>
      <c r="K6" s="56">
        <v>3</v>
      </c>
      <c r="L6" s="8">
        <f>SUM(C6:K6)</f>
        <v>27</v>
      </c>
      <c r="M6" s="3"/>
      <c r="N6" s="8">
        <v>2</v>
      </c>
      <c r="O6" s="160">
        <f>(8+9)/2</f>
        <v>8.5</v>
      </c>
      <c r="P6" s="160">
        <f>(8+9)/2</f>
        <v>8.5</v>
      </c>
      <c r="Q6" s="160">
        <f>(3+4+5+6+7)/5</f>
        <v>5</v>
      </c>
      <c r="R6" s="160">
        <f>(3+4+5+6+7)/5</f>
        <v>5</v>
      </c>
      <c r="S6" s="160">
        <f>(1+2)/2</f>
        <v>1.5</v>
      </c>
      <c r="T6" s="160">
        <f>(1+2)/2</f>
        <v>1.5</v>
      </c>
      <c r="U6" s="160">
        <f t="shared" ref="U6:W6" si="1">(3+4+5+6+7)/5</f>
        <v>5</v>
      </c>
      <c r="V6" s="160">
        <f t="shared" si="1"/>
        <v>5</v>
      </c>
      <c r="W6" s="160">
        <f t="shared" si="1"/>
        <v>5</v>
      </c>
      <c r="X6" s="4">
        <f>SUM(O6:W6)</f>
        <v>45</v>
      </c>
      <c r="Z6" s="66"/>
      <c r="AA6" s="36" t="s">
        <v>17</v>
      </c>
      <c r="AB6" s="75">
        <f>STDEV(Q5:Q19)</f>
        <v>1.9952324127660872</v>
      </c>
    </row>
    <row r="7" spans="2:28" ht="15.75" x14ac:dyDescent="0.25">
      <c r="B7" s="8" t="s">
        <v>65</v>
      </c>
      <c r="C7" s="56">
        <v>4</v>
      </c>
      <c r="D7" s="56">
        <v>2</v>
      </c>
      <c r="E7" s="56">
        <v>2</v>
      </c>
      <c r="F7" s="56">
        <v>3</v>
      </c>
      <c r="G7" s="56">
        <v>3</v>
      </c>
      <c r="H7" s="56">
        <v>3</v>
      </c>
      <c r="I7" s="56">
        <v>4</v>
      </c>
      <c r="J7" s="56">
        <v>4</v>
      </c>
      <c r="K7" s="56">
        <v>4</v>
      </c>
      <c r="L7" s="8">
        <f>SUM(C7:K7)</f>
        <v>29</v>
      </c>
      <c r="M7" s="3"/>
      <c r="N7" s="8">
        <v>3</v>
      </c>
      <c r="O7" s="160">
        <f>(4+5+6)/3</f>
        <v>5</v>
      </c>
      <c r="P7" s="160">
        <f>(1+2+3)/3</f>
        <v>2</v>
      </c>
      <c r="Q7" s="160">
        <f>(7+8+9)/3</f>
        <v>8</v>
      </c>
      <c r="R7" s="160">
        <f>(7+8+9)/3</f>
        <v>8</v>
      </c>
      <c r="S7" s="160">
        <f>(1+2+3)/3</f>
        <v>2</v>
      </c>
      <c r="T7" s="160">
        <f>(7+8+9)/3</f>
        <v>8</v>
      </c>
      <c r="U7" s="160">
        <f>(1+2+3)/3</f>
        <v>2</v>
      </c>
      <c r="V7" s="160">
        <f>(4+5+6)/3</f>
        <v>5</v>
      </c>
      <c r="W7" s="160">
        <f>(4+5+6)/3</f>
        <v>5</v>
      </c>
      <c r="X7" s="4">
        <f>SUM(O7:W7)</f>
        <v>45</v>
      </c>
      <c r="Z7" s="68"/>
      <c r="AA7" s="36" t="s">
        <v>19</v>
      </c>
      <c r="AB7" s="75">
        <f>STDEV(R5:R19)</f>
        <v>1.4375905768565218</v>
      </c>
    </row>
    <row r="8" spans="2:28" ht="15.75" x14ac:dyDescent="0.25">
      <c r="B8" s="8" t="s">
        <v>66</v>
      </c>
      <c r="C8" s="56">
        <v>4</v>
      </c>
      <c r="D8" s="56">
        <v>2</v>
      </c>
      <c r="E8" s="56">
        <v>3</v>
      </c>
      <c r="F8" s="56">
        <v>3</v>
      </c>
      <c r="G8" s="56">
        <v>2</v>
      </c>
      <c r="H8" s="56">
        <v>3</v>
      </c>
      <c r="I8" s="56">
        <v>2</v>
      </c>
      <c r="J8" s="56">
        <v>4</v>
      </c>
      <c r="K8" s="56">
        <v>4</v>
      </c>
      <c r="L8" s="8">
        <f>SUM(C8:K8)</f>
        <v>27</v>
      </c>
      <c r="M8" s="3"/>
      <c r="N8" s="8">
        <v>4</v>
      </c>
      <c r="O8" s="160">
        <f>(6+7+8+9)/4</f>
        <v>7.5</v>
      </c>
      <c r="P8" s="160">
        <f>(1+2)/2</f>
        <v>1.5</v>
      </c>
      <c r="Q8" s="160">
        <f>(1+2)/2</f>
        <v>1.5</v>
      </c>
      <c r="R8" s="160">
        <f>(3+4+5)/3</f>
        <v>4</v>
      </c>
      <c r="S8" s="160">
        <f>(3+4+5)/3</f>
        <v>4</v>
      </c>
      <c r="T8" s="160">
        <f>(3+4+5)/3</f>
        <v>4</v>
      </c>
      <c r="U8" s="160">
        <f>(6+7+8+9)/4</f>
        <v>7.5</v>
      </c>
      <c r="V8" s="160">
        <f>(6+7+8+9)/4</f>
        <v>7.5</v>
      </c>
      <c r="W8" s="160">
        <f>(6+7+8+9)/4</f>
        <v>7.5</v>
      </c>
      <c r="X8" s="4">
        <f>SUM(O8:W8)</f>
        <v>45</v>
      </c>
      <c r="Z8" s="68"/>
      <c r="AA8" s="36" t="s">
        <v>22</v>
      </c>
      <c r="AB8" s="75">
        <f>STDEV(S5:S19)</f>
        <v>1.926012411570551</v>
      </c>
    </row>
    <row r="9" spans="2:28" ht="15.75" x14ac:dyDescent="0.25">
      <c r="B9" s="8" t="s">
        <v>67</v>
      </c>
      <c r="C9" s="56">
        <v>4</v>
      </c>
      <c r="D9" s="56">
        <v>3</v>
      </c>
      <c r="E9" s="56">
        <v>3</v>
      </c>
      <c r="F9" s="56">
        <v>4</v>
      </c>
      <c r="G9" s="56">
        <v>4</v>
      </c>
      <c r="H9" s="56">
        <v>2</v>
      </c>
      <c r="I9" s="56">
        <v>3</v>
      </c>
      <c r="J9" s="56">
        <v>2</v>
      </c>
      <c r="K9" s="56">
        <v>4</v>
      </c>
      <c r="L9" s="8">
        <f t="shared" ref="L9:L18" si="2">SUM(C9:K9)</f>
        <v>29</v>
      </c>
      <c r="M9" s="3"/>
      <c r="N9" s="8">
        <v>5</v>
      </c>
      <c r="O9" s="160">
        <f>(7+8+9)/3</f>
        <v>8</v>
      </c>
      <c r="P9" s="160">
        <f>(1+2+3)/3</f>
        <v>2</v>
      </c>
      <c r="Q9" s="160">
        <f>(4+5+6)/3</f>
        <v>5</v>
      </c>
      <c r="R9" s="160">
        <f>(4+5+6)/3</f>
        <v>5</v>
      </c>
      <c r="S9" s="160">
        <f>(1+2+3)/3</f>
        <v>2</v>
      </c>
      <c r="T9" s="160">
        <f>(4+5+6)/3</f>
        <v>5</v>
      </c>
      <c r="U9" s="160">
        <f>(1+2+3)/3</f>
        <v>2</v>
      </c>
      <c r="V9" s="160">
        <f>(7+8+9)/3</f>
        <v>8</v>
      </c>
      <c r="W9" s="160">
        <f>(7+8+9)/3</f>
        <v>8</v>
      </c>
      <c r="X9" s="4">
        <f t="shared" ref="X9:X19" si="3">SUM(O9:W9)</f>
        <v>45</v>
      </c>
      <c r="Z9" s="68"/>
      <c r="AA9" s="36" t="s">
        <v>23</v>
      </c>
      <c r="AB9" s="75">
        <f>STDEV(T5:T19)</f>
        <v>2.6177052837133812</v>
      </c>
    </row>
    <row r="10" spans="2:28" ht="15.75" x14ac:dyDescent="0.25">
      <c r="B10" s="8" t="s">
        <v>68</v>
      </c>
      <c r="C10" s="56">
        <v>3</v>
      </c>
      <c r="D10" s="56">
        <v>4</v>
      </c>
      <c r="E10" s="56">
        <v>4</v>
      </c>
      <c r="F10" s="56">
        <v>4</v>
      </c>
      <c r="G10" s="56">
        <v>3</v>
      </c>
      <c r="H10" s="56">
        <v>2</v>
      </c>
      <c r="I10" s="56">
        <v>2</v>
      </c>
      <c r="J10" s="56">
        <v>3</v>
      </c>
      <c r="K10" s="56">
        <v>2</v>
      </c>
      <c r="L10" s="8">
        <f t="shared" si="2"/>
        <v>27</v>
      </c>
      <c r="M10" s="3"/>
      <c r="N10" s="8">
        <v>6</v>
      </c>
      <c r="O10" s="160">
        <f>(6+7+8+9)/4</f>
        <v>7.5</v>
      </c>
      <c r="P10" s="160">
        <f>(3+4+5)/3</f>
        <v>4</v>
      </c>
      <c r="Q10" s="160">
        <f>(3+4+5)/3</f>
        <v>4</v>
      </c>
      <c r="R10" s="160">
        <f>(6+7+8+9)/4</f>
        <v>7.5</v>
      </c>
      <c r="S10" s="160">
        <f>(6+7+8+9)/4</f>
        <v>7.5</v>
      </c>
      <c r="T10" s="160">
        <f>(1+2)/2</f>
        <v>1.5</v>
      </c>
      <c r="U10" s="160">
        <f>(3+4+5)/3</f>
        <v>4</v>
      </c>
      <c r="V10" s="160">
        <f>(1+2)/2</f>
        <v>1.5</v>
      </c>
      <c r="W10" s="160">
        <f>(6+7+8+9)/4</f>
        <v>7.5</v>
      </c>
      <c r="X10" s="4">
        <f t="shared" si="3"/>
        <v>45</v>
      </c>
      <c r="Z10" s="68"/>
      <c r="AA10" s="36" t="s">
        <v>24</v>
      </c>
      <c r="AB10" s="75">
        <f>STDEV(U5:U19)</f>
        <v>2.1530708965833623</v>
      </c>
    </row>
    <row r="11" spans="2:28" ht="15.75" x14ac:dyDescent="0.25">
      <c r="B11" s="8" t="s">
        <v>69</v>
      </c>
      <c r="C11" s="56">
        <v>4</v>
      </c>
      <c r="D11" s="56">
        <v>4</v>
      </c>
      <c r="E11" s="56">
        <v>4</v>
      </c>
      <c r="F11" s="56">
        <v>4</v>
      </c>
      <c r="G11" s="56">
        <v>4</v>
      </c>
      <c r="H11" s="56">
        <v>3</v>
      </c>
      <c r="I11" s="56">
        <v>3</v>
      </c>
      <c r="J11" s="56">
        <v>4</v>
      </c>
      <c r="K11" s="56">
        <v>3</v>
      </c>
      <c r="L11" s="8">
        <f t="shared" si="2"/>
        <v>33</v>
      </c>
      <c r="M11" s="3"/>
      <c r="N11" s="8">
        <v>7</v>
      </c>
      <c r="O11" s="160">
        <f>(4+5+6)/3</f>
        <v>5</v>
      </c>
      <c r="P11" s="160">
        <f>(7+8+9)/4</f>
        <v>6</v>
      </c>
      <c r="Q11" s="160">
        <f>(7+8+9)/4</f>
        <v>6</v>
      </c>
      <c r="R11" s="160">
        <f>(7+8+9)/4</f>
        <v>6</v>
      </c>
      <c r="S11" s="160">
        <f>(4+5+6)/3</f>
        <v>5</v>
      </c>
      <c r="T11" s="160">
        <f>(1+2+3)/2</f>
        <v>3</v>
      </c>
      <c r="U11" s="160">
        <f>(1+2+3)/2</f>
        <v>3</v>
      </c>
      <c r="V11" s="160">
        <f>(4+5+6)/3</f>
        <v>5</v>
      </c>
      <c r="W11" s="160">
        <f>(1+2+3)/2</f>
        <v>3</v>
      </c>
      <c r="X11" s="4">
        <f t="shared" si="3"/>
        <v>42</v>
      </c>
      <c r="Z11" s="68"/>
      <c r="AA11" s="36" t="s">
        <v>22</v>
      </c>
      <c r="AB11" s="75">
        <f>STDEV(V5:V19)</f>
        <v>2.6095064302514772</v>
      </c>
    </row>
    <row r="12" spans="2:28" ht="15.75" x14ac:dyDescent="0.25">
      <c r="B12" s="8" t="s">
        <v>70</v>
      </c>
      <c r="C12" s="56">
        <v>3</v>
      </c>
      <c r="D12" s="56">
        <v>3</v>
      </c>
      <c r="E12" s="56">
        <v>3</v>
      </c>
      <c r="F12" s="56">
        <v>3</v>
      </c>
      <c r="G12" s="56">
        <v>3</v>
      </c>
      <c r="H12" s="56">
        <v>3</v>
      </c>
      <c r="I12" s="56">
        <v>3</v>
      </c>
      <c r="J12" s="56">
        <v>3</v>
      </c>
      <c r="K12" s="56">
        <v>3</v>
      </c>
      <c r="L12" s="8">
        <f t="shared" si="2"/>
        <v>27</v>
      </c>
      <c r="M12" s="3"/>
      <c r="N12" s="8">
        <v>8</v>
      </c>
      <c r="O12" s="160">
        <f>(4+5+6+7+8+9)/6</f>
        <v>6.5</v>
      </c>
      <c r="P12" s="160">
        <f t="shared" ref="P12:S12" si="4">(4+5+6+7+8+9)/6</f>
        <v>6.5</v>
      </c>
      <c r="Q12" s="160">
        <f t="shared" si="4"/>
        <v>6.5</v>
      </c>
      <c r="R12" s="160">
        <f t="shared" si="4"/>
        <v>6.5</v>
      </c>
      <c r="S12" s="160">
        <f t="shared" si="4"/>
        <v>6.5</v>
      </c>
      <c r="T12" s="160">
        <f>(1+2+3)/3</f>
        <v>2</v>
      </c>
      <c r="U12" s="160">
        <f>(1+2+3)/3</f>
        <v>2</v>
      </c>
      <c r="V12" s="160">
        <f t="shared" ref="V12" si="5">(4+5+6+7+8+9)/6</f>
        <v>6.5</v>
      </c>
      <c r="W12" s="160">
        <f>(1+2+3)/3</f>
        <v>2</v>
      </c>
      <c r="X12" s="4">
        <f t="shared" si="3"/>
        <v>45</v>
      </c>
      <c r="Z12" s="68"/>
      <c r="AA12" s="36" t="s">
        <v>26</v>
      </c>
      <c r="AB12" s="75">
        <f>STDEV(W5:W19)</f>
        <v>2.0219038647015934</v>
      </c>
    </row>
    <row r="13" spans="2:28" ht="15.75" x14ac:dyDescent="0.25">
      <c r="B13" s="8" t="s">
        <v>71</v>
      </c>
      <c r="C13" s="56">
        <v>4</v>
      </c>
      <c r="D13" s="56">
        <v>4</v>
      </c>
      <c r="E13" s="56">
        <v>4</v>
      </c>
      <c r="F13" s="56">
        <v>4</v>
      </c>
      <c r="G13" s="56">
        <v>3</v>
      </c>
      <c r="H13" s="56">
        <v>4</v>
      </c>
      <c r="I13" s="56">
        <v>4</v>
      </c>
      <c r="J13" s="56">
        <v>2</v>
      </c>
      <c r="K13" s="56">
        <v>2</v>
      </c>
      <c r="L13" s="8">
        <f t="shared" si="2"/>
        <v>31</v>
      </c>
      <c r="M13" s="45"/>
      <c r="N13" s="8">
        <v>9</v>
      </c>
      <c r="O13" s="160">
        <f>(1+2+3+4+5+6+7+8+9)/9</f>
        <v>5</v>
      </c>
      <c r="P13" s="160">
        <f t="shared" ref="P13:W13" si="6">(1+2+3+4+5+6+7+8+9)/9</f>
        <v>5</v>
      </c>
      <c r="Q13" s="160">
        <f t="shared" si="6"/>
        <v>5</v>
      </c>
      <c r="R13" s="160">
        <f t="shared" si="6"/>
        <v>5</v>
      </c>
      <c r="S13" s="160">
        <f t="shared" si="6"/>
        <v>5</v>
      </c>
      <c r="T13" s="160">
        <f t="shared" si="6"/>
        <v>5</v>
      </c>
      <c r="U13" s="160">
        <f t="shared" si="6"/>
        <v>5</v>
      </c>
      <c r="V13" s="160">
        <f t="shared" si="6"/>
        <v>5</v>
      </c>
      <c r="W13" s="160">
        <f t="shared" si="6"/>
        <v>5</v>
      </c>
      <c r="X13" s="4">
        <f t="shared" si="3"/>
        <v>45</v>
      </c>
      <c r="Z13" s="68"/>
    </row>
    <row r="14" spans="2:28" ht="15.75" x14ac:dyDescent="0.25">
      <c r="B14" s="8" t="s">
        <v>72</v>
      </c>
      <c r="C14" s="56">
        <v>4</v>
      </c>
      <c r="D14" s="56">
        <v>4</v>
      </c>
      <c r="E14" s="56">
        <v>4</v>
      </c>
      <c r="F14" s="56">
        <v>4</v>
      </c>
      <c r="G14" s="56">
        <v>4</v>
      </c>
      <c r="H14" s="56">
        <v>5</v>
      </c>
      <c r="I14" s="56">
        <v>4</v>
      </c>
      <c r="J14" s="56">
        <v>2</v>
      </c>
      <c r="K14" s="56">
        <v>4</v>
      </c>
      <c r="L14" s="8">
        <f>SUM(C14:K14)</f>
        <v>35</v>
      </c>
      <c r="M14" s="45"/>
      <c r="N14" s="8">
        <v>10</v>
      </c>
      <c r="O14" s="160">
        <f>(4+5+6+7+8+9)/6</f>
        <v>6.5</v>
      </c>
      <c r="P14" s="160">
        <f t="shared" ref="P14:R14" si="7">(4+5+6+7+8+9)/6</f>
        <v>6.5</v>
      </c>
      <c r="Q14" s="160">
        <f t="shared" si="7"/>
        <v>6.5</v>
      </c>
      <c r="R14" s="160">
        <f t="shared" si="7"/>
        <v>6.5</v>
      </c>
      <c r="S14" s="160">
        <f>3/1</f>
        <v>3</v>
      </c>
      <c r="T14" s="160">
        <f t="shared" ref="T14:U14" si="8">(4+5+6+7+8+9)/6</f>
        <v>6.5</v>
      </c>
      <c r="U14" s="160">
        <f t="shared" si="8"/>
        <v>6.5</v>
      </c>
      <c r="V14" s="160">
        <f>(1+2)/2</f>
        <v>1.5</v>
      </c>
      <c r="W14" s="160">
        <f>(1+2)/2</f>
        <v>1.5</v>
      </c>
      <c r="X14" s="4">
        <f t="shared" si="3"/>
        <v>45</v>
      </c>
      <c r="Z14" s="68"/>
    </row>
    <row r="15" spans="2:28" ht="15.75" x14ac:dyDescent="0.25">
      <c r="B15" s="8" t="s">
        <v>73</v>
      </c>
      <c r="C15" s="56">
        <v>4</v>
      </c>
      <c r="D15" s="56">
        <v>4</v>
      </c>
      <c r="E15" s="56">
        <v>5</v>
      </c>
      <c r="F15" s="56">
        <v>4</v>
      </c>
      <c r="G15" s="56">
        <v>4</v>
      </c>
      <c r="H15" s="56">
        <v>3</v>
      </c>
      <c r="I15" s="56">
        <v>3</v>
      </c>
      <c r="J15" s="56">
        <v>4</v>
      </c>
      <c r="K15" s="56">
        <v>4</v>
      </c>
      <c r="L15" s="8">
        <f t="shared" si="2"/>
        <v>35</v>
      </c>
      <c r="M15" s="45"/>
      <c r="N15" s="8">
        <v>11</v>
      </c>
      <c r="O15" s="160">
        <f>(2+3+4+5+6+7+8)/7</f>
        <v>5</v>
      </c>
      <c r="P15" s="160">
        <f t="shared" ref="P15:S15" si="9">(2+3+4+5+6+7+8)/7</f>
        <v>5</v>
      </c>
      <c r="Q15" s="160">
        <f t="shared" si="9"/>
        <v>5</v>
      </c>
      <c r="R15" s="160">
        <f t="shared" si="9"/>
        <v>5</v>
      </c>
      <c r="S15" s="160">
        <f t="shared" si="9"/>
        <v>5</v>
      </c>
      <c r="T15" s="160">
        <f>9/1</f>
        <v>9</v>
      </c>
      <c r="U15" s="160">
        <f>(2+3+4+5+6+7+8)/7</f>
        <v>5</v>
      </c>
      <c r="V15" s="160">
        <f>1</f>
        <v>1</v>
      </c>
      <c r="W15" s="160">
        <f>(2+3+4+5+6+7+8)/7</f>
        <v>5</v>
      </c>
      <c r="X15" s="4">
        <f t="shared" si="3"/>
        <v>45</v>
      </c>
      <c r="Z15" s="68"/>
    </row>
    <row r="16" spans="2:28" ht="15.75" x14ac:dyDescent="0.25">
      <c r="B16" s="8" t="s">
        <v>74</v>
      </c>
      <c r="C16" s="56">
        <v>2</v>
      </c>
      <c r="D16" s="56">
        <v>2</v>
      </c>
      <c r="E16" s="56">
        <v>4</v>
      </c>
      <c r="F16" s="56">
        <v>4</v>
      </c>
      <c r="G16" s="56">
        <v>2</v>
      </c>
      <c r="H16" s="56">
        <v>2</v>
      </c>
      <c r="I16" s="56">
        <v>4</v>
      </c>
      <c r="J16" s="56">
        <v>5</v>
      </c>
      <c r="K16" s="56">
        <v>4</v>
      </c>
      <c r="L16" s="8">
        <f t="shared" si="2"/>
        <v>29</v>
      </c>
      <c r="M16" s="45"/>
      <c r="N16" s="8">
        <v>12</v>
      </c>
      <c r="O16" s="160">
        <f>(3+4+5+6+7+8)/6</f>
        <v>5.5</v>
      </c>
      <c r="P16" s="160">
        <f>(3+4+5+6+7+8)/6</f>
        <v>5.5</v>
      </c>
      <c r="Q16" s="160">
        <f>9/1</f>
        <v>9</v>
      </c>
      <c r="R16" s="160">
        <f t="shared" ref="R16:S16" si="10">(3+4+5+6+7+8)/6</f>
        <v>5.5</v>
      </c>
      <c r="S16" s="160">
        <f t="shared" si="10"/>
        <v>5.5</v>
      </c>
      <c r="T16" s="160">
        <f>(1+2)/2</f>
        <v>1.5</v>
      </c>
      <c r="U16" s="160">
        <f>(1+2)/2</f>
        <v>1.5</v>
      </c>
      <c r="V16" s="160">
        <f t="shared" ref="V16:W16" si="11">(3+4+5+6+7+8)/6</f>
        <v>5.5</v>
      </c>
      <c r="W16" s="160">
        <f t="shared" si="11"/>
        <v>5.5</v>
      </c>
      <c r="X16" s="4">
        <f t="shared" si="3"/>
        <v>45</v>
      </c>
      <c r="Z16" s="68"/>
    </row>
    <row r="17" spans="1:35" ht="15.75" x14ac:dyDescent="0.25">
      <c r="B17" s="8" t="s">
        <v>75</v>
      </c>
      <c r="C17" s="56">
        <v>5</v>
      </c>
      <c r="D17" s="56">
        <v>5</v>
      </c>
      <c r="E17" s="56">
        <v>4</v>
      </c>
      <c r="F17" s="56">
        <v>3</v>
      </c>
      <c r="G17" s="56">
        <v>3</v>
      </c>
      <c r="H17" s="56">
        <v>3</v>
      </c>
      <c r="I17" s="56">
        <v>4</v>
      </c>
      <c r="J17" s="56">
        <v>3</v>
      </c>
      <c r="K17" s="56">
        <v>4</v>
      </c>
      <c r="L17" s="8">
        <f t="shared" si="2"/>
        <v>34</v>
      </c>
      <c r="M17" s="45"/>
      <c r="N17" s="8">
        <v>13</v>
      </c>
      <c r="O17" s="160">
        <f>(1+2+3+4)/4</f>
        <v>2.5</v>
      </c>
      <c r="P17" s="160">
        <f>(1+2+3+4)/4</f>
        <v>2.5</v>
      </c>
      <c r="Q17" s="160">
        <f>(5+6+7+8)/4</f>
        <v>6.5</v>
      </c>
      <c r="R17" s="160">
        <f>(5+6+7+8)/4</f>
        <v>6.5</v>
      </c>
      <c r="S17" s="160">
        <f t="shared" ref="S17:T17" si="12">(1+2+3+4)/4</f>
        <v>2.5</v>
      </c>
      <c r="T17" s="160">
        <f t="shared" si="12"/>
        <v>2.5</v>
      </c>
      <c r="U17" s="160">
        <f>(5+6+7+8)/4</f>
        <v>6.5</v>
      </c>
      <c r="V17" s="160">
        <f>9/1</f>
        <v>9</v>
      </c>
      <c r="W17" s="160">
        <f>(5+6+7+8)/4</f>
        <v>6.5</v>
      </c>
      <c r="X17" s="4">
        <f t="shared" si="3"/>
        <v>45</v>
      </c>
      <c r="Z17" s="68"/>
    </row>
    <row r="18" spans="1:35" ht="15.75" x14ac:dyDescent="0.25">
      <c r="B18" s="8" t="s">
        <v>60</v>
      </c>
      <c r="C18" s="56">
        <v>2</v>
      </c>
      <c r="D18" s="56">
        <v>2</v>
      </c>
      <c r="E18" s="56">
        <v>2</v>
      </c>
      <c r="F18" s="56">
        <v>4</v>
      </c>
      <c r="G18" s="56">
        <v>4</v>
      </c>
      <c r="H18" s="56">
        <v>5</v>
      </c>
      <c r="I18" s="56">
        <v>5</v>
      </c>
      <c r="J18" s="56">
        <v>5</v>
      </c>
      <c r="K18" s="56">
        <v>5</v>
      </c>
      <c r="L18" s="8">
        <f t="shared" si="2"/>
        <v>34</v>
      </c>
      <c r="M18" s="45"/>
      <c r="N18" s="8">
        <v>14</v>
      </c>
      <c r="O18" s="161">
        <f>(8+9)/2</f>
        <v>8.5</v>
      </c>
      <c r="P18" s="161">
        <f>(8+9)/2</f>
        <v>8.5</v>
      </c>
      <c r="Q18" s="161">
        <f>(5+6+7)/3</f>
        <v>6</v>
      </c>
      <c r="R18" s="161">
        <f>(1+2+3+4)/4</f>
        <v>2.5</v>
      </c>
      <c r="S18" s="161">
        <f>(1+2+3+4)/4</f>
        <v>2.5</v>
      </c>
      <c r="T18" s="161">
        <f>(1+2+3+4)/4</f>
        <v>2.5</v>
      </c>
      <c r="U18" s="161">
        <f>(5+6+7)/3</f>
        <v>6</v>
      </c>
      <c r="V18" s="161">
        <f>(1+2+3+4)/4</f>
        <v>2.5</v>
      </c>
      <c r="W18" s="161">
        <f>(5+6+7)/3</f>
        <v>6</v>
      </c>
      <c r="X18" s="4">
        <f t="shared" si="3"/>
        <v>45</v>
      </c>
      <c r="Z18" s="68"/>
    </row>
    <row r="19" spans="1:35" ht="31.5" customHeight="1" x14ac:dyDescent="0.25">
      <c r="B19" s="14" t="s">
        <v>59</v>
      </c>
      <c r="C19" s="238" t="s">
        <v>61</v>
      </c>
      <c r="D19" s="239"/>
      <c r="E19" s="239"/>
      <c r="F19" s="239"/>
      <c r="G19" s="239"/>
      <c r="H19" s="239"/>
      <c r="I19" s="239"/>
      <c r="J19" s="239"/>
      <c r="K19" s="240"/>
      <c r="L19" s="14">
        <f>SUM(C19:K19)</f>
        <v>0</v>
      </c>
      <c r="M19" s="45"/>
      <c r="N19" s="8">
        <v>15</v>
      </c>
      <c r="O19" s="161">
        <f>(1+2+3)/3</f>
        <v>2</v>
      </c>
      <c r="P19" s="161">
        <f t="shared" ref="P19:Q19" si="13">(1+2+3)/3</f>
        <v>2</v>
      </c>
      <c r="Q19" s="161">
        <f t="shared" si="13"/>
        <v>2</v>
      </c>
      <c r="R19" s="161">
        <f>(4+5)/2</f>
        <v>4.5</v>
      </c>
      <c r="S19" s="161">
        <f>(4+5)/2</f>
        <v>4.5</v>
      </c>
      <c r="T19" s="161">
        <f>(6+7+8+9)/4</f>
        <v>7.5</v>
      </c>
      <c r="U19" s="161">
        <f t="shared" ref="U19:W19" si="14">(6+7+8+9)/4</f>
        <v>7.5</v>
      </c>
      <c r="V19" s="161">
        <f t="shared" si="14"/>
        <v>7.5</v>
      </c>
      <c r="W19" s="161">
        <f t="shared" si="14"/>
        <v>7.5</v>
      </c>
      <c r="X19" s="4">
        <f t="shared" si="3"/>
        <v>45</v>
      </c>
      <c r="Z19" s="68"/>
      <c r="AA19" s="70"/>
      <c r="AB19" s="70"/>
      <c r="AC19" s="70"/>
      <c r="AD19" s="67"/>
    </row>
    <row r="20" spans="1:35" ht="15.75" x14ac:dyDescent="0.25">
      <c r="B20" s="8" t="s">
        <v>1</v>
      </c>
      <c r="C20" s="36">
        <f>SUM(C4:C18)</f>
        <v>52</v>
      </c>
      <c r="D20" s="8">
        <f>SUM(D4:D18)</f>
        <v>47</v>
      </c>
      <c r="E20" s="36">
        <f t="shared" ref="E20:K20" si="15">SUM(E4:E18)</f>
        <v>53</v>
      </c>
      <c r="F20" s="36">
        <f t="shared" si="15"/>
        <v>54</v>
      </c>
      <c r="G20" s="36">
        <f t="shared" si="15"/>
        <v>47</v>
      </c>
      <c r="H20" s="36">
        <f t="shared" si="15"/>
        <v>48</v>
      </c>
      <c r="I20" s="36">
        <f t="shared" si="15"/>
        <v>50</v>
      </c>
      <c r="J20" s="36">
        <f t="shared" si="15"/>
        <v>49</v>
      </c>
      <c r="K20" s="36">
        <f t="shared" si="15"/>
        <v>53</v>
      </c>
      <c r="L20" s="55">
        <f>SUM(L4:L18)</f>
        <v>453</v>
      </c>
      <c r="N20" s="8" t="s">
        <v>1</v>
      </c>
      <c r="O20" s="4">
        <f>SUM(O5:O19)</f>
        <v>85</v>
      </c>
      <c r="P20" s="4">
        <f>SUM(P5:P19)</f>
        <v>67.5</v>
      </c>
      <c r="Q20" s="4">
        <f t="shared" ref="Q20:V20" si="16">SUM(Q5:Q19)</f>
        <v>83</v>
      </c>
      <c r="R20" s="4">
        <f t="shared" si="16"/>
        <v>81.5</v>
      </c>
      <c r="S20" s="4">
        <f t="shared" si="16"/>
        <v>63.5</v>
      </c>
      <c r="T20" s="4">
        <f t="shared" si="16"/>
        <v>66.5</v>
      </c>
      <c r="U20" s="4">
        <f>SUM(U5:U19)</f>
        <v>70.5</v>
      </c>
      <c r="V20" s="4">
        <f t="shared" si="16"/>
        <v>72.5</v>
      </c>
      <c r="W20" s="4">
        <f>SUM(W5:W19)</f>
        <v>82</v>
      </c>
      <c r="X20" s="39">
        <f>SUM(X5:X19)</f>
        <v>672</v>
      </c>
      <c r="Z20" s="66"/>
      <c r="AA20" s="70"/>
      <c r="AB20" s="70"/>
      <c r="AC20" s="70"/>
      <c r="AD20" s="70"/>
      <c r="AE20" s="70"/>
      <c r="AF20" s="70"/>
      <c r="AG20" s="70"/>
      <c r="AH20" s="70"/>
      <c r="AI20" s="67"/>
    </row>
    <row r="21" spans="1:35" ht="15.75" x14ac:dyDescent="0.25">
      <c r="B21" s="10" t="s">
        <v>53</v>
      </c>
      <c r="C21" s="39">
        <f t="shared" ref="C21:I21" si="17">AVERAGE(C4:C18)</f>
        <v>3.4666666666666668</v>
      </c>
      <c r="D21" s="39">
        <f t="shared" si="17"/>
        <v>3.1333333333333333</v>
      </c>
      <c r="E21" s="39">
        <f t="shared" si="17"/>
        <v>3.5333333333333332</v>
      </c>
      <c r="F21" s="39">
        <f t="shared" si="17"/>
        <v>3.6</v>
      </c>
      <c r="G21" s="39">
        <f t="shared" si="17"/>
        <v>3.1333333333333333</v>
      </c>
      <c r="H21" s="39">
        <f t="shared" si="17"/>
        <v>3.2</v>
      </c>
      <c r="I21" s="39">
        <f t="shared" si="17"/>
        <v>3.3333333333333335</v>
      </c>
      <c r="J21" s="39">
        <f>AVERAGE(J4:J18)</f>
        <v>3.2666666666666666</v>
      </c>
      <c r="K21" s="39">
        <f>AVERAGE(K4:K18)</f>
        <v>3.5333333333333332</v>
      </c>
      <c r="L21" s="46"/>
      <c r="N21" s="10" t="s">
        <v>53</v>
      </c>
      <c r="O21" s="39">
        <f>AVERAGE(O5:O19)</f>
        <v>5.666666666666667</v>
      </c>
      <c r="P21" s="39">
        <f t="shared" ref="P21:V21" si="18">AVERAGE(P5:P19)</f>
        <v>4.5</v>
      </c>
      <c r="Q21" s="39">
        <f t="shared" si="18"/>
        <v>5.5333333333333332</v>
      </c>
      <c r="R21" s="39">
        <f>AVERAGE(R5:R19)</f>
        <v>5.4333333333333336</v>
      </c>
      <c r="S21" s="39">
        <f t="shared" si="18"/>
        <v>4.2333333333333334</v>
      </c>
      <c r="T21" s="39">
        <f t="shared" si="18"/>
        <v>4.4333333333333336</v>
      </c>
      <c r="U21" s="39">
        <f t="shared" si="18"/>
        <v>4.7</v>
      </c>
      <c r="V21" s="39">
        <f t="shared" si="18"/>
        <v>4.833333333333333</v>
      </c>
      <c r="W21" s="39">
        <f>AVERAGE(W5:W19)</f>
        <v>5.4666666666666668</v>
      </c>
      <c r="X21" s="37"/>
      <c r="Z21" s="66"/>
      <c r="AA21" s="71"/>
      <c r="AB21" s="71"/>
      <c r="AC21" s="71"/>
      <c r="AD21" s="71"/>
      <c r="AE21" s="71"/>
      <c r="AF21" s="71"/>
      <c r="AG21" s="71"/>
      <c r="AH21" s="71"/>
      <c r="AI21" s="67"/>
    </row>
    <row r="23" spans="1:35" x14ac:dyDescent="0.25"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</row>
    <row r="24" spans="1:35" ht="13.5" customHeight="1" x14ac:dyDescent="0.25">
      <c r="N24" s="66"/>
      <c r="O24" s="68"/>
      <c r="P24" s="68"/>
      <c r="Q24" s="68"/>
      <c r="R24" s="68"/>
      <c r="S24" s="66"/>
      <c r="T24" s="66"/>
      <c r="U24" s="66"/>
      <c r="V24" s="67"/>
      <c r="W24" s="67"/>
      <c r="X24" s="69"/>
      <c r="Y24" s="40"/>
      <c r="Z24" s="40"/>
      <c r="AA24" s="40"/>
      <c r="AB24" s="40"/>
      <c r="AC24" s="40"/>
    </row>
    <row r="25" spans="1:35" ht="35.25" customHeight="1" x14ac:dyDescent="0.25">
      <c r="A25" s="2"/>
      <c r="J25" s="69"/>
      <c r="K25" s="69"/>
      <c r="N25" s="68"/>
      <c r="O25" s="68"/>
      <c r="P25" s="68"/>
      <c r="Q25" s="68"/>
      <c r="R25" s="68"/>
      <c r="S25" s="68"/>
      <c r="T25" s="272"/>
      <c r="U25" s="273"/>
      <c r="V25" s="273"/>
      <c r="W25" s="67"/>
      <c r="X25" s="69"/>
      <c r="Y25" s="40"/>
      <c r="Z25" s="40"/>
      <c r="AA25" s="40"/>
      <c r="AB25" s="40"/>
      <c r="AC25" s="40"/>
    </row>
    <row r="26" spans="1:35" ht="15.75" x14ac:dyDescent="0.25">
      <c r="J26" s="69"/>
      <c r="K26" s="69"/>
      <c r="N26" s="68"/>
      <c r="O26" s="259"/>
      <c r="P26" s="259"/>
      <c r="Q26" s="259"/>
      <c r="R26" s="259"/>
      <c r="S26" s="259"/>
      <c r="T26" s="47"/>
      <c r="U26" s="267"/>
      <c r="V26" s="267"/>
      <c r="W26" s="67"/>
      <c r="X26" s="271"/>
      <c r="Y26" s="40"/>
      <c r="Z26" s="40"/>
      <c r="AA26" s="40"/>
      <c r="AB26" s="40"/>
      <c r="AC26" s="40"/>
    </row>
    <row r="27" spans="1:35" ht="15.75" x14ac:dyDescent="0.25">
      <c r="N27" s="68"/>
      <c r="O27" s="259"/>
      <c r="P27" s="259"/>
      <c r="Q27" s="259"/>
      <c r="R27" s="259"/>
      <c r="S27" s="259"/>
      <c r="T27" s="47"/>
      <c r="U27" s="267"/>
      <c r="V27" s="267"/>
      <c r="W27" s="67"/>
      <c r="X27" s="271"/>
      <c r="Y27" s="40"/>
      <c r="Z27" s="40"/>
      <c r="AA27" s="40"/>
      <c r="AB27" s="40"/>
      <c r="AC27" s="40"/>
    </row>
    <row r="28" spans="1:35" ht="15.75" x14ac:dyDescent="0.25">
      <c r="N28" s="68"/>
      <c r="O28" s="259"/>
      <c r="P28" s="259"/>
      <c r="Q28" s="259"/>
      <c r="R28" s="259"/>
      <c r="S28" s="259"/>
      <c r="T28" s="47"/>
      <c r="U28" s="267"/>
      <c r="V28" s="267"/>
      <c r="W28" s="67"/>
      <c r="X28" s="271"/>
      <c r="Y28" s="40"/>
      <c r="Z28" s="40"/>
      <c r="AA28" s="40"/>
      <c r="AB28" s="40"/>
      <c r="AC28" s="40"/>
    </row>
    <row r="29" spans="1:35" ht="16.5" thickBot="1" x14ac:dyDescent="0.3">
      <c r="N29" s="68"/>
      <c r="O29" s="259"/>
      <c r="P29" s="259"/>
      <c r="Q29" s="259"/>
      <c r="R29" s="259"/>
      <c r="S29" s="259"/>
      <c r="T29" s="47"/>
      <c r="U29" s="267"/>
      <c r="V29" s="267"/>
      <c r="W29" s="67"/>
      <c r="X29" s="271"/>
      <c r="Y29" s="40"/>
      <c r="Z29" s="40"/>
      <c r="AA29" s="40"/>
      <c r="AB29" s="40"/>
      <c r="AC29" s="40"/>
    </row>
    <row r="30" spans="1:35" ht="15.75" x14ac:dyDescent="0.25">
      <c r="A30" s="61"/>
      <c r="B30" s="234" t="s">
        <v>54</v>
      </c>
      <c r="C30" s="234" t="s">
        <v>55</v>
      </c>
      <c r="D30" s="236"/>
      <c r="G30" s="57" t="s">
        <v>57</v>
      </c>
      <c r="H30" s="58">
        <v>9</v>
      </c>
      <c r="J30" s="72"/>
      <c r="N30" s="68"/>
      <c r="O30" s="259"/>
      <c r="P30" s="259"/>
      <c r="Q30" s="259"/>
      <c r="R30" s="259"/>
      <c r="S30" s="259"/>
      <c r="T30" s="47"/>
      <c r="U30" s="267"/>
      <c r="V30" s="267"/>
      <c r="W30" s="67"/>
      <c r="X30" s="271"/>
      <c r="Y30" s="40"/>
      <c r="Z30" s="40"/>
      <c r="AA30" s="40"/>
      <c r="AB30" s="40"/>
      <c r="AC30" s="40"/>
    </row>
    <row r="31" spans="1:35" ht="15.75" x14ac:dyDescent="0.25">
      <c r="A31" s="61"/>
      <c r="B31" s="235"/>
      <c r="C31" s="235"/>
      <c r="D31" s="237"/>
      <c r="G31" s="57" t="s">
        <v>58</v>
      </c>
      <c r="H31" s="58">
        <v>15</v>
      </c>
      <c r="N31" s="68"/>
      <c r="O31" s="259"/>
      <c r="P31" s="259"/>
      <c r="Q31" s="259"/>
      <c r="R31" s="259"/>
      <c r="S31" s="259"/>
      <c r="T31" s="47"/>
      <c r="U31" s="267"/>
      <c r="V31" s="267"/>
      <c r="W31" s="67"/>
      <c r="X31" s="271"/>
      <c r="Y31" s="40"/>
      <c r="Z31" s="40"/>
      <c r="AA31" s="40"/>
      <c r="AB31" s="40"/>
      <c r="AC31" s="40"/>
    </row>
    <row r="32" spans="1:35" ht="15.75" x14ac:dyDescent="0.25">
      <c r="A32" s="61"/>
      <c r="B32" s="48"/>
      <c r="C32" s="48"/>
      <c r="D32" s="49"/>
      <c r="N32" s="68"/>
      <c r="O32" s="259"/>
      <c r="P32" s="259"/>
      <c r="Q32" s="259"/>
      <c r="R32" s="259"/>
      <c r="S32" s="259"/>
      <c r="T32" s="47"/>
      <c r="U32" s="267"/>
      <c r="V32" s="267"/>
      <c r="W32" s="67"/>
      <c r="X32" s="271"/>
      <c r="Y32" s="40"/>
      <c r="Z32" s="40"/>
      <c r="AA32" s="40"/>
      <c r="AB32" s="40"/>
      <c r="AC32" s="40"/>
    </row>
    <row r="33" spans="1:29" ht="15.75" x14ac:dyDescent="0.25">
      <c r="A33" s="61"/>
      <c r="B33" s="73" t="s">
        <v>43</v>
      </c>
      <c r="C33" s="1">
        <f>(12/((H31*H30)*(H30+1))*SUMSQ(O20:W20)-3*(H31)*(H30+1))</f>
        <v>0.82222222222219443</v>
      </c>
      <c r="D33" s="77" t="s">
        <v>44</v>
      </c>
      <c r="N33" s="68"/>
      <c r="O33" s="259"/>
      <c r="P33" s="259"/>
      <c r="Q33" s="259"/>
      <c r="R33" s="259"/>
      <c r="S33" s="259"/>
      <c r="T33" s="47"/>
      <c r="U33" s="267"/>
      <c r="V33" s="267"/>
      <c r="W33" s="67"/>
      <c r="X33" s="271"/>
      <c r="Y33" s="40"/>
      <c r="Z33" s="40"/>
      <c r="AA33" s="40"/>
      <c r="AB33" s="40"/>
      <c r="AC33" s="40"/>
    </row>
    <row r="34" spans="1:29" ht="15.75" x14ac:dyDescent="0.25">
      <c r="A34" s="61"/>
      <c r="B34" s="73" t="s">
        <v>56</v>
      </c>
      <c r="C34" s="1">
        <f>_xlfn.CHISQ.INV.RT(0.05,8)</f>
        <v>15.507313055865453</v>
      </c>
      <c r="D34" s="50"/>
      <c r="N34" s="68"/>
      <c r="O34" s="259"/>
      <c r="P34" s="259"/>
      <c r="Q34" s="259"/>
      <c r="R34" s="259"/>
      <c r="S34" s="259"/>
      <c r="T34" s="47"/>
      <c r="U34" s="267"/>
      <c r="V34" s="267"/>
      <c r="W34" s="67"/>
      <c r="X34" s="271"/>
      <c r="Y34" s="40"/>
      <c r="Z34" s="40"/>
      <c r="AA34" s="40"/>
      <c r="AB34" s="40"/>
      <c r="AC34" s="40"/>
    </row>
    <row r="35" spans="1:29" ht="16.5" thickBot="1" x14ac:dyDescent="0.3">
      <c r="A35" s="61"/>
      <c r="B35" s="51"/>
      <c r="C35" s="52"/>
      <c r="D35" s="53"/>
      <c r="N35" s="68"/>
      <c r="O35" s="259"/>
      <c r="P35" s="259"/>
      <c r="Q35" s="259"/>
      <c r="R35" s="259"/>
      <c r="S35" s="259"/>
      <c r="T35" s="267"/>
      <c r="U35" s="267"/>
      <c r="V35" s="267"/>
      <c r="W35" s="67"/>
      <c r="X35" s="69"/>
      <c r="Y35" s="40"/>
      <c r="Z35" s="40"/>
      <c r="AA35" s="40"/>
      <c r="AB35" s="40"/>
      <c r="AC35" s="40"/>
    </row>
    <row r="36" spans="1:29" ht="15.75" x14ac:dyDescent="0.25">
      <c r="N36" s="68"/>
      <c r="O36" s="67"/>
      <c r="P36" s="69"/>
      <c r="Q36" s="69"/>
      <c r="R36" s="69"/>
      <c r="S36" s="69"/>
      <c r="T36" s="69"/>
      <c r="U36" s="69"/>
      <c r="V36" s="264"/>
      <c r="W36" s="67"/>
      <c r="X36" s="69"/>
      <c r="Y36" s="40"/>
      <c r="Z36" s="40"/>
      <c r="AA36" s="40"/>
      <c r="AB36" s="40"/>
      <c r="AC36" s="40"/>
    </row>
    <row r="37" spans="1:29" ht="15.75" x14ac:dyDescent="0.25">
      <c r="N37" s="68"/>
      <c r="O37" s="70"/>
      <c r="P37" s="70"/>
      <c r="Q37" s="70"/>
      <c r="R37" s="70"/>
      <c r="S37" s="70"/>
      <c r="T37" s="70"/>
      <c r="U37" s="70"/>
      <c r="V37" s="70"/>
      <c r="W37" s="67"/>
      <c r="X37" s="69"/>
      <c r="Y37" s="40"/>
      <c r="Z37" s="40"/>
      <c r="AA37" s="40"/>
      <c r="AB37" s="40"/>
      <c r="AC37" s="40"/>
    </row>
    <row r="38" spans="1:29" ht="15.75" x14ac:dyDescent="0.25">
      <c r="M38" s="72"/>
      <c r="N38" s="66"/>
      <c r="O38" s="70"/>
      <c r="P38" s="70"/>
      <c r="Q38" s="70"/>
      <c r="R38" s="70"/>
      <c r="S38" s="70"/>
      <c r="T38" s="70"/>
      <c r="U38" s="70"/>
      <c r="V38" s="70"/>
      <c r="W38" s="67"/>
      <c r="X38" s="69"/>
      <c r="Y38" s="40"/>
      <c r="Z38" s="40"/>
      <c r="AA38" s="40"/>
      <c r="AB38" s="40"/>
      <c r="AC38" s="40"/>
    </row>
    <row r="39" spans="1:29" ht="15.75" x14ac:dyDescent="0.25"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64"/>
      <c r="N39" s="62"/>
      <c r="O39" s="65"/>
      <c r="P39" s="65"/>
      <c r="Q39" s="65"/>
      <c r="R39" s="65"/>
      <c r="S39" s="65"/>
      <c r="T39" s="65"/>
      <c r="U39" s="65"/>
      <c r="V39" s="65"/>
      <c r="W39" s="63"/>
      <c r="X39" s="64"/>
      <c r="Y39" s="40"/>
      <c r="Z39" s="40"/>
      <c r="AA39" s="40"/>
      <c r="AB39" s="40"/>
      <c r="AC39" s="40"/>
    </row>
    <row r="40" spans="1:29" ht="15.75" x14ac:dyDescent="0.25"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64"/>
      <c r="N40" s="64"/>
      <c r="O40" s="64"/>
      <c r="P40" s="64"/>
      <c r="Q40" s="64"/>
      <c r="R40" s="72"/>
      <c r="S40" s="64"/>
      <c r="T40" s="64"/>
      <c r="U40" s="64"/>
      <c r="V40" s="64"/>
      <c r="W40" s="64"/>
      <c r="X40" s="64"/>
      <c r="Y40" s="40"/>
      <c r="Z40" s="40"/>
      <c r="AA40" s="40"/>
      <c r="AB40" s="40"/>
      <c r="AC40" s="40"/>
    </row>
    <row r="41" spans="1:29" ht="15.75" x14ac:dyDescent="0.25"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</row>
    <row r="42" spans="1:29" ht="15.75" x14ac:dyDescent="0.25"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</row>
    <row r="43" spans="1:29" ht="15.75" x14ac:dyDescent="0.25"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</row>
    <row r="44" spans="1:29" ht="15.75" x14ac:dyDescent="0.25"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</row>
    <row r="45" spans="1:29" ht="15.75" x14ac:dyDescent="0.25"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</row>
    <row r="46" spans="1:29" ht="15.75" x14ac:dyDescent="0.25"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</row>
    <row r="47" spans="1:29" ht="15.75" x14ac:dyDescent="0.25"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</row>
    <row r="48" spans="1:29" ht="15.75" x14ac:dyDescent="0.25"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</row>
    <row r="49" spans="2:29" ht="15.75" x14ac:dyDescent="0.25"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</row>
    <row r="50" spans="2:29" ht="15.75" x14ac:dyDescent="0.25"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</row>
    <row r="51" spans="2:29" ht="15.75" x14ac:dyDescent="0.25"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</row>
    <row r="52" spans="2:29" ht="15.75" x14ac:dyDescent="0.25">
      <c r="B52" s="40"/>
      <c r="C52" s="74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</row>
    <row r="53" spans="2:29" ht="15.75" x14ac:dyDescent="0.25">
      <c r="B53" s="40"/>
      <c r="C53" s="74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</row>
    <row r="54" spans="2:29" ht="15.75" x14ac:dyDescent="0.25"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</row>
    <row r="55" spans="2:29" ht="15.75" x14ac:dyDescent="0.25"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</row>
    <row r="56" spans="2:29" ht="15.75" x14ac:dyDescent="0.25"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</row>
    <row r="57" spans="2:29" ht="15.75" x14ac:dyDescent="0.25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</row>
    <row r="58" spans="2:29" ht="15.75" x14ac:dyDescent="0.25"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</row>
    <row r="59" spans="2:29" ht="15.75" x14ac:dyDescent="0.25"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</row>
    <row r="60" spans="2:29" ht="15.75" x14ac:dyDescent="0.25"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</row>
    <row r="61" spans="2:29" ht="15.75" x14ac:dyDescent="0.25"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</row>
    <row r="62" spans="2:29" ht="15.75" x14ac:dyDescent="0.25"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</row>
    <row r="63" spans="2:29" ht="15.75" x14ac:dyDescent="0.25"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</row>
    <row r="64" spans="2:29" ht="15.75" x14ac:dyDescent="0.25"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</row>
    <row r="65" spans="2:29" ht="15.75" x14ac:dyDescent="0.25"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</row>
    <row r="66" spans="2:29" ht="15.75" x14ac:dyDescent="0.25">
      <c r="B66" s="59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</row>
    <row r="67" spans="2:29" ht="15.75" x14ac:dyDescent="0.25"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</row>
    <row r="68" spans="2:29" ht="15.75" x14ac:dyDescent="0.25"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</row>
    <row r="69" spans="2:29" ht="15.75" x14ac:dyDescent="0.25"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</row>
    <row r="70" spans="2:29" ht="15.75" x14ac:dyDescent="0.25"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</row>
    <row r="71" spans="2:29" ht="15.75" x14ac:dyDescent="0.25"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</row>
    <row r="72" spans="2:29" ht="15.75" x14ac:dyDescent="0.25"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</row>
    <row r="73" spans="2:29" ht="15.75" x14ac:dyDescent="0.25"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</row>
    <row r="74" spans="2:29" ht="15.75" x14ac:dyDescent="0.25"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</row>
    <row r="75" spans="2:29" ht="15.75" x14ac:dyDescent="0.25"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</row>
    <row r="76" spans="2:29" ht="15.75" x14ac:dyDescent="0.25"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</row>
    <row r="77" spans="2:29" ht="15.75" x14ac:dyDescent="0.25"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</row>
    <row r="78" spans="2:29" ht="15.75" x14ac:dyDescent="0.25"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</row>
    <row r="79" spans="2:29" ht="15.75" x14ac:dyDescent="0.25"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</row>
    <row r="80" spans="2:29" ht="15.75" x14ac:dyDescent="0.25"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</row>
    <row r="81" spans="2:29" ht="15.75" x14ac:dyDescent="0.25"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</row>
    <row r="82" spans="2:29" ht="15.75" x14ac:dyDescent="0.25"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</row>
    <row r="83" spans="2:29" ht="15.75" x14ac:dyDescent="0.25"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</row>
    <row r="84" spans="2:29" ht="15.75" x14ac:dyDescent="0.25"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</row>
    <row r="85" spans="2:29" ht="15.75" x14ac:dyDescent="0.25"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</row>
    <row r="86" spans="2:29" ht="15.75" x14ac:dyDescent="0.25">
      <c r="B86" s="40"/>
      <c r="C86" s="40"/>
      <c r="D86" s="74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</row>
    <row r="87" spans="2:29" ht="15.75" x14ac:dyDescent="0.25"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</row>
    <row r="88" spans="2:29" ht="15.75" x14ac:dyDescent="0.25">
      <c r="B88" s="40"/>
      <c r="C88" s="40"/>
      <c r="D88" s="74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</row>
    <row r="89" spans="2:29" ht="15.75" x14ac:dyDescent="0.25"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</row>
    <row r="90" spans="2:29" ht="15.75" x14ac:dyDescent="0.25"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</row>
    <row r="91" spans="2:29" ht="15.75" x14ac:dyDescent="0.25"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</row>
    <row r="92" spans="2:29" ht="15.75" x14ac:dyDescent="0.25"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</row>
    <row r="93" spans="2:29" ht="15.75" x14ac:dyDescent="0.25"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</row>
    <row r="94" spans="2:29" ht="15.75" x14ac:dyDescent="0.25"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</row>
    <row r="95" spans="2:29" ht="15.75" x14ac:dyDescent="0.25"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</row>
    <row r="96" spans="2:29" ht="15.75" x14ac:dyDescent="0.25"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</row>
    <row r="97" spans="2:29" ht="15.75" x14ac:dyDescent="0.25"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</row>
    <row r="98" spans="2:29" ht="15.75" x14ac:dyDescent="0.25"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</row>
    <row r="99" spans="2:29" ht="15.75" x14ac:dyDescent="0.25"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</row>
    <row r="100" spans="2:29" ht="15.75" x14ac:dyDescent="0.25"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</row>
    <row r="101" spans="2:29" ht="15.75" x14ac:dyDescent="0.25"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</row>
    <row r="102" spans="2:29" ht="15.75" x14ac:dyDescent="0.25"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</row>
    <row r="103" spans="2:29" ht="15.75" x14ac:dyDescent="0.25"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</row>
    <row r="104" spans="2:29" ht="15.75" x14ac:dyDescent="0.25"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</row>
    <row r="105" spans="2:29" ht="15.75" x14ac:dyDescent="0.25"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</row>
    <row r="106" spans="2:29" ht="15.75" x14ac:dyDescent="0.25"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</row>
    <row r="107" spans="2:29" ht="15.75" x14ac:dyDescent="0.25"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</row>
    <row r="108" spans="2:29" ht="15.75" x14ac:dyDescent="0.25"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</row>
    <row r="109" spans="2:29" ht="15.75" x14ac:dyDescent="0.25"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</row>
    <row r="110" spans="2:29" ht="15.75" x14ac:dyDescent="0.25"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</row>
    <row r="111" spans="2:29" ht="15.75" x14ac:dyDescent="0.25"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</row>
    <row r="112" spans="2:29" ht="15.75" x14ac:dyDescent="0.25"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</row>
    <row r="113" spans="2:29" ht="15.75" x14ac:dyDescent="0.25"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</row>
    <row r="114" spans="2:29" ht="15.75" x14ac:dyDescent="0.25"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</row>
    <row r="115" spans="2:29" ht="15.75" x14ac:dyDescent="0.25"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</row>
    <row r="116" spans="2:29" ht="15.75" x14ac:dyDescent="0.25"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</row>
    <row r="117" spans="2:29" ht="15.75" x14ac:dyDescent="0.25"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</row>
    <row r="118" spans="2:29" ht="15.75" x14ac:dyDescent="0.25"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</row>
    <row r="119" spans="2:29" ht="15.75" x14ac:dyDescent="0.25"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</row>
    <row r="120" spans="2:29" ht="15.75" x14ac:dyDescent="0.25"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</row>
    <row r="121" spans="2:29" ht="15.75" x14ac:dyDescent="0.25"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</row>
    <row r="122" spans="2:29" ht="15.75" x14ac:dyDescent="0.25"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</row>
    <row r="123" spans="2:29" ht="15.75" x14ac:dyDescent="0.25"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</row>
    <row r="124" spans="2:29" ht="15.75" x14ac:dyDescent="0.25"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</row>
    <row r="125" spans="2:29" ht="15.75" x14ac:dyDescent="0.25"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</row>
    <row r="126" spans="2:29" ht="15.75" x14ac:dyDescent="0.25"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</row>
    <row r="127" spans="2:29" ht="15.75" x14ac:dyDescent="0.25"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</row>
    <row r="128" spans="2:29" ht="15.75" x14ac:dyDescent="0.25"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</row>
    <row r="129" spans="2:29" ht="15.75" x14ac:dyDescent="0.25"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</row>
    <row r="130" spans="2:29" ht="15.75" x14ac:dyDescent="0.25"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</row>
    <row r="131" spans="2:29" ht="15.75" x14ac:dyDescent="0.25"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</row>
    <row r="132" spans="2:29" ht="15.75" x14ac:dyDescent="0.25"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</row>
    <row r="133" spans="2:29" ht="15.75" x14ac:dyDescent="0.25"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</row>
    <row r="134" spans="2:29" ht="15.75" x14ac:dyDescent="0.25"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</row>
    <row r="135" spans="2:29" ht="15.75" x14ac:dyDescent="0.25"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</row>
    <row r="136" spans="2:29" ht="15.75" x14ac:dyDescent="0.25"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</row>
    <row r="137" spans="2:29" ht="15.75" x14ac:dyDescent="0.25"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</row>
    <row r="138" spans="2:29" ht="15.75" x14ac:dyDescent="0.25"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</row>
    <row r="139" spans="2:29" ht="15.75" x14ac:dyDescent="0.25"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</row>
    <row r="140" spans="2:29" ht="15.75" x14ac:dyDescent="0.25"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</row>
    <row r="141" spans="2:29" ht="15.75" x14ac:dyDescent="0.25"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</row>
    <row r="142" spans="2:29" ht="15.75" x14ac:dyDescent="0.25"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</row>
    <row r="143" spans="2:29" ht="15.75" x14ac:dyDescent="0.25"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</row>
    <row r="144" spans="2:29" ht="15.75" x14ac:dyDescent="0.25"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</row>
    <row r="145" spans="14:29" ht="15.75" x14ac:dyDescent="0.25"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</row>
    <row r="146" spans="14:29" ht="15.75" x14ac:dyDescent="0.25"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</row>
    <row r="147" spans="14:29" ht="15.75" x14ac:dyDescent="0.25"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</row>
    <row r="148" spans="14:29" ht="15.75" x14ac:dyDescent="0.25"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</row>
    <row r="149" spans="14:29" ht="15.75" x14ac:dyDescent="0.25"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</row>
    <row r="150" spans="14:29" ht="15.75" x14ac:dyDescent="0.25"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</row>
    <row r="151" spans="14:29" ht="15.75" x14ac:dyDescent="0.25"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</row>
    <row r="152" spans="14:29" ht="15.75" x14ac:dyDescent="0.25"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</row>
    <row r="153" spans="14:29" ht="15.75" x14ac:dyDescent="0.25"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</row>
    <row r="154" spans="14:29" ht="15.75" x14ac:dyDescent="0.25"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</row>
    <row r="155" spans="14:29" ht="15.75" x14ac:dyDescent="0.25"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</row>
    <row r="156" spans="14:29" ht="15.75" x14ac:dyDescent="0.25"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</row>
    <row r="157" spans="14:29" ht="15.75" x14ac:dyDescent="0.25"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</row>
    <row r="158" spans="14:29" ht="15.75" x14ac:dyDescent="0.25"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</row>
    <row r="159" spans="14:29" ht="15.75" x14ac:dyDescent="0.25"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</row>
  </sheetData>
  <mergeCells count="10">
    <mergeCell ref="B30:B31"/>
    <mergeCell ref="C30:D31"/>
    <mergeCell ref="B2:B3"/>
    <mergeCell ref="C2:J2"/>
    <mergeCell ref="L2:L3"/>
    <mergeCell ref="C19:K19"/>
    <mergeCell ref="N3:N4"/>
    <mergeCell ref="O3:W3"/>
    <mergeCell ref="X3:X4"/>
    <mergeCell ref="AA3:AB3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topLeftCell="A30" zoomScale="70" zoomScaleNormal="70" workbookViewId="0">
      <selection activeCell="M23" sqref="M23:Z40"/>
    </sheetView>
  </sheetViews>
  <sheetFormatPr defaultRowHeight="15" x14ac:dyDescent="0.25"/>
  <cols>
    <col min="2" max="2" width="14" customWidth="1"/>
    <col min="4" max="4" width="12" customWidth="1"/>
    <col min="13" max="13" width="9.140625" customWidth="1"/>
    <col min="14" max="14" width="12" customWidth="1"/>
    <col min="17" max="17" width="12.7109375" customWidth="1"/>
    <col min="18" max="18" width="12.85546875" customWidth="1"/>
    <col min="19" max="19" width="11.5703125" customWidth="1"/>
    <col min="20" max="20" width="13.140625" customWidth="1"/>
    <col min="21" max="21" width="12.140625" customWidth="1"/>
    <col min="22" max="22" width="13.85546875" customWidth="1"/>
    <col min="23" max="23" width="12.140625" customWidth="1"/>
    <col min="24" max="24" width="10.5703125" customWidth="1"/>
  </cols>
  <sheetData>
    <row r="1" spans="2:26" x14ac:dyDescent="0.25">
      <c r="B1" s="106"/>
      <c r="C1" s="106">
        <v>1</v>
      </c>
      <c r="D1" s="106">
        <v>2</v>
      </c>
      <c r="E1" s="106">
        <v>3</v>
      </c>
      <c r="F1" s="106">
        <v>4</v>
      </c>
      <c r="G1" s="106">
        <v>5</v>
      </c>
      <c r="H1" s="106">
        <v>6</v>
      </c>
      <c r="I1" s="106">
        <v>7</v>
      </c>
      <c r="J1" s="106">
        <v>8</v>
      </c>
      <c r="K1" s="106">
        <v>9</v>
      </c>
      <c r="L1" s="106"/>
      <c r="M1" s="106"/>
      <c r="N1" s="106"/>
      <c r="O1" s="106">
        <v>1</v>
      </c>
      <c r="P1" s="106">
        <v>2</v>
      </c>
      <c r="Q1" s="106">
        <v>3</v>
      </c>
      <c r="R1" s="106">
        <v>4</v>
      </c>
      <c r="S1" s="106">
        <v>5</v>
      </c>
      <c r="T1" s="106">
        <v>6</v>
      </c>
      <c r="U1" s="106">
        <v>7</v>
      </c>
      <c r="V1" s="106">
        <v>8</v>
      </c>
      <c r="W1" s="106">
        <v>9</v>
      </c>
      <c r="X1" s="106"/>
      <c r="Y1" s="106"/>
      <c r="Z1" s="106"/>
    </row>
    <row r="2" spans="2:26" ht="15.75" x14ac:dyDescent="0.25">
      <c r="B2" s="233" t="s">
        <v>51</v>
      </c>
      <c r="C2" s="233" t="s">
        <v>76</v>
      </c>
      <c r="D2" s="233"/>
      <c r="E2" s="233"/>
      <c r="F2" s="233"/>
      <c r="G2" s="233"/>
      <c r="H2" s="233"/>
      <c r="I2" s="233"/>
      <c r="J2" s="233"/>
      <c r="K2" s="103"/>
      <c r="L2" s="233" t="s">
        <v>1</v>
      </c>
      <c r="M2" s="3"/>
      <c r="N2" s="55" t="s">
        <v>52</v>
      </c>
      <c r="O2" s="42"/>
      <c r="P2" s="42"/>
      <c r="Q2" s="42"/>
      <c r="R2" s="42"/>
      <c r="S2" s="42"/>
      <c r="T2" s="42"/>
      <c r="U2" s="42"/>
      <c r="V2" s="42"/>
      <c r="W2" s="42"/>
      <c r="X2" s="43"/>
      <c r="Y2" s="106"/>
      <c r="Z2" s="69"/>
    </row>
    <row r="3" spans="2:26" ht="15.75" x14ac:dyDescent="0.25">
      <c r="B3" s="233"/>
      <c r="C3" s="103">
        <v>890</v>
      </c>
      <c r="D3" s="103">
        <v>873</v>
      </c>
      <c r="E3" s="103">
        <v>356</v>
      </c>
      <c r="F3" s="103">
        <v>851</v>
      </c>
      <c r="G3" s="103">
        <v>234</v>
      </c>
      <c r="H3" s="103">
        <v>941</v>
      </c>
      <c r="I3" s="103">
        <v>763</v>
      </c>
      <c r="J3" s="103">
        <v>567</v>
      </c>
      <c r="K3" s="103">
        <v>563</v>
      </c>
      <c r="L3" s="233"/>
      <c r="M3" s="44"/>
      <c r="N3" s="228" t="s">
        <v>51</v>
      </c>
      <c r="O3" s="230" t="s">
        <v>5</v>
      </c>
      <c r="P3" s="231"/>
      <c r="Q3" s="231"/>
      <c r="R3" s="231"/>
      <c r="S3" s="231"/>
      <c r="T3" s="231"/>
      <c r="U3" s="231"/>
      <c r="V3" s="231"/>
      <c r="W3" s="232"/>
      <c r="X3" s="233" t="s">
        <v>1</v>
      </c>
      <c r="Y3" s="106"/>
      <c r="Z3" s="69"/>
    </row>
    <row r="4" spans="2:26" ht="15.75" x14ac:dyDescent="0.25">
      <c r="B4" s="20" t="s">
        <v>62</v>
      </c>
      <c r="C4" s="56">
        <v>3</v>
      </c>
      <c r="D4" s="56">
        <v>3</v>
      </c>
      <c r="E4" s="56">
        <v>3</v>
      </c>
      <c r="F4" s="56">
        <v>3</v>
      </c>
      <c r="G4" s="56">
        <v>4</v>
      </c>
      <c r="H4" s="56">
        <v>2</v>
      </c>
      <c r="I4" s="56">
        <v>3</v>
      </c>
      <c r="J4" s="56">
        <v>3</v>
      </c>
      <c r="K4" s="56">
        <v>3</v>
      </c>
      <c r="L4" s="103">
        <f>SUM(C4:K4)</f>
        <v>27</v>
      </c>
      <c r="M4" s="3"/>
      <c r="N4" s="229"/>
      <c r="O4" s="103" t="s">
        <v>9</v>
      </c>
      <c r="P4" s="103" t="s">
        <v>14</v>
      </c>
      <c r="Q4" s="103" t="s">
        <v>17</v>
      </c>
      <c r="R4" s="103" t="s">
        <v>19</v>
      </c>
      <c r="S4" s="103" t="s">
        <v>22</v>
      </c>
      <c r="T4" s="103" t="s">
        <v>23</v>
      </c>
      <c r="U4" s="103" t="s">
        <v>24</v>
      </c>
      <c r="V4" s="103" t="s">
        <v>25</v>
      </c>
      <c r="W4" s="103" t="s">
        <v>26</v>
      </c>
      <c r="X4" s="233"/>
      <c r="Y4" s="106"/>
      <c r="Z4" s="106"/>
    </row>
    <row r="5" spans="2:26" ht="15.75" x14ac:dyDescent="0.25">
      <c r="B5" s="103" t="s">
        <v>63</v>
      </c>
      <c r="C5" s="56">
        <v>4</v>
      </c>
      <c r="D5" s="56">
        <v>2</v>
      </c>
      <c r="E5" s="56">
        <v>4</v>
      </c>
      <c r="F5" s="56">
        <v>4</v>
      </c>
      <c r="G5" s="56">
        <v>4</v>
      </c>
      <c r="H5" s="56">
        <v>3</v>
      </c>
      <c r="I5" s="56">
        <v>5</v>
      </c>
      <c r="J5" s="56">
        <v>3</v>
      </c>
      <c r="K5" s="56">
        <v>4</v>
      </c>
      <c r="L5" s="103">
        <f>SUM(C5:K5)</f>
        <v>33</v>
      </c>
      <c r="M5" s="3"/>
      <c r="N5" s="103">
        <v>1</v>
      </c>
      <c r="O5" s="160">
        <f>(2+3+4+5+6+7+8)/7</f>
        <v>5</v>
      </c>
      <c r="P5" s="160">
        <f>(2+3+4+5+6+7+8)/7</f>
        <v>5</v>
      </c>
      <c r="Q5" s="160">
        <f>(2+3+4+5+6+7+8)/7</f>
        <v>5</v>
      </c>
      <c r="R5" s="160">
        <f>(2+3+4+5+6+7+8)/7</f>
        <v>5</v>
      </c>
      <c r="S5" s="160">
        <f>9/1</f>
        <v>9</v>
      </c>
      <c r="T5" s="160">
        <f>1</f>
        <v>1</v>
      </c>
      <c r="U5" s="160">
        <f>(2+3+4+5+6+7+8)/7</f>
        <v>5</v>
      </c>
      <c r="V5" s="160">
        <f>(2+3+4+5+6+7+8)/7</f>
        <v>5</v>
      </c>
      <c r="W5" s="160">
        <f>(2+3+4+5+6+7+8)/7</f>
        <v>5</v>
      </c>
      <c r="X5" s="4">
        <f>SUM(O5:W5)</f>
        <v>45</v>
      </c>
      <c r="Y5" s="106"/>
      <c r="Z5" s="106"/>
    </row>
    <row r="6" spans="2:26" ht="15.75" x14ac:dyDescent="0.25">
      <c r="B6" s="103" t="s">
        <v>64</v>
      </c>
      <c r="C6" s="56">
        <v>5</v>
      </c>
      <c r="D6" s="56">
        <v>5</v>
      </c>
      <c r="E6" s="56">
        <v>3</v>
      </c>
      <c r="F6" s="56">
        <v>2</v>
      </c>
      <c r="G6" s="56">
        <v>4</v>
      </c>
      <c r="H6" s="56">
        <v>3</v>
      </c>
      <c r="I6" s="56">
        <v>2</v>
      </c>
      <c r="J6" s="56">
        <v>2</v>
      </c>
      <c r="K6" s="56">
        <v>4</v>
      </c>
      <c r="L6" s="103">
        <f>SUM(C6:K6)</f>
        <v>30</v>
      </c>
      <c r="M6" s="3"/>
      <c r="N6" s="103">
        <v>2</v>
      </c>
      <c r="O6" s="160">
        <f>(4+5+6+7+8)/5</f>
        <v>6</v>
      </c>
      <c r="P6" s="160">
        <v>1</v>
      </c>
      <c r="Q6" s="160">
        <f>(4+5+6+7+8)/5</f>
        <v>6</v>
      </c>
      <c r="R6" s="160">
        <f>(4+5+6+7+8)/5</f>
        <v>6</v>
      </c>
      <c r="S6" s="160">
        <f>(4+5+6+7+8)/5</f>
        <v>6</v>
      </c>
      <c r="T6" s="160">
        <f>(2+3)/2</f>
        <v>2.5</v>
      </c>
      <c r="U6" s="160">
        <f>9/1</f>
        <v>9</v>
      </c>
      <c r="V6" s="160">
        <f>(2+3)/2</f>
        <v>2.5</v>
      </c>
      <c r="W6" s="160">
        <f>(4+5+6+7+8)/5</f>
        <v>6</v>
      </c>
      <c r="X6" s="4">
        <f>SUM(O6:W6)</f>
        <v>45</v>
      </c>
      <c r="Y6" s="106"/>
      <c r="Z6" s="66"/>
    </row>
    <row r="7" spans="2:26" ht="15.75" x14ac:dyDescent="0.25">
      <c r="B7" s="103" t="s">
        <v>65</v>
      </c>
      <c r="C7" s="56">
        <v>3</v>
      </c>
      <c r="D7" s="56">
        <v>3</v>
      </c>
      <c r="E7" s="56">
        <v>4</v>
      </c>
      <c r="F7" s="56">
        <v>3</v>
      </c>
      <c r="G7" s="56">
        <v>5</v>
      </c>
      <c r="H7" s="56">
        <v>2</v>
      </c>
      <c r="I7" s="56">
        <v>3</v>
      </c>
      <c r="J7" s="56">
        <v>4</v>
      </c>
      <c r="K7" s="56">
        <v>2</v>
      </c>
      <c r="L7" s="103">
        <f>SUM(C7:K7)</f>
        <v>29</v>
      </c>
      <c r="M7" s="3"/>
      <c r="N7" s="103">
        <v>3</v>
      </c>
      <c r="O7" s="160">
        <f>(8+9)/2</f>
        <v>8.5</v>
      </c>
      <c r="P7" s="160">
        <f>(8+9)/2</f>
        <v>8.5</v>
      </c>
      <c r="Q7" s="160">
        <f>(4+5)/2</f>
        <v>4.5</v>
      </c>
      <c r="R7" s="160">
        <f>(1+2+3)/3</f>
        <v>2</v>
      </c>
      <c r="S7" s="160">
        <f>(6+7)/2</f>
        <v>6.5</v>
      </c>
      <c r="T7" s="160">
        <f>(4+5)/2</f>
        <v>4.5</v>
      </c>
      <c r="U7" s="160">
        <f>(1+2+3)/3</f>
        <v>2</v>
      </c>
      <c r="V7" s="160">
        <f>(1+2+3)/3</f>
        <v>2</v>
      </c>
      <c r="W7" s="160">
        <f>(6+7)/2</f>
        <v>6.5</v>
      </c>
      <c r="X7" s="4">
        <f>SUM(O7:W7)</f>
        <v>45</v>
      </c>
      <c r="Y7" s="106"/>
      <c r="Z7" s="68"/>
    </row>
    <row r="8" spans="2:26" ht="15.75" x14ac:dyDescent="0.25">
      <c r="B8" s="103" t="s">
        <v>66</v>
      </c>
      <c r="C8" s="56">
        <v>4</v>
      </c>
      <c r="D8" s="56">
        <v>2</v>
      </c>
      <c r="E8" s="56">
        <v>3</v>
      </c>
      <c r="F8" s="56">
        <v>2</v>
      </c>
      <c r="G8" s="56">
        <v>2</v>
      </c>
      <c r="H8" s="56">
        <v>4</v>
      </c>
      <c r="I8" s="56">
        <v>2</v>
      </c>
      <c r="J8" s="56">
        <v>1</v>
      </c>
      <c r="K8" s="56">
        <v>3</v>
      </c>
      <c r="L8" s="103">
        <f>SUM(C8:K8)</f>
        <v>23</v>
      </c>
      <c r="M8" s="3"/>
      <c r="N8" s="103">
        <v>4</v>
      </c>
      <c r="O8" s="160">
        <f>(3+4+5+6)/4</f>
        <v>4.5</v>
      </c>
      <c r="P8" s="160">
        <f>(3+4+5+6)/4</f>
        <v>4.5</v>
      </c>
      <c r="Q8" s="160">
        <f>(7+8)/2</f>
        <v>7.5</v>
      </c>
      <c r="R8" s="160">
        <f>(3+4+5+6)/4</f>
        <v>4.5</v>
      </c>
      <c r="S8" s="160">
        <f>9/1</f>
        <v>9</v>
      </c>
      <c r="T8" s="160">
        <f>(1+2)/2</f>
        <v>1.5</v>
      </c>
      <c r="U8" s="160">
        <f>(3+4+5+6)/4</f>
        <v>4.5</v>
      </c>
      <c r="V8" s="160">
        <f>(7+8)/2</f>
        <v>7.5</v>
      </c>
      <c r="W8" s="160">
        <f>(1+2)/2</f>
        <v>1.5</v>
      </c>
      <c r="X8" s="4">
        <f>SUM(O8:W8)</f>
        <v>45</v>
      </c>
      <c r="Y8" s="106"/>
      <c r="Z8" s="68"/>
    </row>
    <row r="9" spans="2:26" ht="15.75" x14ac:dyDescent="0.25">
      <c r="B9" s="103" t="s">
        <v>67</v>
      </c>
      <c r="C9" s="56">
        <v>5</v>
      </c>
      <c r="D9" s="56">
        <v>2</v>
      </c>
      <c r="E9" s="56">
        <v>4</v>
      </c>
      <c r="F9" s="56">
        <v>3</v>
      </c>
      <c r="G9" s="56">
        <v>3</v>
      </c>
      <c r="H9" s="56">
        <v>3</v>
      </c>
      <c r="I9" s="56">
        <v>4</v>
      </c>
      <c r="J9" s="56">
        <v>3</v>
      </c>
      <c r="K9" s="56">
        <v>2</v>
      </c>
      <c r="L9" s="103">
        <f t="shared" ref="L9:L17" si="0">SUM(C9:K9)</f>
        <v>29</v>
      </c>
      <c r="M9" s="3"/>
      <c r="N9" s="103">
        <v>5</v>
      </c>
      <c r="O9" s="160">
        <f>(8+9)/2</f>
        <v>8.5</v>
      </c>
      <c r="P9" s="160">
        <f>(2+3+4+5)/4</f>
        <v>3.5</v>
      </c>
      <c r="Q9" s="160">
        <f>(6+7)/2</f>
        <v>6.5</v>
      </c>
      <c r="R9" s="160">
        <f>(2+3+4+5)/4</f>
        <v>3.5</v>
      </c>
      <c r="S9" s="160">
        <f>(2+3+4+5)/4</f>
        <v>3.5</v>
      </c>
      <c r="T9" s="160">
        <f>(8+9)/2</f>
        <v>8.5</v>
      </c>
      <c r="U9" s="160">
        <f>(2+3+4+5)/4</f>
        <v>3.5</v>
      </c>
      <c r="V9" s="160">
        <f>1</f>
        <v>1</v>
      </c>
      <c r="W9" s="160">
        <f>(6+7)/2</f>
        <v>6.5</v>
      </c>
      <c r="X9" s="4">
        <f t="shared" ref="X9:X19" si="1">SUM(O9:W9)</f>
        <v>45</v>
      </c>
      <c r="Y9" s="106"/>
      <c r="Z9" s="68"/>
    </row>
    <row r="10" spans="2:26" ht="15.75" x14ac:dyDescent="0.25">
      <c r="B10" s="103" t="s">
        <v>68</v>
      </c>
      <c r="C10" s="56">
        <v>2</v>
      </c>
      <c r="D10" s="56">
        <v>4</v>
      </c>
      <c r="E10" s="56">
        <v>3</v>
      </c>
      <c r="F10" s="56">
        <v>2</v>
      </c>
      <c r="G10" s="56">
        <v>3</v>
      </c>
      <c r="H10" s="56">
        <v>4</v>
      </c>
      <c r="I10" s="56">
        <v>4</v>
      </c>
      <c r="J10" s="56">
        <v>3</v>
      </c>
      <c r="K10" s="56">
        <v>4</v>
      </c>
      <c r="L10" s="103">
        <f t="shared" si="0"/>
        <v>29</v>
      </c>
      <c r="M10" s="3"/>
      <c r="N10" s="103">
        <v>6</v>
      </c>
      <c r="O10" s="160">
        <f>9/1</f>
        <v>9</v>
      </c>
      <c r="P10" s="160">
        <f>(1+2)/2</f>
        <v>1.5</v>
      </c>
      <c r="Q10" s="160">
        <f>(7+8)/2</f>
        <v>7.5</v>
      </c>
      <c r="R10" s="160">
        <f>(3+4+5+6)/4</f>
        <v>4.5</v>
      </c>
      <c r="S10" s="160">
        <f>(3+4+5+6)/4</f>
        <v>4.5</v>
      </c>
      <c r="T10" s="160">
        <f>(3+4+5+6)/4</f>
        <v>4.5</v>
      </c>
      <c r="U10" s="160">
        <f>(7+8)/2</f>
        <v>7.5</v>
      </c>
      <c r="V10" s="160">
        <f>(3+4+5+6)/4</f>
        <v>4.5</v>
      </c>
      <c r="W10" s="160">
        <f>(1+2)/2</f>
        <v>1.5</v>
      </c>
      <c r="X10" s="4">
        <f t="shared" si="1"/>
        <v>45</v>
      </c>
      <c r="Y10" s="106"/>
      <c r="Z10" s="68"/>
    </row>
    <row r="11" spans="2:26" ht="15.75" x14ac:dyDescent="0.25">
      <c r="B11" s="103" t="s">
        <v>69</v>
      </c>
      <c r="C11" s="56">
        <v>4</v>
      </c>
      <c r="D11" s="56">
        <v>3</v>
      </c>
      <c r="E11" s="56">
        <v>4</v>
      </c>
      <c r="F11" s="56">
        <v>2</v>
      </c>
      <c r="G11" s="56">
        <v>4</v>
      </c>
      <c r="H11" s="56">
        <v>3</v>
      </c>
      <c r="I11" s="56">
        <v>2</v>
      </c>
      <c r="J11" s="56">
        <v>2</v>
      </c>
      <c r="K11" s="56">
        <v>2</v>
      </c>
      <c r="L11" s="103">
        <f t="shared" si="0"/>
        <v>26</v>
      </c>
      <c r="M11" s="3"/>
      <c r="N11" s="103">
        <v>7</v>
      </c>
      <c r="O11" s="160">
        <f>(1+2)/2</f>
        <v>1.5</v>
      </c>
      <c r="P11" s="160">
        <f>(6+7+8+9)/4</f>
        <v>7.5</v>
      </c>
      <c r="Q11" s="160">
        <f>(3+4+5)/3</f>
        <v>4</v>
      </c>
      <c r="R11" s="160">
        <f>(1+2)/2</f>
        <v>1.5</v>
      </c>
      <c r="S11" s="160">
        <f>(3+4+5)/3</f>
        <v>4</v>
      </c>
      <c r="T11" s="160">
        <f>(6+7+8+9)/4</f>
        <v>7.5</v>
      </c>
      <c r="U11" s="160">
        <f>(6+7+8+9)/4</f>
        <v>7.5</v>
      </c>
      <c r="V11" s="160">
        <f>(3+4+5)/3</f>
        <v>4</v>
      </c>
      <c r="W11" s="160">
        <f>(6+7+8+9)/4</f>
        <v>7.5</v>
      </c>
      <c r="X11" s="4">
        <f>SUM(O11:W11)</f>
        <v>45</v>
      </c>
      <c r="Y11" s="106"/>
      <c r="Z11" s="68"/>
    </row>
    <row r="12" spans="2:26" ht="15.75" x14ac:dyDescent="0.25">
      <c r="B12" s="103" t="s">
        <v>70</v>
      </c>
      <c r="C12" s="56">
        <v>4</v>
      </c>
      <c r="D12" s="56">
        <v>4</v>
      </c>
      <c r="E12" s="56">
        <v>4</v>
      </c>
      <c r="F12" s="56">
        <v>4</v>
      </c>
      <c r="G12" s="56">
        <v>4</v>
      </c>
      <c r="H12" s="56">
        <v>4</v>
      </c>
      <c r="I12" s="56">
        <v>4</v>
      </c>
      <c r="J12" s="56">
        <v>4</v>
      </c>
      <c r="K12" s="56">
        <v>4</v>
      </c>
      <c r="L12" s="103">
        <f t="shared" si="0"/>
        <v>36</v>
      </c>
      <c r="M12" s="3"/>
      <c r="N12" s="103">
        <v>8</v>
      </c>
      <c r="O12" s="160">
        <f>(7+8+9)/3</f>
        <v>8</v>
      </c>
      <c r="P12" s="160">
        <f>(5+6)/2</f>
        <v>5.5</v>
      </c>
      <c r="Q12" s="160">
        <f>(7+8+9)/3</f>
        <v>8</v>
      </c>
      <c r="R12" s="160">
        <f>(1+2+3+4)/4</f>
        <v>2.5</v>
      </c>
      <c r="S12" s="160">
        <f>(7+8+9)/3</f>
        <v>8</v>
      </c>
      <c r="T12" s="160">
        <f>(5+6)/2</f>
        <v>5.5</v>
      </c>
      <c r="U12" s="160">
        <f>(1+2+3+4)/4</f>
        <v>2.5</v>
      </c>
      <c r="V12" s="160">
        <f>(1+2+3+4)/4</f>
        <v>2.5</v>
      </c>
      <c r="W12" s="160">
        <f>(1+2+3+4)/4</f>
        <v>2.5</v>
      </c>
      <c r="X12" s="4">
        <f t="shared" si="1"/>
        <v>45</v>
      </c>
      <c r="Y12" s="106"/>
      <c r="Z12" s="68"/>
    </row>
    <row r="13" spans="2:26" ht="15.75" x14ac:dyDescent="0.25">
      <c r="B13" s="103" t="s">
        <v>71</v>
      </c>
      <c r="C13" s="56">
        <v>4</v>
      </c>
      <c r="D13" s="56">
        <v>4</v>
      </c>
      <c r="E13" s="56">
        <v>4</v>
      </c>
      <c r="F13" s="56">
        <v>4</v>
      </c>
      <c r="G13" s="56">
        <v>3</v>
      </c>
      <c r="H13" s="56">
        <v>4</v>
      </c>
      <c r="I13" s="56">
        <v>1</v>
      </c>
      <c r="J13" s="56">
        <v>4</v>
      </c>
      <c r="K13" s="56">
        <v>4</v>
      </c>
      <c r="L13" s="103">
        <f>SUM(C13:K13)</f>
        <v>32</v>
      </c>
      <c r="M13" s="146"/>
      <c r="N13" s="103">
        <v>9</v>
      </c>
      <c r="O13" s="160">
        <f>(1+2+3+4+5+6+7+8+9)/9</f>
        <v>5</v>
      </c>
      <c r="P13" s="160">
        <f t="shared" ref="P13:W13" si="2">(1+2+3+4+5+6+7+8+9)/9</f>
        <v>5</v>
      </c>
      <c r="Q13" s="160">
        <f t="shared" si="2"/>
        <v>5</v>
      </c>
      <c r="R13" s="160">
        <f t="shared" si="2"/>
        <v>5</v>
      </c>
      <c r="S13" s="160">
        <f t="shared" si="2"/>
        <v>5</v>
      </c>
      <c r="T13" s="160">
        <f t="shared" si="2"/>
        <v>5</v>
      </c>
      <c r="U13" s="160">
        <f t="shared" si="2"/>
        <v>5</v>
      </c>
      <c r="V13" s="160">
        <f t="shared" si="2"/>
        <v>5</v>
      </c>
      <c r="W13" s="160">
        <f t="shared" si="2"/>
        <v>5</v>
      </c>
      <c r="X13" s="4">
        <f t="shared" si="1"/>
        <v>45</v>
      </c>
      <c r="Y13" s="106"/>
      <c r="Z13" s="68"/>
    </row>
    <row r="14" spans="2:26" ht="15.75" x14ac:dyDescent="0.25">
      <c r="B14" s="103" t="s">
        <v>72</v>
      </c>
      <c r="C14" s="56">
        <v>4</v>
      </c>
      <c r="D14" s="56">
        <v>2</v>
      </c>
      <c r="E14" s="56">
        <v>5</v>
      </c>
      <c r="F14" s="56">
        <v>5</v>
      </c>
      <c r="G14" s="56">
        <v>4</v>
      </c>
      <c r="H14" s="56">
        <v>4</v>
      </c>
      <c r="I14" s="56">
        <v>4</v>
      </c>
      <c r="J14" s="56">
        <v>4</v>
      </c>
      <c r="K14" s="56">
        <v>4</v>
      </c>
      <c r="L14" s="103">
        <f>SUM(C14:K14)</f>
        <v>36</v>
      </c>
      <c r="M14" s="146"/>
      <c r="N14" s="103">
        <v>10</v>
      </c>
      <c r="O14" s="160">
        <f>(3+4+5+6+7+8+9)/7</f>
        <v>6</v>
      </c>
      <c r="P14" s="160">
        <f t="shared" ref="P14:R14" si="3">(3+4+5+6+7+8+9)/7</f>
        <v>6</v>
      </c>
      <c r="Q14" s="160">
        <f t="shared" si="3"/>
        <v>6</v>
      </c>
      <c r="R14" s="160">
        <f t="shared" si="3"/>
        <v>6</v>
      </c>
      <c r="S14" s="160">
        <f>2/1</f>
        <v>2</v>
      </c>
      <c r="T14" s="160">
        <f>(3+4+5+6+7+8+9)/7</f>
        <v>6</v>
      </c>
      <c r="U14" s="160">
        <f>1</f>
        <v>1</v>
      </c>
      <c r="V14" s="160">
        <f t="shared" ref="V14:W14" si="4">(3+4+5+6+7+8+9)/7</f>
        <v>6</v>
      </c>
      <c r="W14" s="160">
        <f t="shared" si="4"/>
        <v>6</v>
      </c>
      <c r="X14" s="4">
        <f t="shared" si="1"/>
        <v>45</v>
      </c>
      <c r="Y14" s="106"/>
      <c r="Z14" s="68"/>
    </row>
    <row r="15" spans="2:26" ht="15.75" x14ac:dyDescent="0.25">
      <c r="B15" s="103" t="s">
        <v>73</v>
      </c>
      <c r="C15" s="56">
        <v>4</v>
      </c>
      <c r="D15" s="56">
        <v>4</v>
      </c>
      <c r="E15" s="56">
        <v>5</v>
      </c>
      <c r="F15" s="56">
        <v>4</v>
      </c>
      <c r="G15" s="56">
        <v>4</v>
      </c>
      <c r="H15" s="56">
        <v>4</v>
      </c>
      <c r="I15" s="56">
        <v>4</v>
      </c>
      <c r="J15" s="56">
        <v>4</v>
      </c>
      <c r="K15" s="56">
        <v>4</v>
      </c>
      <c r="L15" s="103">
        <f t="shared" si="0"/>
        <v>37</v>
      </c>
      <c r="M15" s="146"/>
      <c r="N15" s="103">
        <v>11</v>
      </c>
      <c r="O15" s="160">
        <f>(2+3+4+5+6+7)/6</f>
        <v>4.5</v>
      </c>
      <c r="P15" s="160">
        <f>1</f>
        <v>1</v>
      </c>
      <c r="Q15" s="160">
        <f>(8+9)/2</f>
        <v>8.5</v>
      </c>
      <c r="R15" s="160">
        <f>(8+9)/2</f>
        <v>8.5</v>
      </c>
      <c r="S15" s="160">
        <f t="shared" ref="S15:W15" si="5">(2+3+4+5+6+7)/6</f>
        <v>4.5</v>
      </c>
      <c r="T15" s="160">
        <f t="shared" si="5"/>
        <v>4.5</v>
      </c>
      <c r="U15" s="160">
        <f t="shared" si="5"/>
        <v>4.5</v>
      </c>
      <c r="V15" s="160">
        <f t="shared" si="5"/>
        <v>4.5</v>
      </c>
      <c r="W15" s="160">
        <f t="shared" si="5"/>
        <v>4.5</v>
      </c>
      <c r="X15" s="4">
        <f t="shared" si="1"/>
        <v>45</v>
      </c>
      <c r="Y15" s="106"/>
      <c r="Z15" s="68"/>
    </row>
    <row r="16" spans="2:26" ht="15.75" x14ac:dyDescent="0.25">
      <c r="B16" s="103" t="s">
        <v>74</v>
      </c>
      <c r="C16" s="56">
        <v>2</v>
      </c>
      <c r="D16" s="56">
        <v>2</v>
      </c>
      <c r="E16" s="56">
        <v>4</v>
      </c>
      <c r="F16" s="56">
        <v>2</v>
      </c>
      <c r="G16" s="56">
        <v>2</v>
      </c>
      <c r="H16" s="56">
        <v>2</v>
      </c>
      <c r="I16" s="56">
        <v>2</v>
      </c>
      <c r="J16" s="56">
        <v>4</v>
      </c>
      <c r="K16" s="56">
        <v>2</v>
      </c>
      <c r="L16" s="103">
        <f>SUM(C16:K16)</f>
        <v>22</v>
      </c>
      <c r="M16" s="146"/>
      <c r="N16" s="103">
        <v>12</v>
      </c>
      <c r="O16" s="160">
        <f>(1+2+3+4+5+6+7+8)/8</f>
        <v>4.5</v>
      </c>
      <c r="P16" s="160">
        <f>(1+2+3+4+5+6+7+8)/8</f>
        <v>4.5</v>
      </c>
      <c r="Q16" s="160">
        <f>9/1</f>
        <v>9</v>
      </c>
      <c r="R16" s="160">
        <f>(1+2+3+4+5+6+7+8)/8</f>
        <v>4.5</v>
      </c>
      <c r="S16" s="160">
        <f t="shared" ref="S16:W16" si="6">(1+2+3+4+5+6+7+8)/8</f>
        <v>4.5</v>
      </c>
      <c r="T16" s="160">
        <f t="shared" si="6"/>
        <v>4.5</v>
      </c>
      <c r="U16" s="160">
        <f t="shared" si="6"/>
        <v>4.5</v>
      </c>
      <c r="V16" s="160">
        <f t="shared" si="6"/>
        <v>4.5</v>
      </c>
      <c r="W16" s="160">
        <f t="shared" si="6"/>
        <v>4.5</v>
      </c>
      <c r="X16" s="4">
        <f t="shared" si="1"/>
        <v>45</v>
      </c>
      <c r="Y16" s="106"/>
      <c r="Z16" s="68"/>
    </row>
    <row r="17" spans="1:26" ht="15.75" x14ac:dyDescent="0.25">
      <c r="B17" s="103" t="s">
        <v>75</v>
      </c>
      <c r="C17" s="56">
        <v>3</v>
      </c>
      <c r="D17" s="56">
        <v>3</v>
      </c>
      <c r="E17" s="56">
        <v>4</v>
      </c>
      <c r="F17" s="56">
        <v>4</v>
      </c>
      <c r="G17" s="56">
        <v>4</v>
      </c>
      <c r="H17" s="56">
        <v>4</v>
      </c>
      <c r="I17" s="56">
        <v>2</v>
      </c>
      <c r="J17" s="56">
        <v>3</v>
      </c>
      <c r="K17" s="56">
        <v>3</v>
      </c>
      <c r="L17" s="103">
        <f t="shared" si="0"/>
        <v>30</v>
      </c>
      <c r="M17" s="146"/>
      <c r="N17" s="103">
        <v>13</v>
      </c>
      <c r="O17" s="160">
        <f>(1+2+3+4+5+6+7)/7</f>
        <v>4</v>
      </c>
      <c r="P17" s="160">
        <f>(1+2+3+4+5+6+7)/7</f>
        <v>4</v>
      </c>
      <c r="Q17" s="160">
        <f>(8+9)/2</f>
        <v>8.5</v>
      </c>
      <c r="R17" s="160">
        <f t="shared" ref="R17:U17" si="7">(1+2+3+4+5+6+7)/7</f>
        <v>4</v>
      </c>
      <c r="S17" s="160">
        <f t="shared" si="7"/>
        <v>4</v>
      </c>
      <c r="T17" s="160">
        <f t="shared" si="7"/>
        <v>4</v>
      </c>
      <c r="U17" s="160">
        <f t="shared" si="7"/>
        <v>4</v>
      </c>
      <c r="V17" s="160">
        <f>(8+9)/2</f>
        <v>8.5</v>
      </c>
      <c r="W17" s="160">
        <f>(1+2+3+4+5+6+7)/7</f>
        <v>4</v>
      </c>
      <c r="X17" s="4">
        <f t="shared" si="1"/>
        <v>45</v>
      </c>
      <c r="Y17" s="106"/>
      <c r="Z17" s="68"/>
    </row>
    <row r="18" spans="1:26" ht="15.75" x14ac:dyDescent="0.25">
      <c r="B18" s="103" t="s">
        <v>60</v>
      </c>
      <c r="C18" s="56">
        <v>2</v>
      </c>
      <c r="D18" s="56">
        <v>2</v>
      </c>
      <c r="E18" s="56">
        <v>5</v>
      </c>
      <c r="F18" s="56">
        <v>4</v>
      </c>
      <c r="G18" s="56">
        <v>4</v>
      </c>
      <c r="H18" s="56">
        <v>5</v>
      </c>
      <c r="I18" s="56">
        <v>5</v>
      </c>
      <c r="J18" s="56">
        <v>5</v>
      </c>
      <c r="K18" s="56">
        <v>2</v>
      </c>
      <c r="L18" s="103">
        <f>SUM(C18:K18)</f>
        <v>34</v>
      </c>
      <c r="M18" s="146"/>
      <c r="N18" s="103">
        <v>14</v>
      </c>
      <c r="O18" s="161">
        <f>(2+3+4+5)/4</f>
        <v>3.5</v>
      </c>
      <c r="P18" s="161">
        <f>(2+3+4+5)/4</f>
        <v>3.5</v>
      </c>
      <c r="Q18" s="161">
        <f>(6+7+8+9)/4</f>
        <v>7.5</v>
      </c>
      <c r="R18" s="161">
        <f t="shared" ref="R18:V19" si="8">(6+7+8+9)/4</f>
        <v>7.5</v>
      </c>
      <c r="S18" s="161">
        <f t="shared" si="8"/>
        <v>7.5</v>
      </c>
      <c r="T18" s="161">
        <f t="shared" si="8"/>
        <v>7.5</v>
      </c>
      <c r="U18" s="161">
        <f>1</f>
        <v>1</v>
      </c>
      <c r="V18" s="161">
        <f>(2+3+4+5)/4</f>
        <v>3.5</v>
      </c>
      <c r="W18" s="161">
        <f>(2+3+4+5)/4</f>
        <v>3.5</v>
      </c>
      <c r="X18" s="4">
        <f t="shared" si="1"/>
        <v>45</v>
      </c>
      <c r="Y18" s="106"/>
      <c r="Z18" s="68"/>
    </row>
    <row r="19" spans="1:26" ht="15.75" x14ac:dyDescent="0.25">
      <c r="B19" s="103" t="s">
        <v>1</v>
      </c>
      <c r="C19" s="103">
        <f>SUM(C4:C18)</f>
        <v>53</v>
      </c>
      <c r="D19" s="103">
        <f>SUM(D4:D18)</f>
        <v>45</v>
      </c>
      <c r="E19" s="103">
        <f>SUM(E4:E18)</f>
        <v>59</v>
      </c>
      <c r="F19" s="103">
        <f t="shared" ref="F19:K19" si="9">SUM(F4:F18)</f>
        <v>48</v>
      </c>
      <c r="G19" s="103">
        <f t="shared" si="9"/>
        <v>54</v>
      </c>
      <c r="H19" s="103">
        <f t="shared" si="9"/>
        <v>51</v>
      </c>
      <c r="I19" s="103">
        <f>SUM(I4:I18)</f>
        <v>47</v>
      </c>
      <c r="J19" s="103">
        <f t="shared" si="9"/>
        <v>49</v>
      </c>
      <c r="K19" s="103">
        <f t="shared" si="9"/>
        <v>47</v>
      </c>
      <c r="L19" s="103">
        <f>SUM(L4:L18)</f>
        <v>453</v>
      </c>
      <c r="M19" s="146"/>
      <c r="N19" s="103">
        <v>15</v>
      </c>
      <c r="O19" s="161">
        <f>(1+2+3)/3</f>
        <v>2</v>
      </c>
      <c r="P19" s="161">
        <f>(1+2+3)/3</f>
        <v>2</v>
      </c>
      <c r="Q19" s="161">
        <f>(6+7+8+9)/4</f>
        <v>7.5</v>
      </c>
      <c r="R19" s="161">
        <f>(4+5)/2</f>
        <v>4.5</v>
      </c>
      <c r="S19" s="161">
        <f>(4+5)/2</f>
        <v>4.5</v>
      </c>
      <c r="T19" s="161">
        <f t="shared" si="8"/>
        <v>7.5</v>
      </c>
      <c r="U19" s="161">
        <f t="shared" si="8"/>
        <v>7.5</v>
      </c>
      <c r="V19" s="161">
        <f t="shared" si="8"/>
        <v>7.5</v>
      </c>
      <c r="W19" s="161">
        <f>(1+2+3)/3</f>
        <v>2</v>
      </c>
      <c r="X19" s="4">
        <f t="shared" si="1"/>
        <v>45</v>
      </c>
      <c r="Y19" s="106"/>
      <c r="Z19" s="68"/>
    </row>
    <row r="20" spans="1:26" ht="15.75" customHeight="1" x14ac:dyDescent="0.25">
      <c r="B20" s="10" t="s">
        <v>53</v>
      </c>
      <c r="C20" s="39">
        <f>AVERAGE(C4:C18)</f>
        <v>3.5333333333333332</v>
      </c>
      <c r="D20" s="39">
        <f t="shared" ref="D20:K20" si="10">AVERAGE(D4:D18)</f>
        <v>3</v>
      </c>
      <c r="E20" s="39">
        <f t="shared" si="10"/>
        <v>3.9333333333333331</v>
      </c>
      <c r="F20" s="39">
        <f t="shared" si="10"/>
        <v>3.2</v>
      </c>
      <c r="G20" s="39">
        <f>AVERAGE(G4:G18)</f>
        <v>3.6</v>
      </c>
      <c r="H20" s="39">
        <f t="shared" si="10"/>
        <v>3.4</v>
      </c>
      <c r="I20" s="39">
        <f>AVERAGE(I4:I18)</f>
        <v>3.1333333333333333</v>
      </c>
      <c r="J20" s="39">
        <f>AVERAGE(J4:J18)</f>
        <v>3.2666666666666666</v>
      </c>
      <c r="K20" s="39">
        <f t="shared" si="10"/>
        <v>3.1333333333333333</v>
      </c>
      <c r="L20" s="20"/>
      <c r="M20" s="106"/>
      <c r="N20" s="103" t="s">
        <v>1</v>
      </c>
      <c r="O20" s="4">
        <f>SUM(O5:O19)</f>
        <v>80.5</v>
      </c>
      <c r="P20" s="4">
        <f>SUM(P5:P19)</f>
        <v>63</v>
      </c>
      <c r="Q20" s="4">
        <f t="shared" ref="Q20:V20" si="11">SUM(Q5:Q19)</f>
        <v>101</v>
      </c>
      <c r="R20" s="4">
        <f t="shared" si="11"/>
        <v>69.5</v>
      </c>
      <c r="S20" s="4">
        <f t="shared" si="11"/>
        <v>82.5</v>
      </c>
      <c r="T20" s="4">
        <f t="shared" si="11"/>
        <v>74.5</v>
      </c>
      <c r="U20" s="4">
        <f>SUM(U5:U19)</f>
        <v>69</v>
      </c>
      <c r="V20" s="4">
        <f t="shared" si="11"/>
        <v>68.5</v>
      </c>
      <c r="W20" s="4">
        <f>SUM(W5:W19)</f>
        <v>66.5</v>
      </c>
      <c r="X20" s="39">
        <f>SUM(X5:X19)</f>
        <v>675</v>
      </c>
      <c r="Y20" s="106"/>
      <c r="Z20" s="66"/>
    </row>
    <row r="21" spans="1:26" ht="15.75" x14ac:dyDescent="0.25">
      <c r="B21" s="67"/>
      <c r="C21" s="47"/>
      <c r="D21" s="47"/>
      <c r="E21" s="47"/>
      <c r="F21" s="47"/>
      <c r="G21" s="47"/>
      <c r="H21" s="47"/>
      <c r="I21" s="47"/>
      <c r="J21" s="47"/>
      <c r="K21" s="47"/>
      <c r="L21" s="66"/>
      <c r="M21" s="106"/>
      <c r="N21" s="10" t="s">
        <v>53</v>
      </c>
      <c r="O21" s="39">
        <f>AVERAGE(O5:O19)</f>
        <v>5.3666666666666663</v>
      </c>
      <c r="P21" s="39">
        <f t="shared" ref="P21:V21" si="12">AVERAGE(P5:P19)</f>
        <v>4.2</v>
      </c>
      <c r="Q21" s="39">
        <f>AVERAGE(Q5:Q19)</f>
        <v>6.7333333333333334</v>
      </c>
      <c r="R21" s="39">
        <f>AVERAGE(R5:R19)</f>
        <v>4.6333333333333337</v>
      </c>
      <c r="S21" s="39">
        <f t="shared" si="12"/>
        <v>5.5</v>
      </c>
      <c r="T21" s="39">
        <f t="shared" si="12"/>
        <v>4.9666666666666668</v>
      </c>
      <c r="U21" s="39">
        <f t="shared" si="12"/>
        <v>4.5999999999999996</v>
      </c>
      <c r="V21" s="39">
        <f t="shared" si="12"/>
        <v>4.5666666666666664</v>
      </c>
      <c r="W21" s="39">
        <f>AVERAGE(W5:W19)</f>
        <v>4.4333333333333336</v>
      </c>
      <c r="X21" s="37"/>
      <c r="Y21" s="106"/>
      <c r="Z21" s="66"/>
    </row>
    <row r="22" spans="1:26" x14ac:dyDescent="0.25"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106"/>
      <c r="Z22" s="106"/>
    </row>
    <row r="23" spans="1:26" x14ac:dyDescent="0.25"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</row>
    <row r="24" spans="1:26" ht="15.75" x14ac:dyDescent="0.25">
      <c r="B24" s="106"/>
      <c r="C24" s="106"/>
      <c r="D24" s="106"/>
      <c r="E24" s="106"/>
      <c r="F24" s="106"/>
      <c r="G24" s="106"/>
      <c r="H24" s="106"/>
      <c r="I24" s="72"/>
      <c r="J24" s="106"/>
      <c r="K24" s="106"/>
      <c r="L24" s="106"/>
      <c r="M24" s="172"/>
      <c r="N24" s="66"/>
      <c r="O24" s="68"/>
      <c r="P24" s="68"/>
      <c r="Q24" s="68"/>
      <c r="R24" s="68"/>
      <c r="S24" s="66"/>
      <c r="T24" s="66"/>
      <c r="U24" s="66"/>
      <c r="V24" s="67"/>
      <c r="W24" s="67"/>
      <c r="X24" s="69"/>
      <c r="Y24" s="69"/>
      <c r="Z24" s="69"/>
    </row>
    <row r="25" spans="1:26" ht="29.25" customHeight="1" x14ac:dyDescent="0.25">
      <c r="B25" s="106"/>
      <c r="C25" s="106"/>
      <c r="D25" s="106"/>
      <c r="E25" s="106"/>
      <c r="F25" s="106"/>
      <c r="G25" s="106"/>
      <c r="H25" s="106"/>
      <c r="I25" s="106"/>
      <c r="J25" s="69"/>
      <c r="K25" s="69"/>
      <c r="L25" s="106"/>
      <c r="M25" s="172"/>
      <c r="N25" s="68"/>
      <c r="O25" s="68"/>
      <c r="P25" s="68"/>
      <c r="Q25" s="68"/>
      <c r="R25" s="68"/>
      <c r="S25" s="68"/>
      <c r="T25" s="272"/>
      <c r="U25" s="273"/>
      <c r="V25" s="273"/>
      <c r="W25" s="67"/>
      <c r="X25" s="69"/>
      <c r="Y25" s="69"/>
      <c r="Z25" s="69"/>
    </row>
    <row r="26" spans="1:26" ht="19.5" customHeight="1" x14ac:dyDescent="0.25">
      <c r="B26" s="106"/>
      <c r="C26" s="106"/>
      <c r="D26" s="106"/>
      <c r="E26" s="106"/>
      <c r="F26" s="106"/>
      <c r="G26" s="106"/>
      <c r="H26" s="106"/>
      <c r="I26" s="106"/>
      <c r="J26" s="69"/>
      <c r="K26" s="69"/>
      <c r="L26" s="106"/>
      <c r="M26" s="172"/>
      <c r="N26" s="68"/>
      <c r="O26" s="259"/>
      <c r="P26" s="259"/>
      <c r="Q26" s="259"/>
      <c r="R26" s="259"/>
      <c r="S26" s="259"/>
      <c r="T26" s="47"/>
      <c r="U26" s="267"/>
      <c r="V26" s="267"/>
      <c r="W26" s="67"/>
      <c r="X26" s="271"/>
      <c r="Y26" s="69"/>
      <c r="Z26" s="69"/>
    </row>
    <row r="27" spans="1:26" ht="19.5" customHeight="1" x14ac:dyDescent="0.25"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72"/>
      <c r="N27" s="68"/>
      <c r="O27" s="259"/>
      <c r="P27" s="259"/>
      <c r="Q27" s="259"/>
      <c r="R27" s="259"/>
      <c r="S27" s="259"/>
      <c r="T27" s="47"/>
      <c r="U27" s="267"/>
      <c r="V27" s="267"/>
      <c r="W27" s="67"/>
      <c r="X27" s="271"/>
      <c r="Y27" s="69"/>
      <c r="Z27" s="69"/>
    </row>
    <row r="28" spans="1:26" ht="15.75" x14ac:dyDescent="0.25"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72"/>
      <c r="N28" s="68"/>
      <c r="O28" s="259"/>
      <c r="P28" s="259"/>
      <c r="Q28" s="259"/>
      <c r="R28" s="259"/>
      <c r="S28" s="259"/>
      <c r="T28" s="47"/>
      <c r="U28" s="267"/>
      <c r="V28" s="267"/>
      <c r="W28" s="67"/>
      <c r="X28" s="271"/>
      <c r="Y28" s="69"/>
      <c r="Z28" s="69"/>
    </row>
    <row r="29" spans="1:26" ht="16.5" thickBot="1" x14ac:dyDescent="0.3">
      <c r="B29" s="147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72"/>
      <c r="N29" s="68"/>
      <c r="O29" s="259"/>
      <c r="P29" s="259"/>
      <c r="Q29" s="259"/>
      <c r="R29" s="259"/>
      <c r="S29" s="259"/>
      <c r="T29" s="47"/>
      <c r="U29" s="267"/>
      <c r="V29" s="267"/>
      <c r="W29" s="67"/>
      <c r="X29" s="271"/>
      <c r="Y29" s="69"/>
      <c r="Z29" s="69"/>
    </row>
    <row r="30" spans="1:26" ht="15.75" x14ac:dyDescent="0.25">
      <c r="A30" s="61"/>
      <c r="B30" s="234" t="s">
        <v>54</v>
      </c>
      <c r="C30" s="234" t="s">
        <v>55</v>
      </c>
      <c r="D30" s="236"/>
      <c r="E30" s="106"/>
      <c r="F30" s="106"/>
      <c r="G30" s="57" t="s">
        <v>57</v>
      </c>
      <c r="H30" s="58">
        <v>9</v>
      </c>
      <c r="I30" s="106"/>
      <c r="J30" s="72"/>
      <c r="K30" s="106"/>
      <c r="L30" s="106"/>
      <c r="M30" s="172"/>
      <c r="N30" s="68"/>
      <c r="O30" s="259"/>
      <c r="P30" s="259"/>
      <c r="Q30" s="259"/>
      <c r="R30" s="259"/>
      <c r="S30" s="259"/>
      <c r="T30" s="47"/>
      <c r="U30" s="267"/>
      <c r="V30" s="267"/>
      <c r="W30" s="67"/>
      <c r="X30" s="271"/>
      <c r="Y30" s="69"/>
      <c r="Z30" s="69"/>
    </row>
    <row r="31" spans="1:26" ht="15.75" x14ac:dyDescent="0.25">
      <c r="A31" s="61"/>
      <c r="B31" s="235"/>
      <c r="C31" s="235"/>
      <c r="D31" s="237"/>
      <c r="E31" s="106"/>
      <c r="F31" s="106"/>
      <c r="G31" s="57" t="s">
        <v>58</v>
      </c>
      <c r="H31" s="58">
        <v>15</v>
      </c>
      <c r="I31" s="106"/>
      <c r="J31" s="106"/>
      <c r="K31" s="106"/>
      <c r="L31" s="106"/>
      <c r="M31" s="172"/>
      <c r="N31" s="68"/>
      <c r="O31" s="259"/>
      <c r="P31" s="259"/>
      <c r="Q31" s="259"/>
      <c r="R31" s="259"/>
      <c r="S31" s="259"/>
      <c r="T31" s="47"/>
      <c r="U31" s="267"/>
      <c r="V31" s="267"/>
      <c r="W31" s="67"/>
      <c r="X31" s="271"/>
      <c r="Y31" s="69"/>
      <c r="Z31" s="69"/>
    </row>
    <row r="32" spans="1:26" ht="15.75" x14ac:dyDescent="0.25">
      <c r="A32" s="61"/>
      <c r="B32" s="48"/>
      <c r="C32" s="48"/>
      <c r="D32" s="49"/>
      <c r="E32" s="106"/>
      <c r="F32" s="106"/>
      <c r="G32" s="106"/>
      <c r="H32" s="106"/>
      <c r="I32" s="106"/>
      <c r="J32" s="106"/>
      <c r="K32" s="106"/>
      <c r="L32" s="106"/>
      <c r="M32" s="172"/>
      <c r="N32" s="68"/>
      <c r="O32" s="259"/>
      <c r="P32" s="259"/>
      <c r="Q32" s="259"/>
      <c r="R32" s="259"/>
      <c r="S32" s="259"/>
      <c r="T32" s="47"/>
      <c r="U32" s="267"/>
      <c r="V32" s="267"/>
      <c r="W32" s="67"/>
      <c r="X32" s="271"/>
      <c r="Y32" s="69"/>
      <c r="Z32" s="69"/>
    </row>
    <row r="33" spans="1:26" ht="15.75" x14ac:dyDescent="0.25">
      <c r="A33" s="61"/>
      <c r="B33" s="73" t="s">
        <v>43</v>
      </c>
      <c r="C33" s="1">
        <f>(12/((H31*H30)*(H30+1))*SUMSQ(O20:W20)-3*(H31)*(H30+1))</f>
        <v>9.6666666666666856</v>
      </c>
      <c r="D33" s="77" t="s">
        <v>44</v>
      </c>
      <c r="E33" s="106"/>
      <c r="F33" s="106"/>
      <c r="G33" s="106"/>
      <c r="H33" s="106"/>
      <c r="I33" s="106"/>
      <c r="J33" s="106"/>
      <c r="K33" s="106"/>
      <c r="L33" s="106"/>
      <c r="M33" s="172"/>
      <c r="N33" s="68"/>
      <c r="O33" s="259"/>
      <c r="P33" s="259"/>
      <c r="Q33" s="259"/>
      <c r="R33" s="259"/>
      <c r="S33" s="259"/>
      <c r="T33" s="47"/>
      <c r="U33" s="267"/>
      <c r="V33" s="267"/>
      <c r="W33" s="67"/>
      <c r="X33" s="271"/>
      <c r="Y33" s="69"/>
      <c r="Z33" s="69"/>
    </row>
    <row r="34" spans="1:26" ht="15.75" x14ac:dyDescent="0.25">
      <c r="A34" s="61"/>
      <c r="B34" s="73" t="s">
        <v>56</v>
      </c>
      <c r="C34" s="1">
        <f>_xlfn.CHISQ.INV.RT(0.05,8)</f>
        <v>15.507313055865453</v>
      </c>
      <c r="D34" s="50"/>
      <c r="E34" s="106"/>
      <c r="F34" s="106"/>
      <c r="G34" s="106"/>
      <c r="H34" s="106"/>
      <c r="I34" s="106"/>
      <c r="J34" s="106"/>
      <c r="K34" s="106"/>
      <c r="L34" s="106"/>
      <c r="M34" s="172"/>
      <c r="N34" s="68"/>
      <c r="O34" s="259"/>
      <c r="P34" s="259"/>
      <c r="Q34" s="259"/>
      <c r="R34" s="259"/>
      <c r="S34" s="259"/>
      <c r="T34" s="47"/>
      <c r="U34" s="267"/>
      <c r="V34" s="267"/>
      <c r="W34" s="67"/>
      <c r="X34" s="271"/>
      <c r="Y34" s="69"/>
      <c r="Z34" s="69"/>
    </row>
    <row r="35" spans="1:26" ht="16.5" thickBot="1" x14ac:dyDescent="0.3">
      <c r="A35" s="61"/>
      <c r="B35" s="51"/>
      <c r="C35" s="52"/>
      <c r="D35" s="53"/>
      <c r="E35" s="106"/>
      <c r="F35" s="106"/>
      <c r="G35" s="106"/>
      <c r="H35" s="106"/>
      <c r="I35" s="106"/>
      <c r="J35" s="106"/>
      <c r="K35" s="106"/>
      <c r="L35" s="106"/>
      <c r="M35" s="172"/>
      <c r="N35" s="68"/>
      <c r="O35" s="259"/>
      <c r="P35" s="259"/>
      <c r="Q35" s="259"/>
      <c r="R35" s="259"/>
      <c r="S35" s="259"/>
      <c r="T35" s="267"/>
      <c r="U35" s="267"/>
      <c r="V35" s="267"/>
      <c r="W35" s="67"/>
      <c r="X35" s="69"/>
      <c r="Y35" s="69"/>
      <c r="Z35" s="69"/>
    </row>
    <row r="36" spans="1:26" ht="15.75" x14ac:dyDescent="0.25">
      <c r="A36" s="72"/>
      <c r="B36" s="154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72"/>
      <c r="N36" s="68"/>
      <c r="O36" s="67"/>
      <c r="P36" s="69"/>
      <c r="Q36" s="69"/>
      <c r="R36" s="69"/>
      <c r="S36" s="69"/>
      <c r="T36" s="69"/>
      <c r="U36" s="69"/>
      <c r="V36" s="264"/>
      <c r="W36" s="67"/>
      <c r="X36" s="69"/>
      <c r="Y36" s="69"/>
      <c r="Z36" s="69"/>
    </row>
    <row r="37" spans="1:26" ht="15.75" x14ac:dyDescent="0.25">
      <c r="A37" s="72"/>
      <c r="B37" s="72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72"/>
      <c r="N37" s="68"/>
      <c r="O37" s="70"/>
      <c r="P37" s="70"/>
      <c r="Q37" s="70"/>
      <c r="R37" s="70"/>
      <c r="S37" s="70"/>
      <c r="T37" s="70"/>
      <c r="U37" s="70"/>
      <c r="V37" s="70"/>
      <c r="W37" s="67"/>
      <c r="X37" s="69"/>
      <c r="Y37" s="69"/>
      <c r="Z37" s="69"/>
    </row>
    <row r="38" spans="1:26" ht="15.75" x14ac:dyDescent="0.25"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72"/>
      <c r="N38" s="66"/>
      <c r="O38" s="70"/>
      <c r="P38" s="70"/>
      <c r="Q38" s="70"/>
      <c r="R38" s="70"/>
      <c r="S38" s="70"/>
      <c r="T38" s="70"/>
      <c r="U38" s="70"/>
      <c r="V38" s="70"/>
      <c r="W38" s="67"/>
      <c r="X38" s="69"/>
      <c r="Y38" s="69"/>
      <c r="Z38" s="69"/>
    </row>
    <row r="39" spans="1:26" ht="15.75" x14ac:dyDescent="0.25"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69"/>
      <c r="N39" s="66"/>
      <c r="O39" s="71"/>
      <c r="P39" s="71"/>
      <c r="Q39" s="71"/>
      <c r="R39" s="71"/>
      <c r="S39" s="71"/>
      <c r="T39" s="71"/>
      <c r="U39" s="71"/>
      <c r="V39" s="71"/>
      <c r="W39" s="67"/>
      <c r="X39" s="69"/>
      <c r="Y39" s="69"/>
      <c r="Z39" s="69"/>
    </row>
    <row r="40" spans="1:26" x14ac:dyDescent="0.25">
      <c r="B40" s="106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72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2"/>
    </row>
    <row r="41" spans="1:26" x14ac:dyDescent="0.25"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</row>
  </sheetData>
  <mergeCells count="8">
    <mergeCell ref="X3:X4"/>
    <mergeCell ref="B2:B3"/>
    <mergeCell ref="C2:J2"/>
    <mergeCell ref="L2:L3"/>
    <mergeCell ref="N3:N4"/>
    <mergeCell ref="O3:W3"/>
    <mergeCell ref="B30:B31"/>
    <mergeCell ref="C30:D3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RAK KADAR AIR</vt:lpstr>
      <vt:lpstr> RAK TEKSTUR</vt:lpstr>
      <vt:lpstr>RAK ANTIOKSIDAN</vt:lpstr>
      <vt:lpstr>RAK WARNA L</vt:lpstr>
      <vt:lpstr>RAK WARNA A</vt:lpstr>
      <vt:lpstr>RAK WARNA B</vt:lpstr>
      <vt:lpstr>RAK GULA REDUKSI</vt:lpstr>
      <vt:lpstr>ORLEP WARNA </vt:lpstr>
      <vt:lpstr>ORLEP AROMA</vt:lpstr>
      <vt:lpstr>ORLEP RASA</vt:lpstr>
      <vt:lpstr>ORLEP TEKSTUR</vt:lpstr>
      <vt:lpstr>PERLAKUAN TERAIK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2024-01-28T05:24:14Z</dcterms:created>
  <dcterms:modified xsi:type="dcterms:W3CDTF">2024-05-27T11:46:16Z</dcterms:modified>
</cp:coreProperties>
</file>