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GIE\Documents\KULIAH\SKRIPSI\"/>
    </mc:Choice>
  </mc:AlternateContent>
  <xr:revisionPtr revIDLastSave="0" documentId="13_ncr:1_{F6DCA169-0890-46AF-88A2-D943CB1069C8}" xr6:coauthVersionLast="47" xr6:coauthVersionMax="47" xr10:uidLastSave="{00000000-0000-0000-0000-000000000000}"/>
  <bookViews>
    <workbookView xWindow="-120" yWindow="-120" windowWidth="20730" windowHeight="11040" firstSheet="2" activeTab="10" xr2:uid="{5BC22721-33E6-43D2-BC8A-0476B5D99A25}"/>
  </bookViews>
  <sheets>
    <sheet name="awalan" sheetId="1" r:id="rId1"/>
    <sheet name="hasil seleksi sampel" sheetId="2" r:id="rId2"/>
    <sheet name="1" sheetId="3" r:id="rId3"/>
    <sheet name="2" sheetId="4" r:id="rId4"/>
    <sheet name="3" sheetId="5" r:id="rId5"/>
    <sheet name="sampel" sheetId="6" r:id="rId6"/>
    <sheet name="ESG" sheetId="11" r:id="rId7"/>
    <sheet name="cash" sheetId="8" r:id="rId8"/>
    <sheet name="RR" sheetId="7" r:id="rId9"/>
    <sheet name="TOBINS" sheetId="10" r:id="rId10"/>
    <sheet name="UKURAN PERUSAHAAN" sheetId="9" r:id="rId1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2" l="1"/>
  <c r="I27" i="9"/>
  <c r="H27" i="9"/>
  <c r="G27" i="9"/>
  <c r="F27" i="9"/>
  <c r="E27" i="9"/>
  <c r="I24" i="9"/>
  <c r="H24" i="9"/>
  <c r="G24" i="9"/>
  <c r="F24" i="9"/>
  <c r="E24" i="9"/>
  <c r="I23" i="9"/>
  <c r="H23" i="9"/>
  <c r="G23" i="9"/>
  <c r="F23" i="9"/>
  <c r="E23" i="9"/>
  <c r="I16" i="9"/>
  <c r="H16" i="9"/>
  <c r="G16" i="9"/>
  <c r="F16" i="9"/>
  <c r="E16" i="9"/>
  <c r="I15" i="9"/>
  <c r="H15" i="9"/>
  <c r="G15" i="9"/>
  <c r="F15" i="9"/>
  <c r="E15" i="9"/>
  <c r="I14" i="9"/>
  <c r="H14" i="9"/>
  <c r="G14" i="9"/>
  <c r="F14" i="9"/>
  <c r="E14" i="9"/>
  <c r="I11" i="9"/>
  <c r="H11" i="9"/>
  <c r="G11" i="9"/>
  <c r="F11" i="9"/>
  <c r="E11" i="9"/>
  <c r="Y6" i="10"/>
  <c r="Z6" i="10"/>
  <c r="AA6" i="10"/>
  <c r="AB6" i="10"/>
  <c r="AC6" i="10"/>
  <c r="Y7" i="10"/>
  <c r="Z7" i="10"/>
  <c r="AA7" i="10"/>
  <c r="AB7" i="10"/>
  <c r="AC7" i="10"/>
  <c r="Y8" i="10"/>
  <c r="Z8" i="10"/>
  <c r="AA8" i="10"/>
  <c r="AB8" i="10"/>
  <c r="AC8" i="10"/>
  <c r="Y9" i="10"/>
  <c r="Z9" i="10"/>
  <c r="AA9" i="10"/>
  <c r="AB9" i="10"/>
  <c r="AC9" i="10"/>
  <c r="Y10" i="10"/>
  <c r="Z10" i="10"/>
  <c r="AA10" i="10"/>
  <c r="AB10" i="10"/>
  <c r="AC10" i="10"/>
  <c r="Y11" i="10"/>
  <c r="Z11" i="10"/>
  <c r="AA11" i="10"/>
  <c r="AB11" i="10"/>
  <c r="AC11" i="10"/>
  <c r="Y12" i="10"/>
  <c r="Z12" i="10"/>
  <c r="AA12" i="10"/>
  <c r="AB12" i="10"/>
  <c r="AC12" i="10"/>
  <c r="Y13" i="10"/>
  <c r="Z13" i="10"/>
  <c r="AA13" i="10"/>
  <c r="AB13" i="10"/>
  <c r="AC13" i="10"/>
  <c r="Y14" i="10"/>
  <c r="Z14" i="10"/>
  <c r="AA14" i="10"/>
  <c r="AB14" i="10"/>
  <c r="AC14" i="10"/>
  <c r="Y15" i="10"/>
  <c r="Z15" i="10"/>
  <c r="AA15" i="10"/>
  <c r="AB15" i="10"/>
  <c r="AC15" i="10"/>
  <c r="Y16" i="10"/>
  <c r="Z16" i="10"/>
  <c r="AA16" i="10"/>
  <c r="AB16" i="10"/>
  <c r="AC16" i="10"/>
  <c r="Y17" i="10"/>
  <c r="Z17" i="10"/>
  <c r="AA17" i="10"/>
  <c r="AB17" i="10"/>
  <c r="AC17" i="10"/>
  <c r="Y18" i="10"/>
  <c r="Z18" i="10"/>
  <c r="AA18" i="10"/>
  <c r="AB18" i="10"/>
  <c r="AC18" i="10"/>
  <c r="Y19" i="10"/>
  <c r="Z19" i="10"/>
  <c r="AA19" i="10"/>
  <c r="AB19" i="10"/>
  <c r="AC19" i="10"/>
  <c r="Y20" i="10"/>
  <c r="Z20" i="10"/>
  <c r="AA20" i="10"/>
  <c r="AB20" i="10"/>
  <c r="AC20" i="10"/>
  <c r="Y21" i="10"/>
  <c r="Z21" i="10"/>
  <c r="AA21" i="10"/>
  <c r="AB21" i="10"/>
  <c r="AC21" i="10"/>
  <c r="Y22" i="10"/>
  <c r="Z22" i="10"/>
  <c r="AA22" i="10"/>
  <c r="AB22" i="10"/>
  <c r="AC22" i="10"/>
  <c r="Y23" i="10"/>
  <c r="Z23" i="10"/>
  <c r="AA23" i="10"/>
  <c r="AB23" i="10"/>
  <c r="AC23" i="10"/>
  <c r="Y24" i="10"/>
  <c r="Z24" i="10"/>
  <c r="AA24" i="10"/>
  <c r="AB24" i="10"/>
  <c r="AC24" i="10"/>
  <c r="Y25" i="10"/>
  <c r="Z25" i="10"/>
  <c r="AA25" i="10"/>
  <c r="AB25" i="10"/>
  <c r="AC25" i="10"/>
  <c r="Y26" i="10"/>
  <c r="Z26" i="10"/>
  <c r="AA26" i="10"/>
  <c r="AB26" i="10"/>
  <c r="AC26" i="10"/>
  <c r="Y27" i="10"/>
  <c r="Z27" i="10"/>
  <c r="AA27" i="10"/>
  <c r="AB27" i="10"/>
  <c r="AC27" i="10"/>
  <c r="Y28" i="10"/>
  <c r="Z28" i="10"/>
  <c r="AA28" i="10"/>
  <c r="AB28" i="10"/>
  <c r="AC28" i="10"/>
  <c r="Y29" i="10"/>
  <c r="Z29" i="10"/>
  <c r="AA29" i="10"/>
  <c r="AB29" i="10"/>
  <c r="AC29" i="10"/>
  <c r="Y30" i="10"/>
  <c r="Z30" i="10"/>
  <c r="AA30" i="10"/>
  <c r="AB30" i="10"/>
  <c r="AC30" i="10"/>
  <c r="Y31" i="10"/>
  <c r="Z31" i="10"/>
  <c r="AA31" i="10"/>
  <c r="AB31" i="10"/>
  <c r="AC31" i="10"/>
  <c r="Y32" i="10"/>
  <c r="Z32" i="10"/>
  <c r="AA32" i="10"/>
  <c r="AB32" i="10"/>
  <c r="AC32" i="10"/>
  <c r="Y33" i="10"/>
  <c r="Z33" i="10"/>
  <c r="AA33" i="10"/>
  <c r="AB33" i="10"/>
  <c r="AC33" i="10"/>
  <c r="Y34" i="10"/>
  <c r="Z34" i="10"/>
  <c r="AA34" i="10"/>
  <c r="AB34" i="10"/>
  <c r="AC34" i="10"/>
  <c r="Y35" i="10"/>
  <c r="Z35" i="10"/>
  <c r="AA35" i="10"/>
  <c r="AB35" i="10"/>
  <c r="AC35" i="10"/>
  <c r="Y36" i="10"/>
  <c r="Z36" i="10"/>
  <c r="AA36" i="10"/>
  <c r="AB36" i="10"/>
  <c r="AC36" i="10"/>
  <c r="Y37" i="10"/>
  <c r="Z37" i="10"/>
  <c r="AA37" i="10"/>
  <c r="AB37" i="10"/>
  <c r="AC37" i="10"/>
  <c r="Y38" i="10"/>
  <c r="Z38" i="10"/>
  <c r="AA38" i="10"/>
  <c r="AB38" i="10"/>
  <c r="AC38" i="10"/>
  <c r="Y39" i="10"/>
  <c r="Z39" i="10"/>
  <c r="AA39" i="10"/>
  <c r="AB39" i="10"/>
  <c r="AC39" i="10"/>
  <c r="Y40" i="10"/>
  <c r="Z40" i="10"/>
  <c r="AA40" i="10"/>
  <c r="AB40" i="10"/>
  <c r="AC40" i="10"/>
  <c r="Y41" i="10"/>
  <c r="Z41" i="10"/>
  <c r="AA41" i="10"/>
  <c r="AB41" i="10"/>
  <c r="AC41" i="10"/>
  <c r="Y42" i="10"/>
  <c r="Z42" i="10"/>
  <c r="AA42" i="10"/>
  <c r="AB42" i="10"/>
  <c r="AC42" i="10"/>
  <c r="Y43" i="10"/>
  <c r="Z43" i="10"/>
  <c r="AA43" i="10"/>
  <c r="AB43" i="10"/>
  <c r="AC43" i="10"/>
  <c r="Y44" i="10"/>
  <c r="Z44" i="10"/>
  <c r="AA44" i="10"/>
  <c r="AB44" i="10"/>
  <c r="AC44" i="10"/>
  <c r="Y45" i="10"/>
  <c r="Z45" i="10"/>
  <c r="AA45" i="10"/>
  <c r="AB45" i="10"/>
  <c r="AC45" i="10"/>
  <c r="Y46" i="10"/>
  <c r="Z46" i="10"/>
  <c r="AA46" i="10"/>
  <c r="AB46" i="10"/>
  <c r="AC46" i="10"/>
  <c r="Y47" i="10"/>
  <c r="Z47" i="10"/>
  <c r="AA47" i="10"/>
  <c r="AB47" i="10"/>
  <c r="AC47" i="10"/>
  <c r="Y48" i="10"/>
  <c r="Z48" i="10"/>
  <c r="AA48" i="10"/>
  <c r="AB48" i="10"/>
  <c r="AC48" i="10"/>
  <c r="Y49" i="10"/>
  <c r="Z49" i="10"/>
  <c r="AA49" i="10"/>
  <c r="AB49" i="10"/>
  <c r="AC49" i="10"/>
  <c r="Y50" i="10"/>
  <c r="Z50" i="10"/>
  <c r="AA50" i="10"/>
  <c r="AB50" i="10"/>
  <c r="AC50" i="10"/>
  <c r="Y51" i="10"/>
  <c r="Z51" i="10"/>
  <c r="AA51" i="10"/>
  <c r="AB51" i="10"/>
  <c r="AC51" i="10"/>
  <c r="Y52" i="10"/>
  <c r="Z52" i="10"/>
  <c r="AA52" i="10"/>
  <c r="AB52" i="10"/>
  <c r="AC52" i="10"/>
  <c r="Y53" i="10"/>
  <c r="Z53" i="10"/>
  <c r="AA53" i="10"/>
  <c r="AB53" i="10"/>
  <c r="AC53" i="10"/>
  <c r="Z5" i="10"/>
  <c r="AA5" i="10"/>
  <c r="AB5" i="10"/>
  <c r="AC5" i="10"/>
  <c r="Y5" i="10"/>
  <c r="X27" i="10"/>
  <c r="X24" i="10"/>
  <c r="X23" i="10"/>
  <c r="X11" i="10"/>
  <c r="W27" i="10"/>
  <c r="W24" i="10"/>
  <c r="W23" i="10"/>
  <c r="W11" i="10"/>
  <c r="V27" i="10"/>
  <c r="V24" i="10"/>
  <c r="V23" i="10"/>
  <c r="V11" i="10"/>
  <c r="U27" i="10"/>
  <c r="U24" i="10"/>
  <c r="U23" i="10"/>
  <c r="U11" i="10"/>
  <c r="T27" i="10"/>
  <c r="T24" i="10"/>
  <c r="T23" i="10"/>
  <c r="T11" i="10"/>
  <c r="S11" i="10"/>
  <c r="R11" i="10"/>
  <c r="Q11" i="10"/>
  <c r="P11" i="10"/>
  <c r="O11" i="10"/>
  <c r="T16" i="10"/>
  <c r="T15" i="10"/>
  <c r="T14" i="10"/>
  <c r="U16" i="10"/>
  <c r="U15" i="10"/>
  <c r="V16" i="10"/>
  <c r="V15" i="10"/>
  <c r="W16" i="10"/>
  <c r="W15" i="10"/>
  <c r="X16" i="10"/>
  <c r="X15" i="10"/>
  <c r="X14" i="10"/>
  <c r="W14" i="10"/>
  <c r="V14" i="10"/>
  <c r="O15" i="10"/>
  <c r="Q14" i="10"/>
  <c r="U14" i="10"/>
  <c r="P14" i="10"/>
  <c r="O14" i="10"/>
  <c r="R14" i="10"/>
  <c r="S14" i="10"/>
  <c r="S27" i="10"/>
  <c r="R27" i="10"/>
  <c r="Q27" i="10"/>
  <c r="P27" i="10"/>
  <c r="O27" i="10"/>
  <c r="S24" i="10"/>
  <c r="R24" i="10"/>
  <c r="Q24" i="10"/>
  <c r="P24" i="10"/>
  <c r="O24" i="10"/>
  <c r="P23" i="10"/>
  <c r="O23" i="10"/>
  <c r="P16" i="10"/>
  <c r="O16" i="10"/>
  <c r="P15" i="10"/>
  <c r="J6" i="9" l="1"/>
  <c r="K6" i="9"/>
  <c r="L6" i="9"/>
  <c r="M6" i="9"/>
  <c r="N6" i="9"/>
  <c r="J7" i="9"/>
  <c r="K7" i="9"/>
  <c r="L7" i="9"/>
  <c r="M7" i="9"/>
  <c r="N7" i="9"/>
  <c r="J8" i="9"/>
  <c r="K8" i="9"/>
  <c r="L8" i="9"/>
  <c r="M8" i="9"/>
  <c r="N8" i="9"/>
  <c r="J9" i="9"/>
  <c r="K9" i="9"/>
  <c r="L9" i="9"/>
  <c r="M9" i="9"/>
  <c r="N9" i="9"/>
  <c r="J10" i="9"/>
  <c r="K10" i="9"/>
  <c r="L10" i="9"/>
  <c r="M10" i="9"/>
  <c r="N10" i="9"/>
  <c r="J11" i="9"/>
  <c r="K11" i="9"/>
  <c r="L11" i="9"/>
  <c r="M11" i="9"/>
  <c r="N11" i="9"/>
  <c r="J12" i="9"/>
  <c r="K12" i="9"/>
  <c r="L12" i="9"/>
  <c r="M12" i="9"/>
  <c r="N12" i="9"/>
  <c r="J13" i="9"/>
  <c r="K13" i="9"/>
  <c r="L13" i="9"/>
  <c r="M13" i="9"/>
  <c r="N13" i="9"/>
  <c r="J14" i="9"/>
  <c r="K14" i="9"/>
  <c r="L14" i="9"/>
  <c r="M14" i="9"/>
  <c r="N14" i="9"/>
  <c r="J15" i="9"/>
  <c r="K15" i="9"/>
  <c r="L15" i="9"/>
  <c r="M15" i="9"/>
  <c r="N15" i="9"/>
  <c r="J16" i="9"/>
  <c r="K16" i="9"/>
  <c r="L16" i="9"/>
  <c r="M16" i="9"/>
  <c r="N16" i="9"/>
  <c r="J17" i="9"/>
  <c r="K17" i="9"/>
  <c r="L17" i="9"/>
  <c r="M17" i="9"/>
  <c r="N17" i="9"/>
  <c r="J18" i="9"/>
  <c r="K18" i="9"/>
  <c r="L18" i="9"/>
  <c r="M18" i="9"/>
  <c r="N18" i="9"/>
  <c r="J19" i="9"/>
  <c r="K19" i="9"/>
  <c r="L19" i="9"/>
  <c r="M19" i="9"/>
  <c r="N19" i="9"/>
  <c r="J20" i="9"/>
  <c r="K20" i="9"/>
  <c r="L20" i="9"/>
  <c r="M20" i="9"/>
  <c r="N20" i="9"/>
  <c r="J21" i="9"/>
  <c r="K21" i="9"/>
  <c r="L21" i="9"/>
  <c r="M21" i="9"/>
  <c r="N21" i="9"/>
  <c r="J22" i="9"/>
  <c r="K22" i="9"/>
  <c r="L22" i="9"/>
  <c r="M22" i="9"/>
  <c r="N22" i="9"/>
  <c r="J23" i="9"/>
  <c r="K23" i="9"/>
  <c r="L23" i="9"/>
  <c r="M23" i="9"/>
  <c r="N23" i="9"/>
  <c r="J24" i="9"/>
  <c r="K24" i="9"/>
  <c r="L24" i="9"/>
  <c r="M24" i="9"/>
  <c r="N24" i="9"/>
  <c r="J25" i="9"/>
  <c r="K25" i="9"/>
  <c r="L25" i="9"/>
  <c r="M25" i="9"/>
  <c r="N25" i="9"/>
  <c r="J26" i="9"/>
  <c r="K26" i="9"/>
  <c r="L26" i="9"/>
  <c r="M26" i="9"/>
  <c r="N26" i="9"/>
  <c r="J27" i="9"/>
  <c r="K27" i="9"/>
  <c r="L27" i="9"/>
  <c r="M27" i="9"/>
  <c r="N27" i="9"/>
  <c r="J28" i="9"/>
  <c r="K28" i="9"/>
  <c r="L28" i="9"/>
  <c r="M28" i="9"/>
  <c r="N28" i="9"/>
  <c r="J29" i="9"/>
  <c r="K29" i="9"/>
  <c r="L29" i="9"/>
  <c r="M29" i="9"/>
  <c r="N29" i="9"/>
  <c r="J30" i="9"/>
  <c r="K30" i="9"/>
  <c r="L30" i="9"/>
  <c r="M30" i="9"/>
  <c r="N30" i="9"/>
  <c r="J31" i="9"/>
  <c r="K31" i="9"/>
  <c r="L31" i="9"/>
  <c r="M31" i="9"/>
  <c r="N31" i="9"/>
  <c r="J32" i="9"/>
  <c r="K32" i="9"/>
  <c r="L32" i="9"/>
  <c r="M32" i="9"/>
  <c r="N32" i="9"/>
  <c r="J33" i="9"/>
  <c r="K33" i="9"/>
  <c r="L33" i="9"/>
  <c r="M33" i="9"/>
  <c r="N33" i="9"/>
  <c r="J34" i="9"/>
  <c r="K34" i="9"/>
  <c r="L34" i="9"/>
  <c r="M34" i="9"/>
  <c r="N34" i="9"/>
  <c r="J35" i="9"/>
  <c r="K35" i="9"/>
  <c r="L35" i="9"/>
  <c r="M35" i="9"/>
  <c r="N35" i="9"/>
  <c r="J36" i="9"/>
  <c r="K36" i="9"/>
  <c r="L36" i="9"/>
  <c r="M36" i="9"/>
  <c r="N36" i="9"/>
  <c r="J37" i="9"/>
  <c r="K37" i="9"/>
  <c r="L37" i="9"/>
  <c r="M37" i="9"/>
  <c r="N37" i="9"/>
  <c r="J38" i="9"/>
  <c r="K38" i="9"/>
  <c r="L38" i="9"/>
  <c r="M38" i="9"/>
  <c r="N38" i="9"/>
  <c r="J39" i="9"/>
  <c r="K39" i="9"/>
  <c r="L39" i="9"/>
  <c r="M39" i="9"/>
  <c r="N39" i="9"/>
  <c r="J40" i="9"/>
  <c r="K40" i="9"/>
  <c r="L40" i="9"/>
  <c r="M40" i="9"/>
  <c r="N40" i="9"/>
  <c r="J41" i="9"/>
  <c r="K41" i="9"/>
  <c r="L41" i="9"/>
  <c r="M41" i="9"/>
  <c r="N41" i="9"/>
  <c r="J42" i="9"/>
  <c r="K42" i="9"/>
  <c r="L42" i="9"/>
  <c r="M42" i="9"/>
  <c r="N42" i="9"/>
  <c r="J43" i="9"/>
  <c r="K43" i="9"/>
  <c r="L43" i="9"/>
  <c r="M43" i="9"/>
  <c r="N43" i="9"/>
  <c r="J44" i="9"/>
  <c r="K44" i="9"/>
  <c r="L44" i="9"/>
  <c r="M44" i="9"/>
  <c r="N44" i="9"/>
  <c r="J45" i="9"/>
  <c r="K45" i="9"/>
  <c r="L45" i="9"/>
  <c r="M45" i="9"/>
  <c r="N45" i="9"/>
  <c r="J46" i="9"/>
  <c r="K46" i="9"/>
  <c r="L46" i="9"/>
  <c r="M46" i="9"/>
  <c r="N46" i="9"/>
  <c r="J47" i="9"/>
  <c r="K47" i="9"/>
  <c r="L47" i="9"/>
  <c r="M47" i="9"/>
  <c r="N47" i="9"/>
  <c r="J48" i="9"/>
  <c r="K48" i="9"/>
  <c r="L48" i="9"/>
  <c r="M48" i="9"/>
  <c r="N48" i="9"/>
  <c r="J49" i="9"/>
  <c r="K49" i="9"/>
  <c r="L49" i="9"/>
  <c r="M49" i="9"/>
  <c r="N49" i="9"/>
  <c r="J50" i="9"/>
  <c r="K50" i="9"/>
  <c r="L50" i="9"/>
  <c r="M50" i="9"/>
  <c r="N50" i="9"/>
  <c r="J51" i="9"/>
  <c r="K51" i="9"/>
  <c r="L51" i="9"/>
  <c r="M51" i="9"/>
  <c r="N51" i="9"/>
  <c r="J52" i="9"/>
  <c r="K52" i="9"/>
  <c r="L52" i="9"/>
  <c r="M52" i="9"/>
  <c r="N52" i="9"/>
  <c r="J53" i="9"/>
  <c r="K53" i="9"/>
  <c r="L53" i="9"/>
  <c r="M53" i="9"/>
  <c r="N53" i="9"/>
  <c r="K5" i="9"/>
  <c r="L5" i="9"/>
  <c r="M5" i="9"/>
  <c r="N5" i="9"/>
  <c r="J5" i="9"/>
  <c r="S53" i="8" l="1"/>
  <c r="R53" i="8"/>
  <c r="Q53" i="8"/>
  <c r="P53" i="8"/>
  <c r="O53" i="8"/>
  <c r="S52" i="8"/>
  <c r="R52" i="8"/>
  <c r="Q52" i="8"/>
  <c r="P52" i="8"/>
  <c r="O52" i="8"/>
  <c r="S51" i="8"/>
  <c r="R51" i="8"/>
  <c r="Q51" i="8"/>
  <c r="P51" i="8"/>
  <c r="O51" i="8"/>
  <c r="S50" i="8"/>
  <c r="R50" i="8"/>
  <c r="Q50" i="8"/>
  <c r="P50" i="8"/>
  <c r="O50" i="8"/>
  <c r="S49" i="8"/>
  <c r="R49" i="8"/>
  <c r="Q49" i="8"/>
  <c r="P49" i="8"/>
  <c r="O49" i="8"/>
  <c r="S48" i="8"/>
  <c r="R48" i="8"/>
  <c r="Q48" i="8"/>
  <c r="P48" i="8"/>
  <c r="O48" i="8"/>
  <c r="S47" i="8"/>
  <c r="R47" i="8"/>
  <c r="Q47" i="8"/>
  <c r="P47" i="8"/>
  <c r="O47" i="8"/>
  <c r="S46" i="8"/>
  <c r="R46" i="8"/>
  <c r="Q46" i="8"/>
  <c r="P46" i="8"/>
  <c r="O46" i="8"/>
  <c r="S45" i="8"/>
  <c r="R45" i="8"/>
  <c r="Q45" i="8"/>
  <c r="P45" i="8"/>
  <c r="O45" i="8"/>
  <c r="S44" i="8"/>
  <c r="R44" i="8"/>
  <c r="Q44" i="8"/>
  <c r="P44" i="8"/>
  <c r="O44" i="8"/>
  <c r="S43" i="8"/>
  <c r="R43" i="8"/>
  <c r="Q43" i="8"/>
  <c r="P43" i="8"/>
  <c r="O43" i="8"/>
  <c r="S42" i="8"/>
  <c r="R42" i="8"/>
  <c r="Q42" i="8"/>
  <c r="P42" i="8"/>
  <c r="O42" i="8"/>
  <c r="Q41" i="8"/>
  <c r="P41" i="8"/>
  <c r="S41" i="8"/>
  <c r="R41" i="8"/>
  <c r="O41" i="8"/>
  <c r="S40" i="8"/>
  <c r="R40" i="8"/>
  <c r="Q40" i="8"/>
  <c r="P40" i="8"/>
  <c r="O40" i="8"/>
  <c r="S39" i="8"/>
  <c r="R39" i="8"/>
  <c r="Q39" i="8"/>
  <c r="P39" i="8"/>
  <c r="O39" i="8"/>
  <c r="S38" i="8"/>
  <c r="R38" i="8"/>
  <c r="Q38" i="8"/>
  <c r="P38" i="8"/>
  <c r="O38" i="8"/>
  <c r="S37" i="8"/>
  <c r="R37" i="8"/>
  <c r="Q37" i="8"/>
  <c r="P37" i="8"/>
  <c r="O37" i="8"/>
  <c r="S36" i="8"/>
  <c r="R36" i="8"/>
  <c r="Q36" i="8"/>
  <c r="P36" i="8"/>
  <c r="O36" i="8"/>
  <c r="S35" i="8"/>
  <c r="R35" i="8"/>
  <c r="Q35" i="8"/>
  <c r="P35" i="8"/>
  <c r="O35" i="8"/>
  <c r="S34" i="8"/>
  <c r="R34" i="8"/>
  <c r="Q34" i="8"/>
  <c r="P34" i="8"/>
  <c r="O34" i="8"/>
  <c r="S33" i="8"/>
  <c r="R33" i="8"/>
  <c r="Q33" i="8"/>
  <c r="P33" i="8"/>
  <c r="O33" i="8"/>
  <c r="S32" i="8"/>
  <c r="R32" i="8"/>
  <c r="Q32" i="8"/>
  <c r="P32" i="8"/>
  <c r="O32" i="8"/>
  <c r="S31" i="8"/>
  <c r="R31" i="8"/>
  <c r="Q31" i="8"/>
  <c r="P31" i="8"/>
  <c r="O31" i="8"/>
  <c r="S30" i="8"/>
  <c r="R30" i="8"/>
  <c r="Q30" i="8"/>
  <c r="P30" i="8"/>
  <c r="O30" i="8"/>
  <c r="S29" i="8"/>
  <c r="R29" i="8"/>
  <c r="Q29" i="8"/>
  <c r="P29" i="8"/>
  <c r="O29" i="8"/>
  <c r="S28" i="8"/>
  <c r="R28" i="8"/>
  <c r="Q28" i="8"/>
  <c r="P28" i="8"/>
  <c r="O28" i="8"/>
  <c r="S27" i="8"/>
  <c r="R27" i="8"/>
  <c r="Q27" i="8"/>
  <c r="P27" i="8"/>
  <c r="O27" i="8"/>
  <c r="Q26" i="8"/>
  <c r="P26" i="8"/>
  <c r="O26" i="8"/>
  <c r="S26" i="8"/>
  <c r="R26" i="8"/>
  <c r="S25" i="8"/>
  <c r="R25" i="8"/>
  <c r="Q25" i="8"/>
  <c r="P25" i="8"/>
  <c r="O25" i="8"/>
  <c r="S24" i="8"/>
  <c r="R24" i="8"/>
  <c r="Q24" i="8"/>
  <c r="P24" i="8"/>
  <c r="O24" i="8"/>
  <c r="S23" i="8"/>
  <c r="R23" i="8"/>
  <c r="Q23" i="8"/>
  <c r="P23" i="8"/>
  <c r="O23" i="8"/>
  <c r="S22" i="8"/>
  <c r="R22" i="8"/>
  <c r="Q22" i="8"/>
  <c r="P22" i="8"/>
  <c r="O22" i="8"/>
  <c r="S21" i="8"/>
  <c r="R21" i="8"/>
  <c r="Q21" i="8"/>
  <c r="P21" i="8"/>
  <c r="O21" i="8"/>
  <c r="S20" i="8"/>
  <c r="R20" i="8"/>
  <c r="Q20" i="8"/>
  <c r="P20" i="8"/>
  <c r="O20" i="8"/>
  <c r="S19" i="8"/>
  <c r="R19" i="8"/>
  <c r="Q19" i="8"/>
  <c r="P19" i="8"/>
  <c r="O19" i="8"/>
  <c r="S18" i="8"/>
  <c r="R18" i="8"/>
  <c r="Q18" i="8"/>
  <c r="P18" i="8"/>
  <c r="O18" i="8"/>
  <c r="S17" i="8"/>
  <c r="R17" i="8"/>
  <c r="Q17" i="8"/>
  <c r="P17" i="8"/>
  <c r="O17" i="8"/>
  <c r="S16" i="8"/>
  <c r="R16" i="8"/>
  <c r="Q16" i="8"/>
  <c r="P16" i="8"/>
  <c r="O16" i="8"/>
  <c r="S15" i="8"/>
  <c r="R15" i="8"/>
  <c r="Q15" i="8"/>
  <c r="P15" i="8"/>
  <c r="O15" i="8"/>
  <c r="S14" i="8"/>
  <c r="R14" i="8"/>
  <c r="Q14" i="8"/>
  <c r="P14" i="8"/>
  <c r="O14" i="8"/>
  <c r="S13" i="8"/>
  <c r="R13" i="8"/>
  <c r="Q13" i="8"/>
  <c r="P13" i="8"/>
  <c r="O13" i="8"/>
  <c r="S12" i="8"/>
  <c r="R12" i="8"/>
  <c r="Q12" i="8"/>
  <c r="P12" i="8"/>
  <c r="O12" i="8"/>
  <c r="R11" i="8"/>
  <c r="Q11" i="8"/>
  <c r="P11" i="8"/>
  <c r="O11" i="8"/>
  <c r="S11" i="8"/>
  <c r="Q10" i="8"/>
  <c r="P10" i="8"/>
  <c r="S10" i="8"/>
  <c r="R10" i="8"/>
  <c r="O10" i="8"/>
  <c r="S9" i="8"/>
  <c r="R9" i="8"/>
  <c r="Q9" i="8"/>
  <c r="P9" i="8"/>
  <c r="O9" i="8"/>
  <c r="S8" i="8"/>
  <c r="R8" i="8"/>
  <c r="Q8" i="8"/>
  <c r="P8" i="8"/>
  <c r="O8" i="8"/>
  <c r="S7" i="8"/>
  <c r="R7" i="8"/>
  <c r="Q7" i="8"/>
  <c r="P7" i="8"/>
  <c r="O7" i="8"/>
  <c r="S6" i="8"/>
  <c r="R6" i="8"/>
  <c r="Q6" i="8"/>
  <c r="P6" i="8"/>
  <c r="O6" i="8"/>
  <c r="S5" i="8"/>
  <c r="R5" i="8"/>
  <c r="Q5" i="8"/>
  <c r="P5" i="8"/>
  <c r="O5" i="8"/>
  <c r="AN6" i="7"/>
  <c r="AO6" i="7"/>
  <c r="AP6" i="7"/>
  <c r="AQ6" i="7"/>
  <c r="AR6" i="7"/>
  <c r="AN7" i="7"/>
  <c r="AO7" i="7"/>
  <c r="AP7" i="7"/>
  <c r="AQ7" i="7"/>
  <c r="AR7" i="7"/>
  <c r="AN8" i="7"/>
  <c r="AO8" i="7"/>
  <c r="AP8" i="7"/>
  <c r="AQ8" i="7"/>
  <c r="AR8" i="7"/>
  <c r="AN9" i="7"/>
  <c r="AO9" i="7"/>
  <c r="AP9" i="7"/>
  <c r="AQ9" i="7"/>
  <c r="AR9" i="7"/>
  <c r="AN10" i="7"/>
  <c r="AO10" i="7"/>
  <c r="AP10" i="7"/>
  <c r="AQ10" i="7"/>
  <c r="AR10" i="7"/>
  <c r="AN11" i="7"/>
  <c r="AO11" i="7"/>
  <c r="AP11" i="7"/>
  <c r="AQ11" i="7"/>
  <c r="AR11" i="7"/>
  <c r="AN12" i="7"/>
  <c r="AO12" i="7"/>
  <c r="AP12" i="7"/>
  <c r="AQ12" i="7"/>
  <c r="AR12" i="7"/>
  <c r="AN13" i="7"/>
  <c r="AO13" i="7"/>
  <c r="AP13" i="7"/>
  <c r="AQ13" i="7"/>
  <c r="AR13" i="7"/>
  <c r="AN14" i="7"/>
  <c r="AO14" i="7"/>
  <c r="AP14" i="7"/>
  <c r="AQ14" i="7"/>
  <c r="AR14" i="7"/>
  <c r="AN15" i="7"/>
  <c r="AO15" i="7"/>
  <c r="AP15" i="7"/>
  <c r="AQ15" i="7"/>
  <c r="AR15" i="7"/>
  <c r="AN16" i="7"/>
  <c r="AO16" i="7"/>
  <c r="AP16" i="7"/>
  <c r="AQ16" i="7"/>
  <c r="AR16" i="7"/>
  <c r="AN17" i="7"/>
  <c r="AO17" i="7"/>
  <c r="AP17" i="7"/>
  <c r="AQ17" i="7"/>
  <c r="AR17" i="7"/>
  <c r="AN18" i="7"/>
  <c r="AO18" i="7"/>
  <c r="AP18" i="7"/>
  <c r="AQ18" i="7"/>
  <c r="AR18" i="7"/>
  <c r="AN19" i="7"/>
  <c r="AO19" i="7"/>
  <c r="AP19" i="7"/>
  <c r="AQ19" i="7"/>
  <c r="AR19" i="7"/>
  <c r="AN20" i="7"/>
  <c r="AO20" i="7"/>
  <c r="AP20" i="7"/>
  <c r="AQ20" i="7"/>
  <c r="AR20" i="7"/>
  <c r="AN21" i="7"/>
  <c r="AO21" i="7"/>
  <c r="AP21" i="7"/>
  <c r="AQ21" i="7"/>
  <c r="AR21" i="7"/>
  <c r="AN22" i="7"/>
  <c r="AO22" i="7"/>
  <c r="AP22" i="7"/>
  <c r="AQ22" i="7"/>
  <c r="AR22" i="7"/>
  <c r="AN23" i="7"/>
  <c r="AO23" i="7"/>
  <c r="AP23" i="7"/>
  <c r="AQ23" i="7"/>
  <c r="AR23" i="7"/>
  <c r="AN24" i="7"/>
  <c r="AO24" i="7"/>
  <c r="AP24" i="7"/>
  <c r="AQ24" i="7"/>
  <c r="AR24" i="7"/>
  <c r="AN25" i="7"/>
  <c r="AO25" i="7"/>
  <c r="AP25" i="7"/>
  <c r="AQ25" i="7"/>
  <c r="AR25" i="7"/>
  <c r="AN26" i="7"/>
  <c r="AO26" i="7"/>
  <c r="AP26" i="7"/>
  <c r="AQ26" i="7"/>
  <c r="AR26" i="7"/>
  <c r="AN27" i="7"/>
  <c r="AO27" i="7"/>
  <c r="AP27" i="7"/>
  <c r="AQ27" i="7"/>
  <c r="AR27" i="7"/>
  <c r="AN28" i="7"/>
  <c r="AO28" i="7"/>
  <c r="AP28" i="7"/>
  <c r="AQ28" i="7"/>
  <c r="AR28" i="7"/>
  <c r="AN29" i="7"/>
  <c r="AO29" i="7"/>
  <c r="AP29" i="7"/>
  <c r="AQ29" i="7"/>
  <c r="AR29" i="7"/>
  <c r="AN30" i="7"/>
  <c r="AO30" i="7"/>
  <c r="AP30" i="7"/>
  <c r="AQ30" i="7"/>
  <c r="AR30" i="7"/>
  <c r="AN31" i="7"/>
  <c r="AO31" i="7"/>
  <c r="AP31" i="7"/>
  <c r="AQ31" i="7"/>
  <c r="AR31" i="7"/>
  <c r="AN32" i="7"/>
  <c r="AO32" i="7"/>
  <c r="AP32" i="7"/>
  <c r="AQ32" i="7"/>
  <c r="AR32" i="7"/>
  <c r="AN33" i="7"/>
  <c r="AO33" i="7"/>
  <c r="AP33" i="7"/>
  <c r="AQ33" i="7"/>
  <c r="AR33" i="7"/>
  <c r="AN34" i="7"/>
  <c r="AO34" i="7"/>
  <c r="AP34" i="7"/>
  <c r="AQ34" i="7"/>
  <c r="AR34" i="7"/>
  <c r="AN35" i="7"/>
  <c r="AO35" i="7"/>
  <c r="AP35" i="7"/>
  <c r="AQ35" i="7"/>
  <c r="AR35" i="7"/>
  <c r="AN36" i="7"/>
  <c r="AO36" i="7"/>
  <c r="AP36" i="7"/>
  <c r="AQ36" i="7"/>
  <c r="AR36" i="7"/>
  <c r="AN37" i="7"/>
  <c r="AO37" i="7"/>
  <c r="AP37" i="7"/>
  <c r="AQ37" i="7"/>
  <c r="AR37" i="7"/>
  <c r="AN38" i="7"/>
  <c r="AO38" i="7"/>
  <c r="AP38" i="7"/>
  <c r="AQ38" i="7"/>
  <c r="AR38" i="7"/>
  <c r="AN39" i="7"/>
  <c r="AO39" i="7"/>
  <c r="AP39" i="7"/>
  <c r="AQ39" i="7"/>
  <c r="AR39" i="7"/>
  <c r="AN40" i="7"/>
  <c r="AO40" i="7"/>
  <c r="AP40" i="7"/>
  <c r="AQ40" i="7"/>
  <c r="AR40" i="7"/>
  <c r="AN41" i="7"/>
  <c r="AO41" i="7"/>
  <c r="AP41" i="7"/>
  <c r="AQ41" i="7"/>
  <c r="AR41" i="7"/>
  <c r="AN42" i="7"/>
  <c r="AO42" i="7"/>
  <c r="AP42" i="7"/>
  <c r="AQ42" i="7"/>
  <c r="AR42" i="7"/>
  <c r="AN43" i="7"/>
  <c r="AO43" i="7"/>
  <c r="AP43" i="7"/>
  <c r="AQ43" i="7"/>
  <c r="AR43" i="7"/>
  <c r="AN44" i="7"/>
  <c r="AO44" i="7"/>
  <c r="AP44" i="7"/>
  <c r="AQ44" i="7"/>
  <c r="AR44" i="7"/>
  <c r="AN45" i="7"/>
  <c r="AO45" i="7"/>
  <c r="AP45" i="7"/>
  <c r="AQ45" i="7"/>
  <c r="AR45" i="7"/>
  <c r="AN46" i="7"/>
  <c r="AO46" i="7"/>
  <c r="AP46" i="7"/>
  <c r="AQ46" i="7"/>
  <c r="AR46" i="7"/>
  <c r="AN47" i="7"/>
  <c r="AO47" i="7"/>
  <c r="AP47" i="7"/>
  <c r="AQ47" i="7"/>
  <c r="AR47" i="7"/>
  <c r="AN48" i="7"/>
  <c r="AO48" i="7"/>
  <c r="AP48" i="7"/>
  <c r="AQ48" i="7"/>
  <c r="AR48" i="7"/>
  <c r="AN49" i="7"/>
  <c r="AO49" i="7"/>
  <c r="AP49" i="7"/>
  <c r="AQ49" i="7"/>
  <c r="AR49" i="7"/>
  <c r="AN50" i="7"/>
  <c r="AO50" i="7"/>
  <c r="AP50" i="7"/>
  <c r="AQ50" i="7"/>
  <c r="AR50" i="7"/>
  <c r="AN51" i="7"/>
  <c r="AO51" i="7"/>
  <c r="AP51" i="7"/>
  <c r="AQ51" i="7"/>
  <c r="AR51" i="7"/>
  <c r="AN52" i="7"/>
  <c r="AO52" i="7"/>
  <c r="AP52" i="7"/>
  <c r="AQ52" i="7"/>
  <c r="AR52" i="7"/>
  <c r="AN53" i="7"/>
  <c r="AO53" i="7"/>
  <c r="AP53" i="7"/>
  <c r="AQ53" i="7"/>
  <c r="AR53" i="7"/>
  <c r="AO5" i="7"/>
  <c r="AP5" i="7"/>
  <c r="AQ5" i="7"/>
  <c r="AR5" i="7"/>
  <c r="AN5" i="7"/>
  <c r="AI6" i="7"/>
  <c r="AJ6" i="7"/>
  <c r="AK6" i="7"/>
  <c r="AL6" i="7"/>
  <c r="AM6" i="7"/>
  <c r="AI7" i="7"/>
  <c r="AJ7" i="7"/>
  <c r="AK7" i="7"/>
  <c r="AL7" i="7"/>
  <c r="AM7" i="7"/>
  <c r="AI8" i="7"/>
  <c r="AJ8" i="7"/>
  <c r="AK8" i="7"/>
  <c r="AL8" i="7"/>
  <c r="AM8" i="7"/>
  <c r="AI9" i="7"/>
  <c r="AJ9" i="7"/>
  <c r="AK9" i="7"/>
  <c r="AL9" i="7"/>
  <c r="AM9" i="7"/>
  <c r="AI10" i="7"/>
  <c r="AJ10" i="7"/>
  <c r="AK10" i="7"/>
  <c r="AL10" i="7"/>
  <c r="AM10" i="7"/>
  <c r="AI11" i="7"/>
  <c r="AJ11" i="7"/>
  <c r="AK11" i="7"/>
  <c r="AL11" i="7"/>
  <c r="AM11" i="7"/>
  <c r="AI12" i="7"/>
  <c r="AJ12" i="7"/>
  <c r="AK12" i="7"/>
  <c r="AL12" i="7"/>
  <c r="AM12" i="7"/>
  <c r="AI13" i="7"/>
  <c r="AJ13" i="7"/>
  <c r="AK13" i="7"/>
  <c r="AL13" i="7"/>
  <c r="AM13" i="7"/>
  <c r="AI14" i="7"/>
  <c r="AJ14" i="7"/>
  <c r="AK14" i="7"/>
  <c r="AL14" i="7"/>
  <c r="AM14" i="7"/>
  <c r="AI15" i="7"/>
  <c r="AJ15" i="7"/>
  <c r="AK15" i="7"/>
  <c r="AL15" i="7"/>
  <c r="AM15" i="7"/>
  <c r="AI16" i="7"/>
  <c r="AJ16" i="7"/>
  <c r="AK16" i="7"/>
  <c r="AL16" i="7"/>
  <c r="AM16" i="7"/>
  <c r="AI17" i="7"/>
  <c r="AJ17" i="7"/>
  <c r="AK17" i="7"/>
  <c r="AL17" i="7"/>
  <c r="AM17" i="7"/>
  <c r="AI18" i="7"/>
  <c r="AJ18" i="7"/>
  <c r="AK18" i="7"/>
  <c r="AL18" i="7"/>
  <c r="AM18" i="7"/>
  <c r="AI19" i="7"/>
  <c r="AJ19" i="7"/>
  <c r="AK19" i="7"/>
  <c r="AL19" i="7"/>
  <c r="AM19" i="7"/>
  <c r="AI20" i="7"/>
  <c r="AJ20" i="7"/>
  <c r="AK20" i="7"/>
  <c r="AL20" i="7"/>
  <c r="AM20" i="7"/>
  <c r="AI21" i="7"/>
  <c r="AJ21" i="7"/>
  <c r="AK21" i="7"/>
  <c r="AL21" i="7"/>
  <c r="AM21" i="7"/>
  <c r="AI22" i="7"/>
  <c r="AJ22" i="7"/>
  <c r="AK22" i="7"/>
  <c r="AL22" i="7"/>
  <c r="AM22" i="7"/>
  <c r="AI23" i="7"/>
  <c r="AJ23" i="7"/>
  <c r="AK23" i="7"/>
  <c r="AL23" i="7"/>
  <c r="AM23" i="7"/>
  <c r="AI24" i="7"/>
  <c r="AJ24" i="7"/>
  <c r="AK24" i="7"/>
  <c r="AL24" i="7"/>
  <c r="AM24" i="7"/>
  <c r="AI25" i="7"/>
  <c r="AJ25" i="7"/>
  <c r="AK25" i="7"/>
  <c r="AL25" i="7"/>
  <c r="AM25" i="7"/>
  <c r="AI26" i="7"/>
  <c r="AJ26" i="7"/>
  <c r="AK26" i="7"/>
  <c r="AL26" i="7"/>
  <c r="AM26" i="7"/>
  <c r="AI27" i="7"/>
  <c r="AJ27" i="7"/>
  <c r="AK27" i="7"/>
  <c r="AL27" i="7"/>
  <c r="AM27" i="7"/>
  <c r="AI28" i="7"/>
  <c r="AJ28" i="7"/>
  <c r="AK28" i="7"/>
  <c r="AL28" i="7"/>
  <c r="AM28" i="7"/>
  <c r="AI29" i="7"/>
  <c r="AJ29" i="7"/>
  <c r="AK29" i="7"/>
  <c r="AL29" i="7"/>
  <c r="AM29" i="7"/>
  <c r="AI30" i="7"/>
  <c r="AJ30" i="7"/>
  <c r="AK30" i="7"/>
  <c r="AL30" i="7"/>
  <c r="AM30" i="7"/>
  <c r="AI31" i="7"/>
  <c r="AJ31" i="7"/>
  <c r="AK31" i="7"/>
  <c r="AL31" i="7"/>
  <c r="AM31" i="7"/>
  <c r="AI32" i="7"/>
  <c r="AJ32" i="7"/>
  <c r="AK32" i="7"/>
  <c r="AL32" i="7"/>
  <c r="AM32" i="7"/>
  <c r="AI33" i="7"/>
  <c r="AJ33" i="7"/>
  <c r="AK33" i="7"/>
  <c r="AL33" i="7"/>
  <c r="AM33" i="7"/>
  <c r="AI34" i="7"/>
  <c r="AJ34" i="7"/>
  <c r="AK34" i="7"/>
  <c r="AL34" i="7"/>
  <c r="AM34" i="7"/>
  <c r="AI35" i="7"/>
  <c r="AJ35" i="7"/>
  <c r="AK35" i="7"/>
  <c r="AL35" i="7"/>
  <c r="AM35" i="7"/>
  <c r="AI36" i="7"/>
  <c r="AJ36" i="7"/>
  <c r="AK36" i="7"/>
  <c r="AL36" i="7"/>
  <c r="AM36" i="7"/>
  <c r="AI37" i="7"/>
  <c r="AJ37" i="7"/>
  <c r="AK37" i="7"/>
  <c r="AL37" i="7"/>
  <c r="AM37" i="7"/>
  <c r="AI38" i="7"/>
  <c r="AJ38" i="7"/>
  <c r="AK38" i="7"/>
  <c r="AL38" i="7"/>
  <c r="AM38" i="7"/>
  <c r="AI39" i="7"/>
  <c r="AJ39" i="7"/>
  <c r="AK39" i="7"/>
  <c r="AL39" i="7"/>
  <c r="AM39" i="7"/>
  <c r="AI40" i="7"/>
  <c r="AJ40" i="7"/>
  <c r="AK40" i="7"/>
  <c r="AL40" i="7"/>
  <c r="AM40" i="7"/>
  <c r="AI41" i="7"/>
  <c r="AJ41" i="7"/>
  <c r="AK41" i="7"/>
  <c r="AL41" i="7"/>
  <c r="AM41" i="7"/>
  <c r="AI42" i="7"/>
  <c r="AJ42" i="7"/>
  <c r="AK42" i="7"/>
  <c r="AL42" i="7"/>
  <c r="AM42" i="7"/>
  <c r="AI43" i="7"/>
  <c r="AJ43" i="7"/>
  <c r="AK43" i="7"/>
  <c r="AL43" i="7"/>
  <c r="AM43" i="7"/>
  <c r="AI44" i="7"/>
  <c r="AJ44" i="7"/>
  <c r="AK44" i="7"/>
  <c r="AL44" i="7"/>
  <c r="AM44" i="7"/>
  <c r="AI45" i="7"/>
  <c r="AJ45" i="7"/>
  <c r="AK45" i="7"/>
  <c r="AL45" i="7"/>
  <c r="AM45" i="7"/>
  <c r="AI46" i="7"/>
  <c r="AJ46" i="7"/>
  <c r="AK46" i="7"/>
  <c r="AL46" i="7"/>
  <c r="AM46" i="7"/>
  <c r="AI47" i="7"/>
  <c r="AJ47" i="7"/>
  <c r="AK47" i="7"/>
  <c r="AL47" i="7"/>
  <c r="AM47" i="7"/>
  <c r="AI48" i="7"/>
  <c r="AJ48" i="7"/>
  <c r="AK48" i="7"/>
  <c r="AL48" i="7"/>
  <c r="AM48" i="7"/>
  <c r="AI49" i="7"/>
  <c r="AJ49" i="7"/>
  <c r="AK49" i="7"/>
  <c r="AL49" i="7"/>
  <c r="AM49" i="7"/>
  <c r="AI50" i="7"/>
  <c r="AJ50" i="7"/>
  <c r="AK50" i="7"/>
  <c r="AL50" i="7"/>
  <c r="AM50" i="7"/>
  <c r="AI51" i="7"/>
  <c r="AJ51" i="7"/>
  <c r="AK51" i="7"/>
  <c r="AL51" i="7"/>
  <c r="AM51" i="7"/>
  <c r="AI52" i="7"/>
  <c r="AJ52" i="7"/>
  <c r="AK52" i="7"/>
  <c r="AL52" i="7"/>
  <c r="AM52" i="7"/>
  <c r="AI53" i="7"/>
  <c r="AJ53" i="7"/>
  <c r="AK53" i="7"/>
  <c r="AL53" i="7"/>
  <c r="AM53" i="7"/>
  <c r="AJ5" i="7"/>
  <c r="AK5" i="7"/>
  <c r="AL5" i="7"/>
  <c r="AM5" i="7"/>
  <c r="AI5" i="7"/>
  <c r="AD6" i="7"/>
  <c r="AE6" i="7"/>
  <c r="AF6" i="7"/>
  <c r="AG6" i="7"/>
  <c r="AH6" i="7"/>
  <c r="AD7" i="7"/>
  <c r="AE7" i="7"/>
  <c r="AF7" i="7"/>
  <c r="AG7" i="7"/>
  <c r="AH7" i="7"/>
  <c r="AD8" i="7"/>
  <c r="AE8" i="7"/>
  <c r="AF8" i="7"/>
  <c r="AG8" i="7"/>
  <c r="AH8" i="7"/>
  <c r="AD9" i="7"/>
  <c r="AE9" i="7"/>
  <c r="AF9" i="7"/>
  <c r="AG9" i="7"/>
  <c r="AH9" i="7"/>
  <c r="AD10" i="7"/>
  <c r="AE10" i="7"/>
  <c r="AF10" i="7"/>
  <c r="AG10" i="7"/>
  <c r="AH10" i="7"/>
  <c r="AD11" i="7"/>
  <c r="AE11" i="7"/>
  <c r="AF11" i="7"/>
  <c r="AG11" i="7"/>
  <c r="AH11" i="7"/>
  <c r="AD12" i="7"/>
  <c r="AE12" i="7"/>
  <c r="AF12" i="7"/>
  <c r="AG12" i="7"/>
  <c r="AH12" i="7"/>
  <c r="AD13" i="7"/>
  <c r="AE13" i="7"/>
  <c r="AF13" i="7"/>
  <c r="AG13" i="7"/>
  <c r="AH13" i="7"/>
  <c r="AD14" i="7"/>
  <c r="AE14" i="7"/>
  <c r="AF14" i="7"/>
  <c r="AG14" i="7"/>
  <c r="AH14" i="7"/>
  <c r="AD15" i="7"/>
  <c r="AE15" i="7"/>
  <c r="AF15" i="7"/>
  <c r="AG15" i="7"/>
  <c r="AH15" i="7"/>
  <c r="AD16" i="7"/>
  <c r="AE16" i="7"/>
  <c r="AF16" i="7"/>
  <c r="AG16" i="7"/>
  <c r="AH16" i="7"/>
  <c r="AD17" i="7"/>
  <c r="AE17" i="7"/>
  <c r="AF17" i="7"/>
  <c r="AG17" i="7"/>
  <c r="AH17" i="7"/>
  <c r="AD18" i="7"/>
  <c r="AE18" i="7"/>
  <c r="AF18" i="7"/>
  <c r="AG18" i="7"/>
  <c r="AH18" i="7"/>
  <c r="AD19" i="7"/>
  <c r="AE19" i="7"/>
  <c r="AF19" i="7"/>
  <c r="AG19" i="7"/>
  <c r="AH19" i="7"/>
  <c r="AD20" i="7"/>
  <c r="AE20" i="7"/>
  <c r="AF20" i="7"/>
  <c r="AG20" i="7"/>
  <c r="AH20" i="7"/>
  <c r="AD21" i="7"/>
  <c r="AE21" i="7"/>
  <c r="AF21" i="7"/>
  <c r="AG21" i="7"/>
  <c r="AH21" i="7"/>
  <c r="AD22" i="7"/>
  <c r="AE22" i="7"/>
  <c r="AF22" i="7"/>
  <c r="AG22" i="7"/>
  <c r="AH22" i="7"/>
  <c r="AD23" i="7"/>
  <c r="AE23" i="7"/>
  <c r="AF23" i="7"/>
  <c r="AG23" i="7"/>
  <c r="AH23" i="7"/>
  <c r="AD24" i="7"/>
  <c r="AE24" i="7"/>
  <c r="AF24" i="7"/>
  <c r="AG24" i="7"/>
  <c r="AH24" i="7"/>
  <c r="AD25" i="7"/>
  <c r="AE25" i="7"/>
  <c r="AF25" i="7"/>
  <c r="AG25" i="7"/>
  <c r="AH25" i="7"/>
  <c r="AD26" i="7"/>
  <c r="AE26" i="7"/>
  <c r="AF26" i="7"/>
  <c r="AG26" i="7"/>
  <c r="AH26" i="7"/>
  <c r="AD27" i="7"/>
  <c r="AE27" i="7"/>
  <c r="AF27" i="7"/>
  <c r="AG27" i="7"/>
  <c r="AH27" i="7"/>
  <c r="AD28" i="7"/>
  <c r="AE28" i="7"/>
  <c r="AF28" i="7"/>
  <c r="AG28" i="7"/>
  <c r="AH28" i="7"/>
  <c r="AD29" i="7"/>
  <c r="AE29" i="7"/>
  <c r="AF29" i="7"/>
  <c r="AG29" i="7"/>
  <c r="AH29" i="7"/>
  <c r="AD30" i="7"/>
  <c r="AE30" i="7"/>
  <c r="AF30" i="7"/>
  <c r="AG30" i="7"/>
  <c r="AH30" i="7"/>
  <c r="AD31" i="7"/>
  <c r="AE31" i="7"/>
  <c r="AF31" i="7"/>
  <c r="AG31" i="7"/>
  <c r="AH31" i="7"/>
  <c r="AD32" i="7"/>
  <c r="AE32" i="7"/>
  <c r="AF32" i="7"/>
  <c r="AG32" i="7"/>
  <c r="AH32" i="7"/>
  <c r="AD33" i="7"/>
  <c r="AE33" i="7"/>
  <c r="AF33" i="7"/>
  <c r="AG33" i="7"/>
  <c r="AH33" i="7"/>
  <c r="AD34" i="7"/>
  <c r="AE34" i="7"/>
  <c r="AF34" i="7"/>
  <c r="AG34" i="7"/>
  <c r="AH34" i="7"/>
  <c r="AD35" i="7"/>
  <c r="AE35" i="7"/>
  <c r="AF35" i="7"/>
  <c r="AG35" i="7"/>
  <c r="AH35" i="7"/>
  <c r="AD36" i="7"/>
  <c r="AE36" i="7"/>
  <c r="AF36" i="7"/>
  <c r="AG36" i="7"/>
  <c r="AH36" i="7"/>
  <c r="AD37" i="7"/>
  <c r="AE37" i="7"/>
  <c r="AF37" i="7"/>
  <c r="AG37" i="7"/>
  <c r="AH37" i="7"/>
  <c r="AD38" i="7"/>
  <c r="AE38" i="7"/>
  <c r="AF38" i="7"/>
  <c r="AG38" i="7"/>
  <c r="AH38" i="7"/>
  <c r="AD39" i="7"/>
  <c r="AE39" i="7"/>
  <c r="AF39" i="7"/>
  <c r="AG39" i="7"/>
  <c r="AH39" i="7"/>
  <c r="AD40" i="7"/>
  <c r="AE40" i="7"/>
  <c r="AF40" i="7"/>
  <c r="AG40" i="7"/>
  <c r="AH40" i="7"/>
  <c r="AD41" i="7"/>
  <c r="AE41" i="7"/>
  <c r="AF41" i="7"/>
  <c r="AG41" i="7"/>
  <c r="AH41" i="7"/>
  <c r="AD42" i="7"/>
  <c r="AE42" i="7"/>
  <c r="AF42" i="7"/>
  <c r="AG42" i="7"/>
  <c r="AH42" i="7"/>
  <c r="AD43" i="7"/>
  <c r="AE43" i="7"/>
  <c r="AF43" i="7"/>
  <c r="AG43" i="7"/>
  <c r="AH43" i="7"/>
  <c r="AD44" i="7"/>
  <c r="AE44" i="7"/>
  <c r="AF44" i="7"/>
  <c r="AG44" i="7"/>
  <c r="AH44" i="7"/>
  <c r="AD45" i="7"/>
  <c r="AE45" i="7"/>
  <c r="AF45" i="7"/>
  <c r="AG45" i="7"/>
  <c r="AH45" i="7"/>
  <c r="AD46" i="7"/>
  <c r="AE46" i="7"/>
  <c r="AF46" i="7"/>
  <c r="AG46" i="7"/>
  <c r="AH46" i="7"/>
  <c r="AD47" i="7"/>
  <c r="AE47" i="7"/>
  <c r="AF47" i="7"/>
  <c r="AG47" i="7"/>
  <c r="AH47" i="7"/>
  <c r="AD48" i="7"/>
  <c r="AE48" i="7"/>
  <c r="AF48" i="7"/>
  <c r="AG48" i="7"/>
  <c r="AH48" i="7"/>
  <c r="AD49" i="7"/>
  <c r="AE49" i="7"/>
  <c r="AF49" i="7"/>
  <c r="AG49" i="7"/>
  <c r="AH49" i="7"/>
  <c r="AD50" i="7"/>
  <c r="AE50" i="7"/>
  <c r="AF50" i="7"/>
  <c r="AG50" i="7"/>
  <c r="AH50" i="7"/>
  <c r="AD51" i="7"/>
  <c r="AE51" i="7"/>
  <c r="AF51" i="7"/>
  <c r="AG51" i="7"/>
  <c r="AH51" i="7"/>
  <c r="AD52" i="7"/>
  <c r="AE52" i="7"/>
  <c r="AF52" i="7"/>
  <c r="AG52" i="7"/>
  <c r="AH52" i="7"/>
  <c r="AD53" i="7"/>
  <c r="AE53" i="7"/>
  <c r="AF53" i="7"/>
  <c r="AG53" i="7"/>
  <c r="AH53" i="7"/>
  <c r="AE5" i="7"/>
  <c r="AF5" i="7"/>
  <c r="AG5" i="7"/>
  <c r="AH5" i="7"/>
  <c r="AD5" i="7"/>
  <c r="O6" i="7"/>
  <c r="P6" i="7"/>
  <c r="Q6" i="7"/>
  <c r="R6" i="7"/>
  <c r="S6" i="7"/>
  <c r="O7" i="7"/>
  <c r="P7" i="7"/>
  <c r="Q7" i="7"/>
  <c r="R7" i="7"/>
  <c r="S7" i="7"/>
  <c r="O8" i="7"/>
  <c r="P8" i="7"/>
  <c r="Q8" i="7"/>
  <c r="R8" i="7"/>
  <c r="S8" i="7"/>
  <c r="O9" i="7"/>
  <c r="P9" i="7"/>
  <c r="Q9" i="7"/>
  <c r="R9" i="7"/>
  <c r="S9" i="7"/>
  <c r="P10" i="7"/>
  <c r="Q10" i="7"/>
  <c r="O11" i="7"/>
  <c r="P11" i="7"/>
  <c r="Q11" i="7"/>
  <c r="O12" i="7"/>
  <c r="P12" i="7"/>
  <c r="Q12" i="7"/>
  <c r="R12" i="7"/>
  <c r="S12" i="7"/>
  <c r="O13" i="7"/>
  <c r="P13" i="7"/>
  <c r="Q13" i="7"/>
  <c r="R13" i="7"/>
  <c r="S13" i="7"/>
  <c r="O14" i="7"/>
  <c r="P14" i="7"/>
  <c r="Q14" i="7"/>
  <c r="R14" i="7"/>
  <c r="S14" i="7"/>
  <c r="P15" i="7"/>
  <c r="Q15" i="7"/>
  <c r="R15" i="7"/>
  <c r="S15" i="7"/>
  <c r="O16" i="7"/>
  <c r="P16" i="7"/>
  <c r="Q16" i="7"/>
  <c r="R16" i="7"/>
  <c r="S16" i="7"/>
  <c r="O17" i="7"/>
  <c r="P17" i="7"/>
  <c r="Q17" i="7"/>
  <c r="R17" i="7"/>
  <c r="S17" i="7"/>
  <c r="P18" i="7"/>
  <c r="Q18" i="7"/>
  <c r="R18" i="7"/>
  <c r="S18" i="7"/>
  <c r="O19" i="7"/>
  <c r="P19" i="7"/>
  <c r="Q19" i="7"/>
  <c r="R19" i="7"/>
  <c r="S19" i="7"/>
  <c r="O20" i="7"/>
  <c r="P20" i="7"/>
  <c r="Q20" i="7"/>
  <c r="R20" i="7"/>
  <c r="S20" i="7"/>
  <c r="O21" i="7"/>
  <c r="P21" i="7"/>
  <c r="Q21" i="7"/>
  <c r="R21" i="7"/>
  <c r="S21" i="7"/>
  <c r="O22" i="7"/>
  <c r="P22" i="7"/>
  <c r="Q22" i="7"/>
  <c r="R22" i="7"/>
  <c r="S22" i="7"/>
  <c r="O23" i="7"/>
  <c r="P23" i="7"/>
  <c r="Q23" i="7"/>
  <c r="R23" i="7"/>
  <c r="S23" i="7"/>
  <c r="O24" i="7"/>
  <c r="P24" i="7"/>
  <c r="Q24" i="7"/>
  <c r="R24" i="7"/>
  <c r="S24" i="7"/>
  <c r="O25" i="7"/>
  <c r="P25" i="7"/>
  <c r="Q25" i="7"/>
  <c r="R25" i="7"/>
  <c r="S25" i="7"/>
  <c r="O26" i="7"/>
  <c r="P26" i="7"/>
  <c r="Q26" i="7"/>
  <c r="P27" i="7"/>
  <c r="Q27" i="7"/>
  <c r="R27" i="7"/>
  <c r="S27" i="7"/>
  <c r="O28" i="7"/>
  <c r="P28" i="7"/>
  <c r="Q28" i="7"/>
  <c r="R28" i="7"/>
  <c r="S28" i="7"/>
  <c r="O29" i="7"/>
  <c r="P29" i="7"/>
  <c r="Q29" i="7"/>
  <c r="R29" i="7"/>
  <c r="S29" i="7"/>
  <c r="O30" i="7"/>
  <c r="P30" i="7"/>
  <c r="Q30" i="7"/>
  <c r="R30" i="7"/>
  <c r="O31" i="7"/>
  <c r="P31" i="7"/>
  <c r="Q31" i="7"/>
  <c r="R31" i="7"/>
  <c r="S31" i="7"/>
  <c r="O32" i="7"/>
  <c r="P32" i="7"/>
  <c r="Q32" i="7"/>
  <c r="R32" i="7"/>
  <c r="S32" i="7"/>
  <c r="O33" i="7"/>
  <c r="P33" i="7"/>
  <c r="Q33" i="7"/>
  <c r="R33" i="7"/>
  <c r="S33" i="7"/>
  <c r="O34" i="7"/>
  <c r="P34" i="7"/>
  <c r="Q34" i="7"/>
  <c r="R34" i="7"/>
  <c r="S34" i="7"/>
  <c r="O35" i="7"/>
  <c r="P35" i="7"/>
  <c r="Q35" i="7"/>
  <c r="R35" i="7"/>
  <c r="S35" i="7"/>
  <c r="O36" i="7"/>
  <c r="P36" i="7"/>
  <c r="Q36" i="7"/>
  <c r="R36" i="7"/>
  <c r="S36" i="7"/>
  <c r="O37" i="7"/>
  <c r="P37" i="7"/>
  <c r="Q37" i="7"/>
  <c r="R37" i="7"/>
  <c r="S37" i="7"/>
  <c r="O38" i="7"/>
  <c r="P38" i="7"/>
  <c r="Q38" i="7"/>
  <c r="R38" i="7"/>
  <c r="S38" i="7"/>
  <c r="O39" i="7"/>
  <c r="P39" i="7"/>
  <c r="Q39" i="7"/>
  <c r="R39" i="7"/>
  <c r="S39" i="7"/>
  <c r="O40" i="7"/>
  <c r="P40" i="7"/>
  <c r="Q40" i="7"/>
  <c r="R40" i="7"/>
  <c r="S40" i="7"/>
  <c r="P41" i="7"/>
  <c r="Q41" i="7"/>
  <c r="O42" i="7"/>
  <c r="P42" i="7"/>
  <c r="Q42" i="7"/>
  <c r="R42" i="7"/>
  <c r="S42" i="7"/>
  <c r="O43" i="7"/>
  <c r="P43" i="7"/>
  <c r="Q43" i="7"/>
  <c r="R43" i="7"/>
  <c r="S43" i="7"/>
  <c r="O44" i="7"/>
  <c r="P44" i="7"/>
  <c r="Q44" i="7"/>
  <c r="R44" i="7"/>
  <c r="S44" i="7"/>
  <c r="O45" i="7"/>
  <c r="P45" i="7"/>
  <c r="Q45" i="7"/>
  <c r="R45" i="7"/>
  <c r="S45" i="7"/>
  <c r="O46" i="7"/>
  <c r="P46" i="7"/>
  <c r="Q46" i="7"/>
  <c r="R46" i="7"/>
  <c r="S46" i="7"/>
  <c r="O47" i="7"/>
  <c r="P47" i="7"/>
  <c r="Q47" i="7"/>
  <c r="R47" i="7"/>
  <c r="S47" i="7"/>
  <c r="O48" i="7"/>
  <c r="P48" i="7"/>
  <c r="Q48" i="7"/>
  <c r="R48" i="7"/>
  <c r="S48" i="7"/>
  <c r="O49" i="7"/>
  <c r="P49" i="7"/>
  <c r="Q49" i="7"/>
  <c r="R49" i="7"/>
  <c r="S49" i="7"/>
  <c r="O50" i="7"/>
  <c r="P50" i="7"/>
  <c r="Q50" i="7"/>
  <c r="R50" i="7"/>
  <c r="S50" i="7"/>
  <c r="O51" i="7"/>
  <c r="P51" i="7"/>
  <c r="Q51" i="7"/>
  <c r="R51" i="7"/>
  <c r="S51" i="7"/>
  <c r="O52" i="7"/>
  <c r="P52" i="7"/>
  <c r="Q52" i="7"/>
  <c r="R52" i="7"/>
  <c r="S52" i="7"/>
  <c r="O53" i="7"/>
  <c r="P53" i="7"/>
  <c r="Q53" i="7"/>
  <c r="R53" i="7"/>
  <c r="S53" i="7"/>
  <c r="P5" i="7"/>
  <c r="Q5" i="7"/>
  <c r="R5" i="7"/>
  <c r="S5" i="7"/>
  <c r="O5" i="7"/>
  <c r="I41" i="7"/>
  <c r="S41" i="7" s="1"/>
  <c r="H41" i="7"/>
  <c r="R41" i="7" s="1"/>
  <c r="E41" i="7"/>
  <c r="O41" i="7" s="1"/>
  <c r="I31" i="7"/>
  <c r="I30" i="7"/>
  <c r="S30" i="7" s="1"/>
  <c r="E27" i="7"/>
  <c r="O27" i="7" s="1"/>
  <c r="I26" i="7"/>
  <c r="S26" i="7" s="1"/>
  <c r="H26" i="7"/>
  <c r="R26" i="7" s="1"/>
  <c r="E18" i="7"/>
  <c r="O18" i="7" s="1"/>
  <c r="E15" i="7"/>
  <c r="O15" i="7" s="1"/>
  <c r="I12" i="7"/>
  <c r="H12" i="7"/>
  <c r="I11" i="7"/>
  <c r="S11" i="7" s="1"/>
  <c r="H11" i="7"/>
  <c r="R11" i="7" s="1"/>
  <c r="I10" i="7"/>
  <c r="S10" i="7" s="1"/>
  <c r="H10" i="7"/>
  <c r="R10" i="7" s="1"/>
  <c r="E10" i="7"/>
  <c r="O10" i="7" s="1"/>
  <c r="S41" i="6"/>
  <c r="R41" i="6"/>
  <c r="O41" i="6"/>
  <c r="S31" i="6"/>
  <c r="S30" i="6"/>
  <c r="O27" i="6"/>
  <c r="S26" i="6"/>
  <c r="R26" i="6"/>
  <c r="O18" i="6"/>
  <c r="O15" i="6"/>
  <c r="S12" i="6"/>
  <c r="R12" i="6"/>
  <c r="S11" i="6"/>
  <c r="R11" i="6"/>
  <c r="S10" i="6"/>
  <c r="R10" i="6"/>
  <c r="O10" i="6"/>
  <c r="S141" i="5"/>
  <c r="O141" i="5"/>
  <c r="T127" i="5"/>
  <c r="X62" i="5"/>
  <c r="W62" i="5"/>
  <c r="S41" i="5"/>
  <c r="R41" i="5"/>
  <c r="O41" i="5"/>
  <c r="S31" i="5"/>
  <c r="S30" i="5"/>
  <c r="O27" i="5"/>
  <c r="S26" i="5"/>
  <c r="R26" i="5"/>
  <c r="O18" i="5"/>
  <c r="O15" i="5"/>
  <c r="S12" i="5"/>
  <c r="R12" i="5"/>
  <c r="S11" i="5"/>
  <c r="R11" i="5"/>
  <c r="S10" i="5"/>
  <c r="R10" i="5"/>
  <c r="O10" i="5"/>
  <c r="AC127" i="4"/>
  <c r="AB127" i="4"/>
  <c r="Y127" i="4"/>
  <c r="AC126" i="4"/>
  <c r="Y126" i="4"/>
  <c r="AD104" i="4"/>
  <c r="AC88" i="4"/>
  <c r="AC85" i="4"/>
  <c r="Y77" i="4"/>
  <c r="AC75" i="4"/>
  <c r="AB75" i="4"/>
  <c r="Y50" i="4"/>
  <c r="Y43" i="4"/>
  <c r="AC37" i="4"/>
  <c r="AB37" i="4"/>
  <c r="AC35" i="4"/>
  <c r="AB35" i="4"/>
  <c r="AC18" i="4"/>
  <c r="AB18" i="4"/>
  <c r="Y18" i="4"/>
  <c r="AH15" i="4"/>
  <c r="AG15" i="4"/>
  <c r="AC136" i="3"/>
  <c r="AB136" i="3"/>
  <c r="Y136" i="3"/>
  <c r="AC135" i="3"/>
  <c r="Y135" i="3"/>
  <c r="AD111" i="3"/>
  <c r="AC93" i="3"/>
  <c r="AC90" i="3"/>
  <c r="Y81" i="3"/>
  <c r="AC79" i="3"/>
  <c r="AB79" i="3"/>
  <c r="Y50" i="3"/>
  <c r="Y43" i="3"/>
  <c r="AC37" i="3"/>
  <c r="AB37" i="3"/>
  <c r="AC35" i="3"/>
  <c r="AB35" i="3"/>
  <c r="AC18" i="3"/>
  <c r="AB18" i="3"/>
  <c r="Y18" i="3"/>
  <c r="AH15" i="3"/>
  <c r="AG15" i="3"/>
  <c r="B10" i="2"/>
  <c r="AC177" i="1"/>
  <c r="AB177" i="1"/>
  <c r="Y177" i="1"/>
  <c r="AC176" i="1"/>
  <c r="Y176" i="1"/>
  <c r="AD139" i="1"/>
  <c r="AC118" i="1"/>
  <c r="AC115" i="1"/>
  <c r="Y104" i="1"/>
  <c r="AC102" i="1"/>
  <c r="AB102" i="1"/>
  <c r="Y63" i="1"/>
  <c r="Y54" i="1"/>
  <c r="AC42" i="1"/>
  <c r="AB42" i="1"/>
  <c r="AC39" i="1"/>
  <c r="AB39" i="1"/>
  <c r="AC18" i="1"/>
  <c r="AB18" i="1"/>
  <c r="Y18" i="1"/>
  <c r="AH15" i="1"/>
  <c r="AG15" i="1"/>
</calcChain>
</file>

<file path=xl/sharedStrings.xml><?xml version="1.0" encoding="utf-8"?>
<sst xmlns="http://schemas.openxmlformats.org/spreadsheetml/2006/main" count="2206" uniqueCount="503">
  <si>
    <t>NO</t>
  </si>
  <si>
    <t>KODE</t>
  </si>
  <si>
    <t>EMITEN</t>
  </si>
  <si>
    <t>IPO</t>
  </si>
  <si>
    <t>TOTAL ASET</t>
  </si>
  <si>
    <t>LABA SETELAH PAJAK</t>
  </si>
  <si>
    <t>KEPEMILIKAN MANAJERIAL</t>
  </si>
  <si>
    <t>KEPEMILIKAN  INSTITUSIONAL</t>
  </si>
  <si>
    <t>JUMLAH SAHAM BEREDAR</t>
  </si>
  <si>
    <t>DIVIDEN  YANG DIBAGIKAN</t>
  </si>
  <si>
    <t>INTP</t>
  </si>
  <si>
    <t>Indocement Tunggal Prakasa Tbk</t>
  </si>
  <si>
    <t>GTSI</t>
  </si>
  <si>
    <t>GTS Internasional Tbk</t>
  </si>
  <si>
    <t>SMBR</t>
  </si>
  <si>
    <t>Semen Baturaja Tbk</t>
  </si>
  <si>
    <t>SMCB</t>
  </si>
  <si>
    <t>Solusi Bangun Indonesia Tbk</t>
  </si>
  <si>
    <t>SMGR</t>
  </si>
  <si>
    <t>Semen Indonesia (Persero) Tbk</t>
  </si>
  <si>
    <t>WSBP</t>
  </si>
  <si>
    <t>Waskita Beton Precast Tbk</t>
  </si>
  <si>
    <t>WSKT</t>
  </si>
  <si>
    <t>Waskita Karya (Persero) Tbk</t>
  </si>
  <si>
    <t>WTON</t>
  </si>
  <si>
    <t>Wijaya Karya Beton Tbk</t>
  </si>
  <si>
    <t xml:space="preserve">BEBS* </t>
  </si>
  <si>
    <t>Berkah Beton Sadaya Tbk</t>
  </si>
  <si>
    <t>AMFG</t>
  </si>
  <si>
    <t>Asahimas Flat Glass Tbk</t>
  </si>
  <si>
    <t>ARNA</t>
  </si>
  <si>
    <t>Arwana Citramulia Tbk</t>
  </si>
  <si>
    <t>CAKK</t>
  </si>
  <si>
    <t>Cahayaputra Asa Keramik Tbk</t>
  </si>
  <si>
    <t>KIAS</t>
  </si>
  <si>
    <t>Keramika Indonesia Assosiasi Tbk</t>
  </si>
  <si>
    <t>MARK</t>
  </si>
  <si>
    <t>Mark Dynamics Indonesia Tbk</t>
  </si>
  <si>
    <t>MLIA</t>
  </si>
  <si>
    <t>Mulia Industrindo Tbk</t>
  </si>
  <si>
    <t>TOTO</t>
  </si>
  <si>
    <t>Surya Toto Indonesia Tbk</t>
  </si>
  <si>
    <t>ALKA</t>
  </si>
  <si>
    <t>Alakasa Industrindo Tbk</t>
  </si>
  <si>
    <t>ALMI</t>
  </si>
  <si>
    <t>Alumindo Light Metal Industry Tbk</t>
  </si>
  <si>
    <t>BAJA</t>
  </si>
  <si>
    <t>Saranacentral Bajatama Tbk</t>
  </si>
  <si>
    <t>BTON</t>
  </si>
  <si>
    <t>Betonjaya Manunggal Tbk</t>
  </si>
  <si>
    <t>CTBN</t>
  </si>
  <si>
    <t>Citra Tubindo Tbk</t>
  </si>
  <si>
    <t>GDST</t>
  </si>
  <si>
    <t>Gunawan Dianjaya Steel Tbk</t>
  </si>
  <si>
    <t>GGRP</t>
  </si>
  <si>
    <t>Gunung Raja Paksi Tbk </t>
  </si>
  <si>
    <t>INAI</t>
  </si>
  <si>
    <t>Indal Aluminium Industry Tbk</t>
  </si>
  <si>
    <t>ISSP</t>
  </si>
  <si>
    <t>Steel Pipe Industry of Indonesia Tbk</t>
  </si>
  <si>
    <t>JKSW</t>
  </si>
  <si>
    <t>Jakarta Kyoei Steel Works Tbk</t>
  </si>
  <si>
    <t>KKES</t>
  </si>
  <si>
    <t>Kusuma Kemindo Sentosa Tbk</t>
  </si>
  <si>
    <t>KRAS</t>
  </si>
  <si>
    <t>Krakatau Steel (Persero) Tbk</t>
  </si>
  <si>
    <t>LION</t>
  </si>
  <si>
    <t>Lion Metal Works Tbk</t>
  </si>
  <si>
    <t>LMSH</t>
  </si>
  <si>
    <t>Lionmesh Prima Tbk</t>
  </si>
  <si>
    <t>NIKL</t>
  </si>
  <si>
    <t>Pelat Timah Nusantara Tbk</t>
  </si>
  <si>
    <t>PICO</t>
  </si>
  <si>
    <t>Pelangi Indah Canindo Tbk</t>
  </si>
  <si>
    <t>PURE</t>
  </si>
  <si>
    <t>Trinitan Metals and Mineral Tbk IPO 9 Oktober 2019</t>
  </si>
  <si>
    <t>TBMS</t>
  </si>
  <si>
    <t>Tembaga Mulia Semanan Tbk</t>
  </si>
  <si>
    <t>AGII</t>
  </si>
  <si>
    <t>Aneka Gas Industri Tbk</t>
  </si>
  <si>
    <t>AVIA</t>
  </si>
  <si>
    <t>Avia Avian Tbk</t>
  </si>
  <si>
    <t>BRPT</t>
  </si>
  <si>
    <t>Barito Pasific Tbk</t>
  </si>
  <si>
    <t>CHEM</t>
  </si>
  <si>
    <t>Chemstar Indonesia Tbk</t>
  </si>
  <si>
    <t>8 Juli 2022</t>
  </si>
  <si>
    <t>DPNS</t>
  </si>
  <si>
    <t>Duta Pertiwi Nusantara Tbk</t>
  </si>
  <si>
    <t>EKAD</t>
  </si>
  <si>
    <t>Ekadharma International Tbk</t>
  </si>
  <si>
    <t>ETWA</t>
  </si>
  <si>
    <t>Eterindo Wahanatama Tbk</t>
  </si>
  <si>
    <t>INCI</t>
  </si>
  <si>
    <t>Intan Wijaya International Tbk</t>
  </si>
  <si>
    <t>KUAS</t>
  </si>
  <si>
    <t>Ace Oldfields Tbk</t>
  </si>
  <si>
    <t>LABA</t>
  </si>
  <si>
    <t>Ladangbaja Murni Tbk</t>
  </si>
  <si>
    <t>MOLI</t>
  </si>
  <si>
    <t>Madusari Murni Indah Tbk</t>
  </si>
  <si>
    <t>NPGF</t>
  </si>
  <si>
    <t>Nusa Palapa Gemilang Tbk</t>
  </si>
  <si>
    <t>OBMD</t>
  </si>
  <si>
    <t>OBM Drilchem Tbk</t>
  </si>
  <si>
    <t>SAMF</t>
  </si>
  <si>
    <t>Saraswanti Anugerah Makmur Tbk</t>
  </si>
  <si>
    <t>SBMA</t>
  </si>
  <si>
    <t>Surya Biru Murni Acetylene Tbk</t>
  </si>
  <si>
    <t>SRSN</t>
  </si>
  <si>
    <t>Indo Acitama Tbk</t>
  </si>
  <si>
    <t>TDPM</t>
  </si>
  <si>
    <t>Tridomain Performance Materials Tbk</t>
  </si>
  <si>
    <t>TPIA</t>
  </si>
  <si>
    <t>Chandra Asri Petrochemical</t>
  </si>
  <si>
    <t>UNIC</t>
  </si>
  <si>
    <t>Unggul Indah Cahaya Tbk</t>
  </si>
  <si>
    <t>AKPI</t>
  </si>
  <si>
    <t>Argha Karya Prima Industry Tbk</t>
  </si>
  <si>
    <t>APLI</t>
  </si>
  <si>
    <t>Asiaplast Industries Tbk</t>
  </si>
  <si>
    <t>BRNA</t>
  </si>
  <si>
    <t>Berlina Tbk</t>
  </si>
  <si>
    <t>EPAC</t>
  </si>
  <si>
    <t>Megalestari Epack Sentosaraya Tbk</t>
  </si>
  <si>
    <t>ESIP</t>
  </si>
  <si>
    <t>Sinergi Inti Plastindo Tbk IPO 14 November 2019</t>
  </si>
  <si>
    <t>FPNI</t>
  </si>
  <si>
    <t>Lotte Chemical Titan Tbk</t>
  </si>
  <si>
    <t>IGAR</t>
  </si>
  <si>
    <t>Champion Pacific Indonesia Tbk</t>
  </si>
  <si>
    <t>IMPC</t>
  </si>
  <si>
    <t>Impack Pratama Industri Tbk</t>
  </si>
  <si>
    <t>IPOL</t>
  </si>
  <si>
    <t>Indopoly Swakarsa Industry Tbk</t>
  </si>
  <si>
    <t>PBID</t>
  </si>
  <si>
    <t>Panca Budi Idaman Tbk</t>
  </si>
  <si>
    <t>PDPP</t>
  </si>
  <si>
    <t>Primadaya Plastisindo Tbk</t>
  </si>
  <si>
    <t>SMKL</t>
  </si>
  <si>
    <t>Satyamitra Kemas Lestari Tbk IPO 11 Juli 2019</t>
  </si>
  <si>
    <t>TALF</t>
  </si>
  <si>
    <t>Tunas Alfin Tbk</t>
  </si>
  <si>
    <t>TRST</t>
  </si>
  <si>
    <t>Trias Sentosa Tbk</t>
  </si>
  <si>
    <t>YPAS</t>
  </si>
  <si>
    <t>Yanaprima Hastapersada Tbk</t>
  </si>
  <si>
    <t>CPIN</t>
  </si>
  <si>
    <t>Charoen Pokphand Indonesia Tbk</t>
  </si>
  <si>
    <t>CPRO</t>
  </si>
  <si>
    <t>Central Proteina Prima Tbk</t>
  </si>
  <si>
    <t>DEWI</t>
  </si>
  <si>
    <t>Dewi Shri Farmindo Tb</t>
  </si>
  <si>
    <t>18 Juli 2022</t>
  </si>
  <si>
    <t>JPFA</t>
  </si>
  <si>
    <t>Japfa Comfeed Indonesia Tbk</t>
  </si>
  <si>
    <t>MAIN</t>
  </si>
  <si>
    <t>Malindo Feedmill Tbk</t>
  </si>
  <si>
    <t>SIPD</t>
  </si>
  <si>
    <t>Sierad Produce Tbk</t>
  </si>
  <si>
    <t>IFII</t>
  </si>
  <si>
    <t>Indonesia Fibreboard Industry Tbk IPO 10 Desember 2019</t>
  </si>
  <si>
    <t>SINI</t>
  </si>
  <si>
    <t>Singaraja Putra Tbk IPO 8 November 2019</t>
  </si>
  <si>
    <t>SULI</t>
  </si>
  <si>
    <t>SLJ Global Tbk</t>
  </si>
  <si>
    <t>TIRT</t>
  </si>
  <si>
    <t>Tirta Mahakam Resources Tbk</t>
  </si>
  <si>
    <t>ALDO</t>
  </si>
  <si>
    <t>Alkindo Naratama Tbk</t>
  </si>
  <si>
    <t>FASW</t>
  </si>
  <si>
    <t>Fajar Surya Wisesa Tbk</t>
  </si>
  <si>
    <t>INKP</t>
  </si>
  <si>
    <t>Indah Kiat Pulp &amp; Paper Tbk</t>
  </si>
  <si>
    <t>INRU</t>
  </si>
  <si>
    <t>Toba Pulp Lestari Tbk</t>
  </si>
  <si>
    <t>KBRI</t>
  </si>
  <si>
    <t>Kertas Basuki Rachmat Indonesia Tbk</t>
  </si>
  <si>
    <t>KDSI</t>
  </si>
  <si>
    <t>Kedawung Setia Industrial Tbk</t>
  </si>
  <si>
    <t>SPMA</t>
  </si>
  <si>
    <t>Suparma Tbk</t>
  </si>
  <si>
    <t>SWAT</t>
  </si>
  <si>
    <t>Sriwahana Adityakarta Tbk</t>
  </si>
  <si>
    <t>TKIM</t>
  </si>
  <si>
    <t>Pabrik Kertas Tjiwi Kimia Tbk</t>
  </si>
  <si>
    <t>DEPO</t>
  </si>
  <si>
    <t>Caturkarda Depo Bangunan Tbk</t>
  </si>
  <si>
    <t>INCF</t>
  </si>
  <si>
    <t>Indo Komoditi Korpora Tbk</t>
  </si>
  <si>
    <t>INOV</t>
  </si>
  <si>
    <t xml:space="preserve">Inocycle Technology Group Tbk </t>
  </si>
  <si>
    <t>KMTR</t>
  </si>
  <si>
    <t>Kirana Megatara Tbk</t>
  </si>
  <si>
    <t>AMIN</t>
  </si>
  <si>
    <t>Ateliers Mecaniques D'Indonesie Tbk</t>
  </si>
  <si>
    <t>ARKA</t>
  </si>
  <si>
    <t xml:space="preserve">Arkha Jayanti Persada Tbk </t>
  </si>
  <si>
    <t>GMFI</t>
  </si>
  <si>
    <t>Garuda Maintenance Facility Aero Asia Tbk</t>
  </si>
  <si>
    <t>GPSO</t>
  </si>
  <si>
    <t>PT Geoprima Solusi Tbk</t>
  </si>
  <si>
    <t>KPAL</t>
  </si>
  <si>
    <t>Steadfast Marine Tbk</t>
  </si>
  <si>
    <t>KRAH</t>
  </si>
  <si>
    <t>Grand Kartech Tbk</t>
  </si>
  <si>
    <t>NTBK</t>
  </si>
  <si>
    <t>PT Nusatama Berkah Tbk</t>
  </si>
  <si>
    <t>ASII</t>
  </si>
  <si>
    <t>Astra International Tbk</t>
  </si>
  <si>
    <t>AUTO</t>
  </si>
  <si>
    <t>Astra Otoparts Tbk</t>
  </si>
  <si>
    <t>BOLT</t>
  </si>
  <si>
    <t>Garuda Metalindo Tbk</t>
  </si>
  <si>
    <t>BRAM</t>
  </si>
  <si>
    <t>Indo Kordsa Tbk</t>
  </si>
  <si>
    <t>DRMA</t>
  </si>
  <si>
    <t>PT Dharma Polimetal Tbk</t>
  </si>
  <si>
    <t>GDYR</t>
  </si>
  <si>
    <t>Goodyear Indonesia Tbk</t>
  </si>
  <si>
    <t>GJTL</t>
  </si>
  <si>
    <t>Gajah Tunggal Tbk</t>
  </si>
  <si>
    <t>IMAS</t>
  </si>
  <si>
    <t>Indomobil Sukses Internasional Tbk</t>
  </si>
  <si>
    <t>INDS</t>
  </si>
  <si>
    <t>Indospring Tbk</t>
  </si>
  <si>
    <t>ISAP</t>
  </si>
  <si>
    <t>Isra Presisi Indonesia Tbk</t>
  </si>
  <si>
    <t>LPIN</t>
  </si>
  <si>
    <t>Multi Prima Sejahtera Tbk</t>
  </si>
  <si>
    <t>MASA</t>
  </si>
  <si>
    <t>Multistrada Arah Sarana Tbk</t>
  </si>
  <si>
    <t>NIPS</t>
  </si>
  <si>
    <t>Nipress Tbk</t>
  </si>
  <si>
    <t>PRAS</t>
  </si>
  <si>
    <t>Prima Alloy Steel Universal Tbk</t>
  </si>
  <si>
    <t>SMSM</t>
  </si>
  <si>
    <t>Selamat Sempurna Tbk</t>
  </si>
  <si>
    <t xml:space="preserve">ADMG </t>
  </si>
  <si>
    <t>Polychem Indonesia Tbk</t>
  </si>
  <si>
    <t>ARGO</t>
  </si>
  <si>
    <t>Argo Pantes Tbk</t>
  </si>
  <si>
    <t>BELL</t>
  </si>
  <si>
    <t>Trisula Textile Industries Tbk</t>
  </si>
  <si>
    <t>CNTX</t>
  </si>
  <si>
    <t>Century Textile Industry Tbk</t>
  </si>
  <si>
    <t>ERTX</t>
  </si>
  <si>
    <t>Eratex Djaja Tbk</t>
  </si>
  <si>
    <t>ESTI</t>
  </si>
  <si>
    <t>Ever Shine Tex Tbk</t>
  </si>
  <si>
    <t>HDTX</t>
  </si>
  <si>
    <t>Panasia Indo Resources Tbk</t>
  </si>
  <si>
    <t>INDR</t>
  </si>
  <si>
    <t>Indorama Synthetics Tbk</t>
  </si>
  <si>
    <t>MYTX</t>
  </si>
  <si>
    <t>Asia Pacific Investama Tbk</t>
  </si>
  <si>
    <t>PBRX</t>
  </si>
  <si>
    <t>Pan Brothers Tbk</t>
  </si>
  <si>
    <t>POLY</t>
  </si>
  <si>
    <t>Asia Pacific Fibers Tbk</t>
  </si>
  <si>
    <t>POLU</t>
  </si>
  <si>
    <t>Golden Flower Tbk IPO 26 Juni 2019</t>
  </si>
  <si>
    <t>RICY</t>
  </si>
  <si>
    <t>Ricky Putra Globalindo Tbk</t>
  </si>
  <si>
    <t>SBAT</t>
  </si>
  <si>
    <t>Sejahtera Bintang Abadi Textile</t>
  </si>
  <si>
    <t>SRIL</t>
  </si>
  <si>
    <t>Sri Rejeki Isman Tbk</t>
  </si>
  <si>
    <t>SSTM</t>
  </si>
  <si>
    <t>Sunson Textile Manufacture Tbk</t>
  </si>
  <si>
    <t>STAR</t>
  </si>
  <si>
    <t>Star Petrochem Tbk</t>
  </si>
  <si>
    <t>TFCO</t>
  </si>
  <si>
    <t>Tifico Fiber Indonesia Tbk</t>
  </si>
  <si>
    <t>TRIS</t>
  </si>
  <si>
    <t>Trisula International Tbk</t>
  </si>
  <si>
    <t>UCID</t>
  </si>
  <si>
    <t>Uni Charm Indonesia Tbk</t>
  </si>
  <si>
    <t>UNIT</t>
  </si>
  <si>
    <t>Nusantara Inti Corpora Tbk</t>
  </si>
  <si>
    <t>ZONE</t>
  </si>
  <si>
    <t>Mega Perintis Tbk</t>
  </si>
  <si>
    <t>BATA</t>
  </si>
  <si>
    <t>Sepatu Bata Tbk</t>
  </si>
  <si>
    <t>BIMA</t>
  </si>
  <si>
    <t>Primarindo Asia Infrastructure Tbk</t>
  </si>
  <si>
    <t>CCSI</t>
  </si>
  <si>
    <t>Communication Cable Systems Indonesia Tbk</t>
  </si>
  <si>
    <t>IKBI</t>
  </si>
  <si>
    <t>Sumi Indo Kabel Tbk</t>
  </si>
  <si>
    <t>JECC</t>
  </si>
  <si>
    <t>Jembo Cable Company Tbk</t>
  </si>
  <si>
    <t>KBLI</t>
  </si>
  <si>
    <t>KMI Wire &amp; Cable Tbk</t>
  </si>
  <si>
    <t>KBLM</t>
  </si>
  <si>
    <t>Kabelindo Murni Tbk</t>
  </si>
  <si>
    <t>SCCO</t>
  </si>
  <si>
    <t>Supreme Cable Manufacturing Corporation Tbk</t>
  </si>
  <si>
    <t>VOKS</t>
  </si>
  <si>
    <t>Voksel Electric Tbk</t>
  </si>
  <si>
    <t>PTSN</t>
  </si>
  <si>
    <t>Sat Nusapersada Tbk</t>
  </si>
  <si>
    <t>JSKY</t>
  </si>
  <si>
    <t>Sky Energy Indonesia Tbk</t>
  </si>
  <si>
    <t>SCNP</t>
  </si>
  <si>
    <t>Selaras Citra Nusantara Perkasa Tbk</t>
  </si>
  <si>
    <t>SLIS</t>
  </si>
  <si>
    <t>Gaya Abadi Sempurna Tbk IPO 7 Oktober 2019</t>
  </si>
  <si>
    <t>ADES</t>
  </si>
  <si>
    <t>Akasha Wira International Tbk</t>
  </si>
  <si>
    <t>AISA</t>
  </si>
  <si>
    <t>Tiga Pilar Sejahtera Food Tbk</t>
  </si>
  <si>
    <t>ALTO</t>
  </si>
  <si>
    <t>Tri Banyan Tirta Tbk</t>
  </si>
  <si>
    <t>BTEK</t>
  </si>
  <si>
    <t>Bumi Teknokultura Unggul Tbk</t>
  </si>
  <si>
    <t>BUDI</t>
  </si>
  <si>
    <t>Budi Starch &amp; Sweetener Tbk</t>
  </si>
  <si>
    <t>CAMP</t>
  </si>
  <si>
    <t>Campina Ice Cream Industry Tbk</t>
  </si>
  <si>
    <t>CEKA</t>
  </si>
  <si>
    <t>Cahaya Kalbar Tbk</t>
  </si>
  <si>
    <t>CLEO</t>
  </si>
  <si>
    <t>Sariguna Primatirta Tbk</t>
  </si>
  <si>
    <t>CMRY</t>
  </si>
  <si>
    <t>Cisarua Mountain Dairy Tbk</t>
  </si>
  <si>
    <t>COCO</t>
  </si>
  <si>
    <t>Wahana Interfood Nusantara Tbk IPO 20 Maret 2019</t>
  </si>
  <si>
    <t>CRAB</t>
  </si>
  <si>
    <t>Toba Surimi Industries Tbk </t>
  </si>
  <si>
    <t>DLTA</t>
  </si>
  <si>
    <t>Delta Djakarta Tbk</t>
  </si>
  <si>
    <t>DMND</t>
  </si>
  <si>
    <t>Diamond Food Indonesia Tbk</t>
  </si>
  <si>
    <t>ENZO</t>
  </si>
  <si>
    <t>Morenzo Abadi Perkasa Tbk</t>
  </si>
  <si>
    <t>FOOD</t>
  </si>
  <si>
    <t>Sentra Food Indonesia Tbk IPO 8 Januari 2019</t>
  </si>
  <si>
    <t>GOOD</t>
  </si>
  <si>
    <t>Garudafood Putra Putri Jaya Tbk</t>
  </si>
  <si>
    <t>HOKI</t>
  </si>
  <si>
    <t>Buyung Poetra Sembada Tbk</t>
  </si>
  <si>
    <t>IBOS</t>
  </si>
  <si>
    <t>PT Indo Boga Sukses Tbk</t>
  </si>
  <si>
    <t>ICBP</t>
  </si>
  <si>
    <t>Indofood CBP Sukses Makmur Tbk</t>
  </si>
  <si>
    <t>IIKP</t>
  </si>
  <si>
    <t>Inti Agri Resources Tbk</t>
  </si>
  <si>
    <t>IKAN</t>
  </si>
  <si>
    <t>Era Mandiri Cemerlang Tbk</t>
  </si>
  <si>
    <t>INDF</t>
  </si>
  <si>
    <t>Indofood Sukses Makmur Tbk</t>
  </si>
  <si>
    <t>IPPE</t>
  </si>
  <si>
    <t>Indo Pureco Pratama Tbk</t>
  </si>
  <si>
    <t>KEJU</t>
  </si>
  <si>
    <t>Mulia Boga Raya Tbk IPO 25 November 2019</t>
  </si>
  <si>
    <t>MGNA</t>
  </si>
  <si>
    <t>Magna Investama Mandiri Tbk</t>
  </si>
  <si>
    <t>MLBI</t>
  </si>
  <si>
    <t>Multi Bintang Indonesia Tbk</t>
  </si>
  <si>
    <t>MYOR</t>
  </si>
  <si>
    <t>Mayora Indah Tbk</t>
  </si>
  <si>
    <t>NASI</t>
  </si>
  <si>
    <t>Wahana Inti Makmur Tbk</t>
  </si>
  <si>
    <t>PANI</t>
  </si>
  <si>
    <t>Pratama Abadi Nusa Industri Tbk</t>
  </si>
  <si>
    <t>PCAR</t>
  </si>
  <si>
    <t>Prima Cakrawala Abadi Tbk</t>
  </si>
  <si>
    <t>PMMP</t>
  </si>
  <si>
    <t>Panca Mitra Multiperdana Tbk</t>
  </si>
  <si>
    <t>PSDN</t>
  </si>
  <si>
    <t>Prasidha Aneka Niaga Tbk</t>
  </si>
  <si>
    <t>PSGO</t>
  </si>
  <si>
    <t>Palma Serasih Tbk IPO 25 November 2019</t>
  </si>
  <si>
    <t>ROTI</t>
  </si>
  <si>
    <t>Nippon Indosari Corpindo Tbk</t>
  </si>
  <si>
    <t>SKBM</t>
  </si>
  <si>
    <t>Sekar Bumi Tbk</t>
  </si>
  <si>
    <t>SKLT</t>
  </si>
  <si>
    <t>Sekar Laut Tbk</t>
  </si>
  <si>
    <t>STTP</t>
  </si>
  <si>
    <t>Siantar Top Tbk</t>
  </si>
  <si>
    <t>TAYS</t>
  </si>
  <si>
    <t>Jaya Swarasa Agung Tbk</t>
  </si>
  <si>
    <t>TRGU</t>
  </si>
  <si>
    <t>Cerestar Indonesia Tbk</t>
  </si>
  <si>
    <t>ULTJ</t>
  </si>
  <si>
    <t>Ultra Jaya Milk Industry and Trading Company Tbk</t>
  </si>
  <si>
    <t>WMPP</t>
  </si>
  <si>
    <t>Widodo Makmur Perkasa Tbk</t>
  </si>
  <si>
    <t>WMUU</t>
  </si>
  <si>
    <t>Widodo Makmur Unggas Tbk</t>
  </si>
  <si>
    <t>GGRM</t>
  </si>
  <si>
    <t>Gudang Garam Tbk</t>
  </si>
  <si>
    <t>HMSP</t>
  </si>
  <si>
    <t>Hanjaya Mandala Sampoerna Tbk</t>
  </si>
  <si>
    <t>ITIC</t>
  </si>
  <si>
    <t>Indonesian Tobacco Tbk IPO 4 Juli 2019</t>
  </si>
  <si>
    <t>WIIM</t>
  </si>
  <si>
    <t>Wismilak Inti Makmur Tbk</t>
  </si>
  <si>
    <t>DVLA</t>
  </si>
  <si>
    <t>Darya Varia Laboratoria Tbk</t>
  </si>
  <si>
    <t>INAF</t>
  </si>
  <si>
    <t>Indofarma Tbk</t>
  </si>
  <si>
    <t>KAEF</t>
  </si>
  <si>
    <t>Kimia Farma Tbk</t>
  </si>
  <si>
    <t>KLBF</t>
  </si>
  <si>
    <t>Kalbe Farma Tbk</t>
  </si>
  <si>
    <t>MERK</t>
  </si>
  <si>
    <t>Merck Indonesia Tbk</t>
  </si>
  <si>
    <t>PEHA</t>
  </si>
  <si>
    <t>Phapros Tbk</t>
  </si>
  <si>
    <t>PYFA</t>
  </si>
  <si>
    <t>Pyridam Farma Tbk</t>
  </si>
  <si>
    <t>SCPI</t>
  </si>
  <si>
    <t>Merck Sharp Dohme Pharma Tbk</t>
  </si>
  <si>
    <t>SIDO</t>
  </si>
  <si>
    <t>Industri Jamu dan Farmasi Sido Tbk</t>
  </si>
  <si>
    <t>SOHO</t>
  </si>
  <si>
    <t>Soho Global Health Tbk</t>
  </si>
  <si>
    <t>TSPC</t>
  </si>
  <si>
    <t>Tempo Scan Pacific Tbk</t>
  </si>
  <si>
    <t>EURO</t>
  </si>
  <si>
    <t>Estee Gold Feet Tbk</t>
  </si>
  <si>
    <t xml:space="preserve">MDKI </t>
  </si>
  <si>
    <t>Emdeki Utama Tbk</t>
  </si>
  <si>
    <t>KINO</t>
  </si>
  <si>
    <t>Kino Indonesia Tbk</t>
  </si>
  <si>
    <t>KPAS</t>
  </si>
  <si>
    <t>Cottonindo Ariesta Tbk</t>
  </si>
  <si>
    <t>MBTO</t>
  </si>
  <si>
    <t>Martina Berto Tbk</t>
  </si>
  <si>
    <t>MRAT</t>
  </si>
  <si>
    <t>Mustika Ratu Tbk</t>
  </si>
  <si>
    <t>NANO</t>
  </si>
  <si>
    <t>PT Nanotech Indonesia Global Tbk</t>
  </si>
  <si>
    <t>TCID</t>
  </si>
  <si>
    <t>Mandom Indonesia Tbk</t>
  </si>
  <si>
    <t>UNVR</t>
  </si>
  <si>
    <t>Unilever Indonesia Tbk</t>
  </si>
  <si>
    <t>VICI</t>
  </si>
  <si>
    <t>Victoria Care Indonesia Tbk</t>
  </si>
  <si>
    <t>CBMF</t>
  </si>
  <si>
    <t>Cahaya Bintang Medan Tbk</t>
  </si>
  <si>
    <t>CINT</t>
  </si>
  <si>
    <t>Chitose International Tbk</t>
  </si>
  <si>
    <t xml:space="preserve">FLMC </t>
  </si>
  <si>
    <t>Falmaco Nonwoven Industri Tbk</t>
  </si>
  <si>
    <t>KICI</t>
  </si>
  <si>
    <t>Kedaung Indah Can Tbk</t>
  </si>
  <si>
    <t>LMPI</t>
  </si>
  <si>
    <t>Langgeng Makmur Industri Tbk</t>
  </si>
  <si>
    <t>SOFA</t>
  </si>
  <si>
    <t>Boston Furniture Industries</t>
  </si>
  <si>
    <t>OLIV</t>
  </si>
  <si>
    <t>Oscar Mitra Sukses Sejahtera </t>
  </si>
  <si>
    <t>WOOD</t>
  </si>
  <si>
    <t>Integra Indocabinet Tbk</t>
  </si>
  <si>
    <t>BIKE</t>
  </si>
  <si>
    <t>PT Sepeda Bersama Indonesia Tbk</t>
  </si>
  <si>
    <t>BOBA</t>
  </si>
  <si>
    <t>Formosa Ingredient Factory Tbk</t>
  </si>
  <si>
    <t>HRTA</t>
  </si>
  <si>
    <t>Hartadinata Abadi Tbk</t>
  </si>
  <si>
    <t>TOYS</t>
  </si>
  <si>
    <t>Sunindo Adipersada Tbk </t>
  </si>
  <si>
    <t>Sumber: https://wwweddyellycom/2022/08/daftar-perusahaan-manufaktur-tahun-2022html</t>
  </si>
  <si>
    <t>perusahaan menggunakan dolar</t>
  </si>
  <si>
    <t>perusahaan belum IPO / terdaftar</t>
  </si>
  <si>
    <t>tdk mempublikasikan lap keu</t>
  </si>
  <si>
    <t>rugi</t>
  </si>
  <si>
    <t>laporan keuangan perusahaan tidak berakhir di Desember</t>
  </si>
  <si>
    <t>tidak membagikan dividen</t>
  </si>
  <si>
    <t xml:space="preserve">Keterangan </t>
  </si>
  <si>
    <t>Jumlah</t>
  </si>
  <si>
    <t xml:space="preserve">Populasi: Perusahaan manufaktur yang terdaftar di BEI </t>
  </si>
  <si>
    <r>
      <t>Pengambilan sampel berdasarkan kriteria (</t>
    </r>
    <r>
      <rPr>
        <b/>
        <i/>
        <sz val="11"/>
        <color theme="1"/>
        <rFont val="Comic Sans MS"/>
        <family val="4"/>
      </rPr>
      <t>purposive sampling</t>
    </r>
    <r>
      <rPr>
        <b/>
        <sz val="11"/>
        <color theme="1"/>
        <rFont val="Comic Sans MS"/>
        <family val="4"/>
      </rPr>
      <t>):</t>
    </r>
  </si>
  <si>
    <r>
      <t>1.</t>
    </r>
    <r>
      <rPr>
        <b/>
        <sz val="7"/>
        <color theme="1"/>
        <rFont val="Times New Roman"/>
        <family val="1"/>
      </rPr>
      <t xml:space="preserve">  </t>
    </r>
    <r>
      <rPr>
        <b/>
        <sz val="11"/>
        <color theme="1"/>
        <rFont val="Comic Sans MS"/>
        <family val="4"/>
      </rPr>
      <t>Perusahaan yang tidak terdaftar di BEI secara berturut-turut dari tahun 2018-2022</t>
    </r>
  </si>
  <si>
    <r>
      <t>2.</t>
    </r>
    <r>
      <rPr>
        <b/>
        <sz val="7"/>
        <color theme="1"/>
        <rFont val="Times New Roman"/>
        <family val="1"/>
      </rPr>
      <t xml:space="preserve">  </t>
    </r>
    <r>
      <rPr>
        <b/>
        <sz val="11"/>
        <color theme="1"/>
        <rFont val="Comic Sans MS"/>
        <family val="4"/>
      </rPr>
      <t>Perusahaan yang tidak melaporkan laporan keuangan periode tahun 2018-2022</t>
    </r>
  </si>
  <si>
    <t>3. Perusahaan yang tidak membagikan dividen</t>
  </si>
  <si>
    <t>Sampel Penelitian</t>
  </si>
  <si>
    <t>Total Sampel (n x periode penelitian) (49  x 5 tahun)</t>
  </si>
  <si>
    <t>Seleksi 1: Perusahaan terdaftar 2018-2022</t>
  </si>
  <si>
    <t>Perusahaan tidak terdaftar 2018-2022</t>
  </si>
  <si>
    <t>Seleksi 2: Perusahaan mempulikasikan laporan keuangan</t>
  </si>
  <si>
    <t>Perusahaan tidak mempulikasikan laporan keuangan</t>
  </si>
  <si>
    <t>Seleksi 3: Perusahaan membagikan dividen</t>
  </si>
  <si>
    <t>Perusahaan tidak membagikan dividen</t>
  </si>
  <si>
    <t>DPS</t>
  </si>
  <si>
    <t>EPS</t>
  </si>
  <si>
    <t>DPR</t>
  </si>
  <si>
    <t>RR</t>
  </si>
  <si>
    <t>KAS DAN SETARA KAS</t>
  </si>
  <si>
    <t>CASH</t>
  </si>
  <si>
    <t>UKURAN PERUSAHAAN</t>
  </si>
  <si>
    <t>HARGA SAHAM</t>
  </si>
  <si>
    <t>TOTALHUTANG</t>
  </si>
  <si>
    <t>TOBIN</t>
  </si>
  <si>
    <t>No</t>
  </si>
  <si>
    <t>Nama Perusahaan</t>
  </si>
  <si>
    <t>Tahun</t>
  </si>
  <si>
    <t>MDKI</t>
  </si>
  <si>
    <t>ESG SC0RE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</si>
</sst>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11"/>
      <color rgb="FF000000"/>
      <name val="Arial"/>
      <family val="2"/>
    </font>
    <font>
      <sz val="11"/>
      <color rgb="FF666666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1"/>
      <scheme val="minor"/>
    </font>
    <font>
      <sz val="11"/>
      <name val="Arial"/>
      <family val="2"/>
    </font>
    <font>
      <sz val="11"/>
      <name val="Calibri"/>
      <family val="2"/>
    </font>
    <font>
      <sz val="11"/>
      <color rgb="FF3C3C3C"/>
      <name val="Segoe UI"/>
      <family val="2"/>
    </font>
    <font>
      <sz val="10"/>
      <name val="Arial"/>
      <family val="2"/>
    </font>
    <font>
      <sz val="12"/>
      <color rgb="FF212529"/>
      <name val="Open Sans"/>
      <family val="2"/>
    </font>
    <font>
      <sz val="11"/>
      <color rgb="FF262626"/>
      <name val="Segoe UI"/>
      <family val="2"/>
    </font>
    <font>
      <b/>
      <sz val="11"/>
      <color theme="1"/>
      <name val="Comic Sans MS"/>
      <family val="4"/>
    </font>
    <font>
      <b/>
      <i/>
      <sz val="11"/>
      <color theme="1"/>
      <name val="Comic Sans MS"/>
      <family val="4"/>
    </font>
    <font>
      <b/>
      <sz val="7"/>
      <color theme="1"/>
      <name val="Times New Roman"/>
      <family val="1"/>
    </font>
    <font>
      <sz val="10"/>
      <color theme="1"/>
      <name val="Calibri Light"/>
      <family val="2"/>
      <scheme val="major"/>
    </font>
    <font>
      <sz val="11"/>
      <color rgb="FF222222"/>
      <name val="Arial"/>
      <family val="2"/>
    </font>
    <font>
      <sz val="10"/>
      <color rgb="FF232A31"/>
      <name val="Arial"/>
      <family val="2"/>
    </font>
    <font>
      <sz val="10"/>
      <color theme="1"/>
      <name val="Calibri"/>
      <family val="2"/>
      <scheme val="minor"/>
    </font>
    <font>
      <sz val="11"/>
      <color indexed="8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7030A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98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6" xfId="0" applyFont="1" applyBorder="1"/>
    <xf numFmtId="0" fontId="1" fillId="0" borderId="7" xfId="0" applyFont="1" applyBorder="1"/>
    <xf numFmtId="0" fontId="0" fillId="0" borderId="7" xfId="0" applyBorder="1" applyAlignment="1">
      <alignment vertical="top" wrapText="1"/>
    </xf>
    <xf numFmtId="164" fontId="0" fillId="0" borderId="7" xfId="0" applyNumberFormat="1" applyBorder="1" applyAlignment="1">
      <alignment horizontal="center"/>
    </xf>
    <xf numFmtId="3" fontId="2" fillId="0" borderId="7" xfId="0" applyNumberFormat="1" applyFont="1" applyBorder="1"/>
    <xf numFmtId="3" fontId="3" fillId="0" borderId="7" xfId="0" applyNumberFormat="1" applyFont="1" applyBorder="1" applyAlignment="1">
      <alignment horizontal="right"/>
    </xf>
    <xf numFmtId="3" fontId="0" fillId="0" borderId="7" xfId="0" applyNumberFormat="1" applyBorder="1"/>
    <xf numFmtId="3" fontId="4" fillId="0" borderId="7" xfId="0" applyNumberFormat="1" applyFont="1" applyBorder="1"/>
    <xf numFmtId="0" fontId="5" fillId="0" borderId="0" xfId="0" applyFont="1"/>
    <xf numFmtId="3" fontId="2" fillId="2" borderId="7" xfId="0" applyNumberFormat="1" applyFont="1" applyFill="1" applyBorder="1"/>
    <xf numFmtId="3" fontId="2" fillId="3" borderId="7" xfId="0" applyNumberFormat="1" applyFont="1" applyFill="1" applyBorder="1"/>
    <xf numFmtId="3" fontId="0" fillId="3" borderId="7" xfId="0" applyNumberFormat="1" applyFill="1" applyBorder="1"/>
    <xf numFmtId="3" fontId="0" fillId="4" borderId="7" xfId="0" applyNumberFormat="1" applyFill="1" applyBorder="1"/>
    <xf numFmtId="3" fontId="2" fillId="5" borderId="7" xfId="0" applyNumberFormat="1" applyFont="1" applyFill="1" applyBorder="1"/>
    <xf numFmtId="3" fontId="6" fillId="0" borderId="7" xfId="0" applyNumberFormat="1" applyFont="1" applyBorder="1" applyAlignment="1">
      <alignment horizontal="right"/>
    </xf>
    <xf numFmtId="3" fontId="3" fillId="5" borderId="7" xfId="0" applyNumberFormat="1" applyFont="1" applyFill="1" applyBorder="1" applyAlignment="1">
      <alignment horizontal="right"/>
    </xf>
    <xf numFmtId="0" fontId="0" fillId="0" borderId="7" xfId="1" applyFont="1" applyBorder="1"/>
    <xf numFmtId="3" fontId="8" fillId="2" borderId="7" xfId="0" applyNumberFormat="1" applyFont="1" applyFill="1" applyBorder="1"/>
    <xf numFmtId="3" fontId="2" fillId="4" borderId="7" xfId="0" applyNumberFormat="1" applyFont="1" applyFill="1" applyBorder="1"/>
    <xf numFmtId="3" fontId="0" fillId="5" borderId="7" xfId="0" applyNumberFormat="1" applyFill="1" applyBorder="1"/>
    <xf numFmtId="3" fontId="6" fillId="5" borderId="7" xfId="0" applyNumberFormat="1" applyFont="1" applyFill="1" applyBorder="1" applyAlignment="1">
      <alignment horizontal="right"/>
    </xf>
    <xf numFmtId="3" fontId="3" fillId="3" borderId="7" xfId="0" applyNumberFormat="1" applyFont="1" applyFill="1" applyBorder="1" applyAlignment="1">
      <alignment horizontal="right"/>
    </xf>
    <xf numFmtId="3" fontId="0" fillId="0" borderId="0" xfId="0" applyNumberFormat="1"/>
    <xf numFmtId="3" fontId="0" fillId="2" borderId="7" xfId="0" applyNumberFormat="1" applyFill="1" applyBorder="1"/>
    <xf numFmtId="3" fontId="8" fillId="6" borderId="7" xfId="0" applyNumberFormat="1" applyFont="1" applyFill="1" applyBorder="1"/>
    <xf numFmtId="3" fontId="8" fillId="0" borderId="7" xfId="0" applyNumberFormat="1" applyFont="1" applyBorder="1"/>
    <xf numFmtId="3" fontId="2" fillId="6" borderId="7" xfId="0" applyNumberFormat="1" applyFont="1" applyFill="1" applyBorder="1"/>
    <xf numFmtId="3" fontId="4" fillId="6" borderId="7" xfId="0" applyNumberFormat="1" applyFont="1" applyFill="1" applyBorder="1"/>
    <xf numFmtId="3" fontId="4" fillId="0" borderId="8" xfId="0" applyNumberFormat="1" applyFont="1" applyBorder="1"/>
    <xf numFmtId="0" fontId="5" fillId="7" borderId="0" xfId="0" applyFont="1" applyFill="1" applyAlignment="1">
      <alignment vertical="center" wrapText="1"/>
    </xf>
    <xf numFmtId="3" fontId="2" fillId="7" borderId="7" xfId="0" applyNumberFormat="1" applyFont="1" applyFill="1" applyBorder="1" applyAlignment="1">
      <alignment horizontal="right" vertical="center" indent="1"/>
    </xf>
    <xf numFmtId="3" fontId="4" fillId="7" borderId="7" xfId="0" applyNumberFormat="1" applyFont="1" applyFill="1" applyBorder="1" applyAlignment="1">
      <alignment horizontal="right" vertical="center" indent="1"/>
    </xf>
    <xf numFmtId="0" fontId="9" fillId="0" borderId="7" xfId="0" applyFont="1" applyBorder="1" applyAlignment="1">
      <alignment horizontal="right" vertical="center"/>
    </xf>
    <xf numFmtId="164" fontId="0" fillId="0" borderId="7" xfId="0" applyNumberFormat="1" applyBorder="1" applyAlignment="1">
      <alignment horizontal="left"/>
    </xf>
    <xf numFmtId="3" fontId="2" fillId="3" borderId="9" xfId="0" applyNumberFormat="1" applyFont="1" applyFill="1" applyBorder="1"/>
    <xf numFmtId="3" fontId="2" fillId="8" borderId="7" xfId="0" applyNumberFormat="1" applyFont="1" applyFill="1" applyBorder="1"/>
    <xf numFmtId="3" fontId="0" fillId="8" borderId="7" xfId="0" applyNumberFormat="1" applyFill="1" applyBorder="1"/>
    <xf numFmtId="3" fontId="6" fillId="3" borderId="7" xfId="0" applyNumberFormat="1" applyFont="1" applyFill="1" applyBorder="1" applyAlignment="1">
      <alignment horizontal="right"/>
    </xf>
    <xf numFmtId="3" fontId="0" fillId="6" borderId="7" xfId="0" applyNumberFormat="1" applyFill="1" applyBorder="1"/>
    <xf numFmtId="3" fontId="4" fillId="2" borderId="7" xfId="0" applyNumberFormat="1" applyFont="1" applyFill="1" applyBorder="1"/>
    <xf numFmtId="3" fontId="2" fillId="9" borderId="7" xfId="0" applyNumberFormat="1" applyFont="1" applyFill="1" applyBorder="1"/>
    <xf numFmtId="3" fontId="0" fillId="9" borderId="7" xfId="0" applyNumberFormat="1" applyFill="1" applyBorder="1"/>
    <xf numFmtId="0" fontId="10" fillId="0" borderId="7" xfId="0" applyFont="1" applyBorder="1"/>
    <xf numFmtId="0" fontId="0" fillId="2" borderId="0" xfId="0" applyFill="1"/>
    <xf numFmtId="3" fontId="2" fillId="6" borderId="9" xfId="0" applyNumberFormat="1" applyFont="1" applyFill="1" applyBorder="1"/>
    <xf numFmtId="3" fontId="11" fillId="5" borderId="7" xfId="0" applyNumberFormat="1" applyFont="1" applyFill="1" applyBorder="1"/>
    <xf numFmtId="164" fontId="0" fillId="0" borderId="7" xfId="0" applyNumberFormat="1" applyBorder="1" applyAlignment="1">
      <alignment horizontal="right"/>
    </xf>
    <xf numFmtId="0" fontId="7" fillId="0" borderId="7" xfId="1" applyBorder="1"/>
    <xf numFmtId="15" fontId="12" fillId="0" borderId="0" xfId="0" applyNumberFormat="1" applyFont="1"/>
    <xf numFmtId="3" fontId="2" fillId="0" borderId="9" xfId="0" applyNumberFormat="1" applyFont="1" applyBorder="1"/>
    <xf numFmtId="0" fontId="5" fillId="0" borderId="7" xfId="0" applyFont="1" applyBorder="1" applyAlignment="1">
      <alignment vertical="top" wrapText="1"/>
    </xf>
    <xf numFmtId="0" fontId="5" fillId="0" borderId="7" xfId="0" applyFont="1" applyBorder="1"/>
    <xf numFmtId="3" fontId="0" fillId="0" borderId="8" xfId="0" applyNumberFormat="1" applyBorder="1"/>
    <xf numFmtId="0" fontId="4" fillId="2" borderId="7" xfId="0" applyFont="1" applyFill="1" applyBorder="1"/>
    <xf numFmtId="0" fontId="0" fillId="0" borderId="7" xfId="0" applyBorder="1"/>
    <xf numFmtId="0" fontId="0" fillId="2" borderId="7" xfId="0" applyFill="1" applyBorder="1"/>
    <xf numFmtId="0" fontId="8" fillId="3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8" fillId="2" borderId="0" xfId="0" applyFont="1" applyFill="1" applyAlignment="1">
      <alignment vertical="center"/>
    </xf>
    <xf numFmtId="0" fontId="8" fillId="6" borderId="0" xfId="0" applyFont="1" applyFill="1" applyAlignment="1">
      <alignment vertical="center"/>
    </xf>
    <xf numFmtId="0" fontId="8" fillId="5" borderId="0" xfId="0" applyFont="1" applyFill="1" applyAlignment="1">
      <alignment vertical="center"/>
    </xf>
    <xf numFmtId="0" fontId="8" fillId="9" borderId="0" xfId="0" applyFont="1" applyFill="1" applyAlignment="1">
      <alignment vertical="center"/>
    </xf>
    <xf numFmtId="0" fontId="13" fillId="0" borderId="0" xfId="0" applyFont="1"/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justify" vertical="center" wrapText="1"/>
    </xf>
    <xf numFmtId="0" fontId="14" fillId="0" borderId="13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right"/>
    </xf>
    <xf numFmtId="3" fontId="17" fillId="0" borderId="9" xfId="0" applyNumberFormat="1" applyFont="1" applyBorder="1"/>
    <xf numFmtId="4" fontId="3" fillId="0" borderId="7" xfId="0" applyNumberFormat="1" applyFont="1" applyBorder="1" applyAlignment="1">
      <alignment horizontal="right"/>
    </xf>
    <xf numFmtId="2" fontId="0" fillId="0" borderId="7" xfId="0" applyNumberFormat="1" applyBorder="1"/>
    <xf numFmtId="3" fontId="2" fillId="0" borderId="7" xfId="0" applyNumberFormat="1" applyFont="1" applyBorder="1" applyAlignment="1">
      <alignment horizontal="right" vertical="center" indent="1"/>
    </xf>
    <xf numFmtId="4" fontId="0" fillId="0" borderId="7" xfId="0" applyNumberFormat="1" applyBorder="1"/>
    <xf numFmtId="3" fontId="4" fillId="0" borderId="7" xfId="0" applyNumberFormat="1" applyFont="1" applyBorder="1" applyAlignment="1">
      <alignment horizontal="right" vertical="center" indent="1"/>
    </xf>
    <xf numFmtId="3" fontId="20" fillId="0" borderId="7" xfId="0" applyNumberFormat="1" applyFont="1" applyBorder="1"/>
    <xf numFmtId="3" fontId="0" fillId="0" borderId="9" xfId="0" applyNumberFormat="1" applyBorder="1"/>
    <xf numFmtId="0" fontId="4" fillId="0" borderId="7" xfId="0" applyFont="1" applyBorder="1"/>
    <xf numFmtId="3" fontId="18" fillId="0" borderId="7" xfId="0" applyNumberFormat="1" applyFont="1" applyBorder="1"/>
    <xf numFmtId="0" fontId="6" fillId="0" borderId="7" xfId="0" applyFont="1" applyBorder="1" applyAlignment="1">
      <alignment horizontal="center" vertical="top" wrapText="1"/>
    </xf>
    <xf numFmtId="3" fontId="21" fillId="0" borderId="7" xfId="0" applyNumberFormat="1" applyFont="1" applyBorder="1" applyAlignment="1">
      <alignment horizontal="right"/>
    </xf>
    <xf numFmtId="3" fontId="8" fillId="0" borderId="7" xfId="0" applyNumberFormat="1" applyFont="1" applyBorder="1" applyAlignment="1">
      <alignment vertical="center"/>
    </xf>
    <xf numFmtId="3" fontId="0" fillId="0" borderId="7" xfId="0" applyNumberFormat="1" applyBorder="1" applyAlignment="1">
      <alignment vertical="center"/>
    </xf>
    <xf numFmtId="0" fontId="18" fillId="0" borderId="7" xfId="0" applyFont="1" applyBorder="1"/>
    <xf numFmtId="0" fontId="19" fillId="0" borderId="0" xfId="0" applyFont="1"/>
    <xf numFmtId="3" fontId="2" fillId="0" borderId="8" xfId="0" applyNumberFormat="1" applyFont="1" applyBorder="1"/>
    <xf numFmtId="3" fontId="4" fillId="0" borderId="9" xfId="0" applyNumberFormat="1" applyFont="1" applyBorder="1"/>
    <xf numFmtId="0" fontId="23" fillId="0" borderId="7" xfId="0" applyFont="1" applyBorder="1" applyAlignment="1">
      <alignment horizontal="center" vertical="center"/>
    </xf>
    <xf numFmtId="0" fontId="25" fillId="0" borderId="7" xfId="0" applyFont="1" applyBorder="1"/>
    <xf numFmtId="10" fontId="22" fillId="0" borderId="7" xfId="0" applyNumberFormat="1" applyFont="1" applyBorder="1" applyAlignment="1">
      <alignment horizontal="center"/>
    </xf>
    <xf numFmtId="10" fontId="0" fillId="0" borderId="7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24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33655307-461C-45D1-BCF6-F95D9D0092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javascript:void(0)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javascript:void(0)" TargetMode="External"/><Relationship Id="rId2" Type="http://schemas.openxmlformats.org/officeDocument/2006/relationships/hyperlink" Target="javascript:void(0)" TargetMode="External"/><Relationship Id="rId1" Type="http://schemas.openxmlformats.org/officeDocument/2006/relationships/hyperlink" Target="javascript:void(0)" TargetMode="External"/><Relationship Id="rId6" Type="http://schemas.openxmlformats.org/officeDocument/2006/relationships/hyperlink" Target="javascript:void(0)" TargetMode="External"/><Relationship Id="rId5" Type="http://schemas.openxmlformats.org/officeDocument/2006/relationships/hyperlink" Target="javascript:void(0)" TargetMode="External"/><Relationship Id="rId4" Type="http://schemas.openxmlformats.org/officeDocument/2006/relationships/hyperlink" Target="javascript:void(0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B92D7-FAD5-42B3-8922-B7E19D63F2BB}">
  <dimension ref="A1:AH239"/>
  <sheetViews>
    <sheetView workbookViewId="0">
      <selection activeCell="D11" sqref="D11"/>
    </sheetView>
  </sheetViews>
  <sheetFormatPr defaultRowHeight="15" x14ac:dyDescent="0.25"/>
  <cols>
    <col min="1" max="1" width="3.85546875" bestFit="1" customWidth="1"/>
    <col min="2" max="2" width="6.85546875" bestFit="1" customWidth="1"/>
    <col min="3" max="3" width="46.42578125" hidden="1" customWidth="1"/>
    <col min="4" max="4" width="14" customWidth="1"/>
    <col min="5" max="5" width="18.5703125" bestFit="1" customWidth="1"/>
    <col min="6" max="6" width="16" customWidth="1"/>
    <col min="7" max="11" width="18.140625" customWidth="1"/>
    <col min="12" max="14" width="17.140625" customWidth="1"/>
    <col min="25" max="28" width="16" customWidth="1"/>
    <col min="29" max="29" width="17.140625" customWidth="1"/>
    <col min="30" max="31" width="14.42578125" hidden="1" customWidth="1"/>
    <col min="32" max="34" width="14.42578125" customWidth="1"/>
  </cols>
  <sheetData>
    <row r="1" spans="1:34" x14ac:dyDescent="0.25">
      <c r="A1" s="1" t="s">
        <v>0</v>
      </c>
      <c r="B1" s="1" t="s">
        <v>1</v>
      </c>
      <c r="C1" s="2" t="s">
        <v>2</v>
      </c>
      <c r="D1" s="2" t="s">
        <v>3</v>
      </c>
      <c r="E1" s="95" t="s">
        <v>4</v>
      </c>
      <c r="F1" s="95"/>
      <c r="G1" s="95"/>
      <c r="H1" s="95"/>
      <c r="I1" s="95"/>
      <c r="J1" s="93" t="s">
        <v>5</v>
      </c>
      <c r="K1" s="93"/>
      <c r="L1" s="93"/>
      <c r="M1" s="93"/>
      <c r="N1" s="94"/>
      <c r="O1" s="93" t="s">
        <v>6</v>
      </c>
      <c r="P1" s="93"/>
      <c r="Q1" s="93"/>
      <c r="R1" s="93" t="s">
        <v>7</v>
      </c>
      <c r="S1" s="93"/>
      <c r="T1" s="93"/>
      <c r="U1" s="93" t="s">
        <v>8</v>
      </c>
      <c r="V1" s="93"/>
      <c r="W1" s="93"/>
      <c r="Y1" s="93" t="s">
        <v>9</v>
      </c>
      <c r="Z1" s="93"/>
      <c r="AA1" s="93"/>
      <c r="AB1" s="93"/>
      <c r="AC1" s="94"/>
      <c r="AD1" s="93" t="s">
        <v>8</v>
      </c>
      <c r="AE1" s="93"/>
      <c r="AF1" s="93"/>
      <c r="AG1" s="93"/>
      <c r="AH1" s="94"/>
    </row>
    <row r="2" spans="1:34" x14ac:dyDescent="0.25">
      <c r="A2" s="3"/>
      <c r="B2" s="3"/>
      <c r="C2" s="3"/>
      <c r="D2" s="3"/>
      <c r="E2" s="3">
        <v>2018</v>
      </c>
      <c r="F2" s="3">
        <v>2019</v>
      </c>
      <c r="G2" s="4">
        <v>2020</v>
      </c>
      <c r="H2" s="4">
        <v>2021</v>
      </c>
      <c r="I2" s="4">
        <v>2022</v>
      </c>
      <c r="J2" s="3">
        <v>2018</v>
      </c>
      <c r="K2" s="3">
        <v>2019</v>
      </c>
      <c r="L2" s="4">
        <v>2020</v>
      </c>
      <c r="M2" s="4">
        <v>2021</v>
      </c>
      <c r="N2" s="4">
        <v>2022</v>
      </c>
      <c r="O2" s="4">
        <v>2020</v>
      </c>
      <c r="P2" s="4">
        <v>2021</v>
      </c>
      <c r="Q2" s="4">
        <v>2022</v>
      </c>
      <c r="R2" s="4">
        <v>2020</v>
      </c>
      <c r="S2" s="4">
        <v>2021</v>
      </c>
      <c r="T2" s="4">
        <v>2022</v>
      </c>
      <c r="U2" s="4">
        <v>2020</v>
      </c>
      <c r="V2" s="4">
        <v>2021</v>
      </c>
      <c r="W2" s="4">
        <v>2022</v>
      </c>
      <c r="Y2" s="3">
        <v>2018</v>
      </c>
      <c r="Z2" s="3">
        <v>2019</v>
      </c>
      <c r="AA2" s="4">
        <v>2020</v>
      </c>
      <c r="AB2" s="4">
        <v>2021</v>
      </c>
      <c r="AC2" s="4">
        <v>2022</v>
      </c>
      <c r="AD2" s="3">
        <v>2018</v>
      </c>
      <c r="AE2" s="3">
        <v>2019</v>
      </c>
      <c r="AF2" s="4">
        <v>2020</v>
      </c>
      <c r="AG2" s="4">
        <v>2021</v>
      </c>
      <c r="AH2" s="4">
        <v>2022</v>
      </c>
    </row>
    <row r="3" spans="1:34" x14ac:dyDescent="0.25">
      <c r="A3" s="5">
        <v>1</v>
      </c>
      <c r="B3" s="5" t="s">
        <v>10</v>
      </c>
      <c r="C3" s="5" t="s">
        <v>11</v>
      </c>
      <c r="D3" s="6">
        <v>32847</v>
      </c>
      <c r="E3" s="7">
        <v>27788562000000</v>
      </c>
      <c r="F3" s="7">
        <v>27707749000000</v>
      </c>
      <c r="G3" s="7">
        <v>27344672000000</v>
      </c>
      <c r="H3" s="7">
        <v>26136114000000</v>
      </c>
      <c r="I3" s="8">
        <v>25706169000000</v>
      </c>
      <c r="J3" s="7">
        <v>1145937000000</v>
      </c>
      <c r="K3" s="7">
        <v>1835305000000</v>
      </c>
      <c r="L3" s="7">
        <v>1806337000000</v>
      </c>
      <c r="M3" s="9">
        <v>1788496000000</v>
      </c>
      <c r="N3" s="8">
        <v>1842434000000</v>
      </c>
      <c r="Y3" s="9">
        <v>2576862000000</v>
      </c>
      <c r="Z3" s="9">
        <v>2024677000000</v>
      </c>
      <c r="AA3" s="9">
        <v>2668893000000</v>
      </c>
      <c r="AB3" s="9">
        <v>1840616000000</v>
      </c>
      <c r="AC3" s="9">
        <v>1740821000000</v>
      </c>
      <c r="AD3" s="10">
        <v>3681231699</v>
      </c>
      <c r="AE3" s="10">
        <v>3681231699</v>
      </c>
      <c r="AF3" s="9">
        <v>3681231699</v>
      </c>
      <c r="AG3" s="9">
        <v>3549811099</v>
      </c>
      <c r="AH3" s="8">
        <v>3431073399</v>
      </c>
    </row>
    <row r="4" spans="1:34" x14ac:dyDescent="0.25">
      <c r="A4" s="5">
        <v>2</v>
      </c>
      <c r="B4" s="5" t="s">
        <v>12</v>
      </c>
      <c r="C4" s="11" t="s">
        <v>13</v>
      </c>
      <c r="D4" s="6">
        <v>44447</v>
      </c>
      <c r="E4" s="12"/>
      <c r="F4" s="12"/>
      <c r="G4" s="12"/>
      <c r="H4" s="13">
        <v>128683397</v>
      </c>
      <c r="I4" s="13">
        <v>123802012</v>
      </c>
      <c r="J4" s="12"/>
      <c r="K4" s="12"/>
      <c r="L4" s="12"/>
      <c r="M4" s="14">
        <v>-11914342</v>
      </c>
      <c r="N4" s="14">
        <v>5126255</v>
      </c>
      <c r="Y4" s="12"/>
      <c r="Z4" s="12"/>
      <c r="AA4" s="12"/>
      <c r="AB4" s="14">
        <v>2940000</v>
      </c>
      <c r="AC4" s="14">
        <v>2825000</v>
      </c>
      <c r="AD4" s="12"/>
      <c r="AE4" s="12"/>
      <c r="AF4" s="12"/>
      <c r="AG4" s="9">
        <v>15819142767</v>
      </c>
      <c r="AH4" s="9">
        <v>15819142767</v>
      </c>
    </row>
    <row r="5" spans="1:34" x14ac:dyDescent="0.25">
      <c r="A5" s="5">
        <v>3</v>
      </c>
      <c r="B5" s="5" t="s">
        <v>14</v>
      </c>
      <c r="C5" s="5" t="s">
        <v>15</v>
      </c>
      <c r="D5" s="6">
        <v>41453</v>
      </c>
      <c r="E5" s="7">
        <v>5538079503000</v>
      </c>
      <c r="F5" s="7">
        <v>5571270204000</v>
      </c>
      <c r="G5" s="7">
        <v>5737175560000</v>
      </c>
      <c r="H5" s="8">
        <v>5271953697000</v>
      </c>
      <c r="I5" s="8">
        <v>5211248525000</v>
      </c>
      <c r="J5" s="7">
        <v>76074721000</v>
      </c>
      <c r="K5" s="7">
        <v>30073855000</v>
      </c>
      <c r="L5" s="7">
        <v>10981673000</v>
      </c>
      <c r="M5" s="9">
        <v>51817305000</v>
      </c>
      <c r="N5" s="8">
        <v>94827889000</v>
      </c>
      <c r="Y5" s="9">
        <v>36661209000</v>
      </c>
      <c r="Z5" s="9">
        <v>18971143000</v>
      </c>
      <c r="AA5" s="9">
        <v>6158861000</v>
      </c>
      <c r="AB5" s="15"/>
      <c r="AC5" s="15"/>
      <c r="AD5" s="10">
        <v>9932534336</v>
      </c>
      <c r="AE5" s="10">
        <v>20067465664</v>
      </c>
      <c r="AF5" s="9">
        <v>9932534336</v>
      </c>
      <c r="AG5" s="9">
        <v>9932534336</v>
      </c>
      <c r="AH5" s="8">
        <v>9932534336</v>
      </c>
    </row>
    <row r="6" spans="1:34" x14ac:dyDescent="0.25">
      <c r="A6" s="5">
        <v>4</v>
      </c>
      <c r="B6" s="5" t="s">
        <v>16</v>
      </c>
      <c r="C6" s="5" t="s">
        <v>17</v>
      </c>
      <c r="D6" s="6">
        <v>35713</v>
      </c>
      <c r="E6" s="7">
        <v>18667187000000</v>
      </c>
      <c r="F6" s="7">
        <v>19567498000000</v>
      </c>
      <c r="G6" s="7">
        <v>20738125000000</v>
      </c>
      <c r="H6" s="8">
        <v>21491023000000</v>
      </c>
      <c r="I6" s="8">
        <v>21378510000000</v>
      </c>
      <c r="J6" s="16">
        <v>-827985000000</v>
      </c>
      <c r="K6" s="7">
        <v>499052000000</v>
      </c>
      <c r="L6" s="7">
        <v>650988000000</v>
      </c>
      <c r="M6" s="9">
        <v>720933000000</v>
      </c>
      <c r="N6" s="8">
        <v>839276000000</v>
      </c>
      <c r="Y6" s="15"/>
      <c r="Z6" s="15"/>
      <c r="AA6" s="9">
        <v>27586000000</v>
      </c>
      <c r="AB6" s="7">
        <v>195296000000</v>
      </c>
      <c r="AC6" s="8">
        <v>216280000000</v>
      </c>
      <c r="AD6" s="10">
        <v>7662900000</v>
      </c>
      <c r="AE6" s="10">
        <v>7662900000</v>
      </c>
      <c r="AF6" s="9">
        <v>7662900000</v>
      </c>
      <c r="AG6" s="9">
        <v>9019381973</v>
      </c>
      <c r="AH6" s="8">
        <v>9019381973</v>
      </c>
    </row>
    <row r="7" spans="1:34" x14ac:dyDescent="0.25">
      <c r="A7" s="5">
        <v>5</v>
      </c>
      <c r="B7" s="5" t="s">
        <v>18</v>
      </c>
      <c r="C7" s="5" t="s">
        <v>19</v>
      </c>
      <c r="D7" s="6">
        <v>33427</v>
      </c>
      <c r="E7" s="7">
        <v>51155890227000</v>
      </c>
      <c r="F7" s="7">
        <v>79807067000000</v>
      </c>
      <c r="G7" s="7">
        <v>78006244000000</v>
      </c>
      <c r="H7" s="8">
        <v>81766327000000</v>
      </c>
      <c r="I7" s="8">
        <v>82960012000000</v>
      </c>
      <c r="J7" s="7">
        <v>3085704236000</v>
      </c>
      <c r="K7" s="7">
        <v>2371233000000</v>
      </c>
      <c r="L7" s="7">
        <v>2674343000000</v>
      </c>
      <c r="M7" s="9">
        <v>2082347000000</v>
      </c>
      <c r="N7" s="17">
        <v>2499083000000</v>
      </c>
      <c r="Y7" s="9">
        <v>82711000000</v>
      </c>
      <c r="Z7" s="9">
        <v>1244948000000</v>
      </c>
      <c r="AA7" s="9">
        <v>254472000000</v>
      </c>
      <c r="AB7" s="7">
        <v>1132829000000</v>
      </c>
      <c r="AC7" s="8">
        <v>1064311000000</v>
      </c>
      <c r="AD7" s="9">
        <v>5931520000</v>
      </c>
      <c r="AE7" s="9">
        <v>5931520000</v>
      </c>
      <c r="AF7" s="9">
        <v>5931520000</v>
      </c>
      <c r="AG7" s="9">
        <v>5931520000</v>
      </c>
      <c r="AH7" s="9">
        <v>6751540089</v>
      </c>
    </row>
    <row r="8" spans="1:34" x14ac:dyDescent="0.25">
      <c r="A8" s="5">
        <v>6</v>
      </c>
      <c r="B8" s="5" t="s">
        <v>20</v>
      </c>
      <c r="C8" s="5" t="s">
        <v>21</v>
      </c>
      <c r="D8" s="6">
        <v>41737</v>
      </c>
      <c r="E8" s="7">
        <v>15222388589814</v>
      </c>
      <c r="F8" s="7">
        <v>16149121684330</v>
      </c>
      <c r="G8" s="7">
        <v>10557550739243</v>
      </c>
      <c r="H8" s="8">
        <v>6882077282159</v>
      </c>
      <c r="I8" s="17">
        <v>5963657951878</v>
      </c>
      <c r="J8" s="7">
        <v>1103472788182</v>
      </c>
      <c r="K8" s="7">
        <v>806148752926</v>
      </c>
      <c r="L8" s="16">
        <v>-4759958927543</v>
      </c>
      <c r="M8" s="18">
        <v>-1943362438396</v>
      </c>
      <c r="N8" s="17">
        <v>675769677491</v>
      </c>
      <c r="Y8" s="9">
        <v>750247612882</v>
      </c>
      <c r="Z8" s="9">
        <v>551607222015</v>
      </c>
      <c r="AA8" s="9">
        <v>201520505109</v>
      </c>
      <c r="AB8" s="15"/>
      <c r="AC8" s="15"/>
      <c r="AD8" s="9">
        <v>26361157534</v>
      </c>
      <c r="AE8" s="9">
        <v>26361157534</v>
      </c>
      <c r="AF8" s="9">
        <v>26361157534</v>
      </c>
      <c r="AG8" s="9">
        <v>26361157534</v>
      </c>
      <c r="AH8" s="9">
        <v>26361157534</v>
      </c>
    </row>
    <row r="9" spans="1:34" x14ac:dyDescent="0.25">
      <c r="A9" s="5">
        <v>7</v>
      </c>
      <c r="B9" s="5" t="s">
        <v>22</v>
      </c>
      <c r="C9" s="11" t="s">
        <v>23</v>
      </c>
      <c r="D9" s="6">
        <v>41262</v>
      </c>
      <c r="E9" s="7">
        <v>124391581623636</v>
      </c>
      <c r="F9" s="7">
        <v>122589259350571</v>
      </c>
      <c r="G9" s="7">
        <v>100767648407325</v>
      </c>
      <c r="H9" s="7">
        <v>103601611883340</v>
      </c>
      <c r="I9" s="7">
        <v>98232316628846</v>
      </c>
      <c r="J9" s="7">
        <v>4619567705553</v>
      </c>
      <c r="K9" s="7">
        <v>1028898367891</v>
      </c>
      <c r="L9" s="16">
        <v>-9287793197812</v>
      </c>
      <c r="M9" s="16">
        <v>-1838733441975</v>
      </c>
      <c r="N9" s="7">
        <v>-1672733807060</v>
      </c>
      <c r="Y9" s="9">
        <v>776342383468</v>
      </c>
      <c r="Z9" s="9">
        <v>990709507966</v>
      </c>
      <c r="AA9" s="9">
        <v>71507276041</v>
      </c>
      <c r="AB9" s="15"/>
      <c r="AC9" s="15"/>
      <c r="AD9" s="9">
        <v>13573902600</v>
      </c>
      <c r="AE9" s="9">
        <v>13573902600</v>
      </c>
      <c r="AF9" s="9">
        <v>13573951000</v>
      </c>
      <c r="AG9" s="9">
        <v>26315886475</v>
      </c>
      <c r="AH9" s="9">
        <v>28806807016</v>
      </c>
    </row>
    <row r="10" spans="1:34" x14ac:dyDescent="0.25">
      <c r="A10" s="5">
        <v>8</v>
      </c>
      <c r="B10" s="5" t="s">
        <v>24</v>
      </c>
      <c r="C10" s="5" t="s">
        <v>25</v>
      </c>
      <c r="D10" s="6">
        <v>42633</v>
      </c>
      <c r="E10" s="7">
        <v>8881778299672</v>
      </c>
      <c r="F10" s="7">
        <v>10337895087207</v>
      </c>
      <c r="G10" s="7">
        <v>8509017299594</v>
      </c>
      <c r="H10" s="8">
        <v>9082511044439</v>
      </c>
      <c r="I10" s="17">
        <v>9447528704261</v>
      </c>
      <c r="J10" s="7">
        <v>486640174453</v>
      </c>
      <c r="K10" s="7">
        <v>510711733403</v>
      </c>
      <c r="L10" s="7">
        <v>123147079420</v>
      </c>
      <c r="M10" s="8">
        <v>81433957569</v>
      </c>
      <c r="N10" s="17">
        <v>171060047099</v>
      </c>
      <c r="Y10" s="9">
        <v>101143683915</v>
      </c>
      <c r="Z10" s="9">
        <v>145937796276</v>
      </c>
      <c r="AA10" s="9">
        <v>128103935065</v>
      </c>
      <c r="AB10" s="7">
        <v>25633343020</v>
      </c>
      <c r="AC10" s="17">
        <v>16559386540</v>
      </c>
      <c r="AD10" s="9">
        <v>8715466600</v>
      </c>
      <c r="AE10" s="9">
        <v>8715466600</v>
      </c>
      <c r="AF10" s="9">
        <v>8715466600</v>
      </c>
      <c r="AG10" s="9">
        <v>8715466600</v>
      </c>
      <c r="AH10" s="9">
        <v>8715466600</v>
      </c>
    </row>
    <row r="11" spans="1:34" x14ac:dyDescent="0.25">
      <c r="A11" s="5">
        <v>9</v>
      </c>
      <c r="B11" s="19" t="s">
        <v>26</v>
      </c>
      <c r="C11" s="19" t="s">
        <v>27</v>
      </c>
      <c r="D11" s="6">
        <v>44265</v>
      </c>
      <c r="E11" s="20"/>
      <c r="F11" s="20"/>
      <c r="G11" s="12"/>
      <c r="H11" s="8">
        <v>728297403605</v>
      </c>
      <c r="I11" s="17">
        <v>816796722522</v>
      </c>
      <c r="J11" s="12"/>
      <c r="K11" s="12"/>
      <c r="L11" s="12"/>
      <c r="M11" s="17">
        <v>110071266044</v>
      </c>
      <c r="N11" s="17">
        <v>122919207172</v>
      </c>
      <c r="Y11" s="12"/>
      <c r="Z11" s="12"/>
      <c r="AA11" s="12"/>
      <c r="AB11" s="15"/>
      <c r="AC11" s="8">
        <v>33030000000</v>
      </c>
      <c r="AD11" s="20"/>
      <c r="AE11" s="20"/>
      <c r="AF11" s="20"/>
      <c r="AG11" s="9">
        <v>9000000000</v>
      </c>
      <c r="AH11" s="9">
        <v>45000000000</v>
      </c>
    </row>
    <row r="12" spans="1:34" x14ac:dyDescent="0.25">
      <c r="A12" s="5">
        <v>10</v>
      </c>
      <c r="B12" s="5" t="s">
        <v>28</v>
      </c>
      <c r="C12" s="5" t="s">
        <v>29</v>
      </c>
      <c r="D12" s="6">
        <v>35011</v>
      </c>
      <c r="E12" s="7">
        <v>8432632000000</v>
      </c>
      <c r="F12" s="7">
        <v>8738055000000</v>
      </c>
      <c r="G12" s="7">
        <v>7961657000000</v>
      </c>
      <c r="H12" s="8">
        <v>7403476000000</v>
      </c>
      <c r="I12" s="17">
        <v>7466520000000</v>
      </c>
      <c r="J12" s="7">
        <v>6596000000</v>
      </c>
      <c r="K12" s="16">
        <v>-132223000000</v>
      </c>
      <c r="L12" s="16">
        <v>-430987000000</v>
      </c>
      <c r="M12" s="17">
        <v>318672000000</v>
      </c>
      <c r="N12" s="17">
        <v>437370000000</v>
      </c>
      <c r="Y12" s="9">
        <v>13020000000</v>
      </c>
      <c r="Z12" s="9">
        <v>13020000000</v>
      </c>
      <c r="AA12" s="15"/>
      <c r="AB12" s="15"/>
      <c r="AC12" s="9">
        <v>34720000000</v>
      </c>
      <c r="AD12" s="10">
        <v>434000000</v>
      </c>
      <c r="AE12" s="10">
        <v>434000000</v>
      </c>
      <c r="AF12" s="9">
        <v>434000000</v>
      </c>
      <c r="AG12" s="9">
        <v>434000000</v>
      </c>
      <c r="AH12" s="9">
        <v>434000000</v>
      </c>
    </row>
    <row r="13" spans="1:34" x14ac:dyDescent="0.25">
      <c r="A13" s="5">
        <v>11</v>
      </c>
      <c r="B13" s="5" t="s">
        <v>30</v>
      </c>
      <c r="C13" s="5" t="s">
        <v>31</v>
      </c>
      <c r="D13" s="6">
        <v>37089</v>
      </c>
      <c r="E13" s="7">
        <v>1652905985730</v>
      </c>
      <c r="F13" s="7">
        <v>1799137069343</v>
      </c>
      <c r="G13" s="7">
        <v>1970340289520</v>
      </c>
      <c r="H13" s="8">
        <v>2243523072803</v>
      </c>
      <c r="I13" s="8">
        <v>2578868615545</v>
      </c>
      <c r="J13" s="7">
        <v>158207798602</v>
      </c>
      <c r="K13" s="7">
        <v>217675239509</v>
      </c>
      <c r="L13" s="7">
        <v>326241511507</v>
      </c>
      <c r="M13" s="17">
        <v>475983374390</v>
      </c>
      <c r="N13" s="8">
        <v>581557410601</v>
      </c>
      <c r="Y13" s="9">
        <v>88406601712</v>
      </c>
      <c r="Z13" s="9">
        <v>117715525216</v>
      </c>
      <c r="AA13" s="9">
        <v>161786542872</v>
      </c>
      <c r="AB13" s="9">
        <v>219203851280</v>
      </c>
      <c r="AC13" s="9">
        <v>328519240420</v>
      </c>
      <c r="AD13" s="10">
        <v>7341430976</v>
      </c>
      <c r="AE13" s="10">
        <v>7341430976</v>
      </c>
      <c r="AF13" s="8">
        <v>7271198676</v>
      </c>
      <c r="AG13" s="8">
        <v>7271198676</v>
      </c>
      <c r="AH13" s="8">
        <v>7271198676</v>
      </c>
    </row>
    <row r="14" spans="1:34" x14ac:dyDescent="0.25">
      <c r="A14" s="5">
        <v>12</v>
      </c>
      <c r="B14" s="5" t="s">
        <v>32</v>
      </c>
      <c r="C14" s="5" t="s">
        <v>33</v>
      </c>
      <c r="D14" s="6">
        <v>43404</v>
      </c>
      <c r="E14" s="7">
        <v>328891169916</v>
      </c>
      <c r="F14" s="7">
        <v>329920473799</v>
      </c>
      <c r="G14" s="7">
        <v>354900568484</v>
      </c>
      <c r="H14" s="8">
        <v>441223941897</v>
      </c>
      <c r="I14" s="8">
        <v>447970072779</v>
      </c>
      <c r="J14" s="7">
        <v>13302390600</v>
      </c>
      <c r="K14" s="7">
        <v>2065725935</v>
      </c>
      <c r="L14" s="7">
        <v>144403412</v>
      </c>
      <c r="M14" s="8">
        <v>12299444152</v>
      </c>
      <c r="N14" s="8">
        <v>10551047972</v>
      </c>
      <c r="Y14" s="21"/>
      <c r="Z14" s="21"/>
      <c r="AA14" s="21"/>
      <c r="AB14" s="15"/>
      <c r="AC14" s="15"/>
      <c r="AD14" s="10">
        <v>1203300000</v>
      </c>
      <c r="AE14" s="10">
        <v>1203300219</v>
      </c>
      <c r="AF14" s="9">
        <v>1203300219</v>
      </c>
      <c r="AG14" s="9">
        <v>1203300219</v>
      </c>
      <c r="AH14" s="9">
        <v>1203300219</v>
      </c>
    </row>
    <row r="15" spans="1:34" x14ac:dyDescent="0.25">
      <c r="A15" s="5">
        <v>13</v>
      </c>
      <c r="B15" s="5" t="s">
        <v>34</v>
      </c>
      <c r="C15" s="5" t="s">
        <v>35</v>
      </c>
      <c r="D15" s="6">
        <v>34676</v>
      </c>
      <c r="E15" s="7">
        <v>1704424579208</v>
      </c>
      <c r="F15" s="7">
        <v>1231680564971</v>
      </c>
      <c r="G15" s="7">
        <v>1021382709921</v>
      </c>
      <c r="H15" s="8">
        <v>1000024467440</v>
      </c>
      <c r="I15" s="8">
        <v>1065879552778</v>
      </c>
      <c r="J15" s="16">
        <v>-79206468705</v>
      </c>
      <c r="K15" s="16">
        <v>-494426816904</v>
      </c>
      <c r="L15" s="22">
        <v>-51749994901</v>
      </c>
      <c r="M15" s="23">
        <v>-5554727386</v>
      </c>
      <c r="N15" s="8">
        <v>6553870572</v>
      </c>
      <c r="Y15" s="21"/>
      <c r="Z15" s="21"/>
      <c r="AA15" s="15"/>
      <c r="AB15" s="15"/>
      <c r="AC15" s="15"/>
      <c r="AD15" s="10">
        <v>12096181261</v>
      </c>
      <c r="AE15" s="10">
        <v>13305799387</v>
      </c>
      <c r="AF15" s="9">
        <v>13305799387</v>
      </c>
      <c r="AG15" s="9">
        <f>14504100000+425000000</f>
        <v>14929100000</v>
      </c>
      <c r="AH15" s="9">
        <f>14504100000+425000000</f>
        <v>14929100000</v>
      </c>
    </row>
    <row r="16" spans="1:34" x14ac:dyDescent="0.25">
      <c r="A16" s="5">
        <v>14</v>
      </c>
      <c r="B16" s="5" t="s">
        <v>36</v>
      </c>
      <c r="C16" s="5" t="s">
        <v>37</v>
      </c>
      <c r="D16" s="6">
        <v>42928</v>
      </c>
      <c r="E16" s="7">
        <v>318080326465</v>
      </c>
      <c r="F16" s="7">
        <v>441254067741</v>
      </c>
      <c r="G16" s="7">
        <v>719726855599</v>
      </c>
      <c r="H16" s="8">
        <v>1078458868349</v>
      </c>
      <c r="I16" s="8">
        <v>1005368365991</v>
      </c>
      <c r="J16" s="7">
        <v>81905439662</v>
      </c>
      <c r="K16" s="7">
        <v>88002544535</v>
      </c>
      <c r="L16" s="7">
        <v>144194690952</v>
      </c>
      <c r="M16" s="8">
        <v>392149133254</v>
      </c>
      <c r="N16" s="8">
        <v>243093147629</v>
      </c>
      <c r="Y16" s="7">
        <v>11400000930</v>
      </c>
      <c r="Z16" s="7">
        <v>26600002170</v>
      </c>
      <c r="AA16" s="7">
        <v>26600002170</v>
      </c>
      <c r="AB16" s="9">
        <v>57000004650</v>
      </c>
      <c r="AC16" s="8">
        <v>190000015500</v>
      </c>
      <c r="AD16" s="10">
        <v>760000062</v>
      </c>
      <c r="AE16" s="10">
        <v>3800000310</v>
      </c>
      <c r="AF16" s="9">
        <v>3800000310</v>
      </c>
      <c r="AG16" s="9">
        <v>3800000310</v>
      </c>
      <c r="AH16" s="8">
        <v>3800000310</v>
      </c>
    </row>
    <row r="17" spans="1:34" x14ac:dyDescent="0.25">
      <c r="A17" s="5">
        <v>15</v>
      </c>
      <c r="B17" s="5" t="s">
        <v>38</v>
      </c>
      <c r="C17" s="5" t="s">
        <v>39</v>
      </c>
      <c r="D17" s="6">
        <v>34351</v>
      </c>
      <c r="E17" s="7">
        <v>5263726099000</v>
      </c>
      <c r="F17" s="7">
        <v>5758102626000</v>
      </c>
      <c r="G17" s="7">
        <v>5745215496000</v>
      </c>
      <c r="H17" s="8">
        <v>6121601356000</v>
      </c>
      <c r="I17" s="8">
        <v>6806945264000</v>
      </c>
      <c r="J17" s="7">
        <v>189082238000</v>
      </c>
      <c r="K17" s="7">
        <v>126773341000</v>
      </c>
      <c r="L17" s="7">
        <v>55089347000</v>
      </c>
      <c r="M17" s="8">
        <v>652406101000</v>
      </c>
      <c r="N17" s="8">
        <v>853707145000</v>
      </c>
      <c r="Y17" s="21"/>
      <c r="Z17" s="21"/>
      <c r="AA17" s="21"/>
      <c r="AB17" s="15"/>
      <c r="AC17" s="15"/>
      <c r="AD17" s="10">
        <v>1323000000</v>
      </c>
      <c r="AE17" s="10">
        <v>1323000000</v>
      </c>
      <c r="AF17" s="9">
        <v>1323000000</v>
      </c>
      <c r="AG17" s="9">
        <v>1323000000</v>
      </c>
      <c r="AH17" s="8">
        <v>6615000000</v>
      </c>
    </row>
    <row r="18" spans="1:34" x14ac:dyDescent="0.25">
      <c r="A18" s="5">
        <v>16</v>
      </c>
      <c r="B18" s="5" t="s">
        <v>40</v>
      </c>
      <c r="C18" s="5" t="s">
        <v>41</v>
      </c>
      <c r="D18" s="6">
        <v>33176</v>
      </c>
      <c r="E18" s="7">
        <v>1558071752917</v>
      </c>
      <c r="F18" s="7">
        <v>2918467252139</v>
      </c>
      <c r="G18" s="7">
        <v>3107410113178</v>
      </c>
      <c r="H18" s="17">
        <v>3236330922409</v>
      </c>
      <c r="I18" s="8">
        <v>3304972191991</v>
      </c>
      <c r="J18" s="7">
        <v>346692796102</v>
      </c>
      <c r="K18" s="7">
        <v>140597500915</v>
      </c>
      <c r="L18" s="16">
        <v>-30689667468</v>
      </c>
      <c r="M18" s="8">
        <v>156736391742</v>
      </c>
      <c r="N18" s="8">
        <v>313410762339</v>
      </c>
      <c r="Y18" s="7">
        <f>82560000000+103200000000</f>
        <v>185760000000</v>
      </c>
      <c r="Z18" s="7">
        <v>113520000000</v>
      </c>
      <c r="AA18" s="7">
        <v>30960000000</v>
      </c>
      <c r="AB18" s="9">
        <f>51600000000*2</f>
        <v>103200000000</v>
      </c>
      <c r="AC18" s="9">
        <f>103200000000+72240000000</f>
        <v>175440000000</v>
      </c>
      <c r="AD18" s="10">
        <v>10320000000</v>
      </c>
      <c r="AE18" s="10">
        <v>10320000000</v>
      </c>
      <c r="AF18" s="9">
        <v>10320000000</v>
      </c>
      <c r="AG18" s="9">
        <v>10320000000</v>
      </c>
      <c r="AH18" s="9">
        <v>10320000000</v>
      </c>
    </row>
    <row r="19" spans="1:34" x14ac:dyDescent="0.25">
      <c r="A19" s="5">
        <v>17</v>
      </c>
      <c r="B19" s="5" t="s">
        <v>42</v>
      </c>
      <c r="C19" s="5" t="s">
        <v>43</v>
      </c>
      <c r="D19" s="6">
        <v>33066</v>
      </c>
      <c r="E19" s="7">
        <v>648968295000</v>
      </c>
      <c r="F19" s="7">
        <v>604824614000</v>
      </c>
      <c r="G19" s="7">
        <v>418630902000</v>
      </c>
      <c r="H19" s="8">
        <v>499393053000</v>
      </c>
      <c r="I19" s="8">
        <v>638952801000</v>
      </c>
      <c r="J19" s="7">
        <v>22943498000</v>
      </c>
      <c r="K19" s="7">
        <v>7354721000</v>
      </c>
      <c r="L19" s="7">
        <v>6684414000</v>
      </c>
      <c r="M19" s="8">
        <v>17445033000</v>
      </c>
      <c r="N19" s="8">
        <v>48041219000</v>
      </c>
      <c r="Y19" s="21"/>
      <c r="Z19" s="21"/>
      <c r="AA19" s="21"/>
      <c r="AB19" s="15"/>
      <c r="AC19" s="15"/>
      <c r="AD19" s="10">
        <v>507665055</v>
      </c>
      <c r="AE19" s="10">
        <v>507665055</v>
      </c>
      <c r="AF19" s="9">
        <v>507665055</v>
      </c>
      <c r="AG19" s="9">
        <v>507665055</v>
      </c>
      <c r="AH19" s="9">
        <v>507665055</v>
      </c>
    </row>
    <row r="20" spans="1:34" x14ac:dyDescent="0.25">
      <c r="A20" s="5">
        <v>18</v>
      </c>
      <c r="B20" s="5" t="s">
        <v>44</v>
      </c>
      <c r="C20" s="5" t="s">
        <v>45</v>
      </c>
      <c r="D20" s="6">
        <v>35432</v>
      </c>
      <c r="E20" s="7">
        <v>2781666374017</v>
      </c>
      <c r="F20" s="13">
        <v>124138525</v>
      </c>
      <c r="G20" s="13">
        <v>101149121</v>
      </c>
      <c r="H20" s="24">
        <v>93809824</v>
      </c>
      <c r="I20" s="24">
        <v>73581360</v>
      </c>
      <c r="J20" s="7">
        <v>6544635062</v>
      </c>
      <c r="K20" s="16">
        <v>-22438088</v>
      </c>
      <c r="L20" s="16">
        <v>-18916626</v>
      </c>
      <c r="M20" s="24">
        <v>37329</v>
      </c>
      <c r="N20" s="23">
        <v>-3163350</v>
      </c>
      <c r="Y20" s="21"/>
      <c r="Z20" s="21"/>
      <c r="AA20" s="21"/>
      <c r="AB20" s="15"/>
      <c r="AC20" s="15"/>
      <c r="AD20" s="10">
        <v>616000000</v>
      </c>
      <c r="AE20" s="10">
        <v>616000000</v>
      </c>
      <c r="AF20" s="9">
        <v>616000000</v>
      </c>
      <c r="AG20" s="9">
        <v>3816000000</v>
      </c>
      <c r="AH20" s="8">
        <v>3816000000</v>
      </c>
    </row>
    <row r="21" spans="1:34" x14ac:dyDescent="0.25">
      <c r="A21" s="5">
        <v>19</v>
      </c>
      <c r="B21" s="5" t="s">
        <v>46</v>
      </c>
      <c r="C21" s="5" t="s">
        <v>47</v>
      </c>
      <c r="D21" s="6">
        <v>40898</v>
      </c>
      <c r="E21" s="7">
        <v>901181796270</v>
      </c>
      <c r="F21" s="7">
        <v>836870774001</v>
      </c>
      <c r="G21" s="7">
        <v>760425479634</v>
      </c>
      <c r="H21" s="17">
        <v>725506645166</v>
      </c>
      <c r="I21" s="17">
        <v>731341359270</v>
      </c>
      <c r="J21" s="16">
        <v>-96695781573</v>
      </c>
      <c r="K21" s="7">
        <v>1112983748</v>
      </c>
      <c r="L21" s="7">
        <v>55118520227</v>
      </c>
      <c r="M21" s="17">
        <v>88523639594</v>
      </c>
      <c r="N21" s="17">
        <v>-103341187716</v>
      </c>
      <c r="Y21" s="21"/>
      <c r="Z21" s="21"/>
      <c r="AA21" s="21"/>
      <c r="AB21" s="15"/>
      <c r="AC21" s="15"/>
      <c r="AD21" s="10">
        <v>1800000000</v>
      </c>
      <c r="AE21" s="10">
        <v>1800000000</v>
      </c>
      <c r="AF21" s="9">
        <v>1800000000</v>
      </c>
      <c r="AG21" s="9">
        <v>1800000000</v>
      </c>
      <c r="AH21" s="9">
        <v>1800000000</v>
      </c>
    </row>
    <row r="22" spans="1:34" x14ac:dyDescent="0.25">
      <c r="A22" s="5">
        <v>20</v>
      </c>
      <c r="B22" s="5" t="s">
        <v>48</v>
      </c>
      <c r="C22" s="5" t="s">
        <v>49</v>
      </c>
      <c r="D22" s="6">
        <v>37090</v>
      </c>
      <c r="E22" s="7">
        <v>217362960011</v>
      </c>
      <c r="F22" s="7">
        <v>230561123774</v>
      </c>
      <c r="G22" s="7">
        <v>234905016318</v>
      </c>
      <c r="H22" s="17">
        <v>270669540064</v>
      </c>
      <c r="I22" s="17">
        <v>344552996651</v>
      </c>
      <c r="J22" s="7">
        <v>27812712161</v>
      </c>
      <c r="K22" s="7">
        <v>1367612129</v>
      </c>
      <c r="L22" s="7">
        <v>4486083939</v>
      </c>
      <c r="M22" s="17">
        <v>9635958498</v>
      </c>
      <c r="N22" s="17">
        <v>39902398961</v>
      </c>
      <c r="Y22" s="21"/>
      <c r="Z22" s="21"/>
      <c r="AA22" s="21"/>
      <c r="AB22" s="15"/>
      <c r="AC22" s="15"/>
      <c r="AD22" s="10">
        <v>720000000</v>
      </c>
      <c r="AE22" s="10">
        <v>720000000</v>
      </c>
      <c r="AF22" s="9">
        <v>720000000</v>
      </c>
      <c r="AG22" s="9">
        <v>720000000</v>
      </c>
      <c r="AH22" s="9">
        <v>720000000</v>
      </c>
    </row>
    <row r="23" spans="1:34" x14ac:dyDescent="0.25">
      <c r="A23" s="5">
        <v>21</v>
      </c>
      <c r="B23" s="5" t="s">
        <v>50</v>
      </c>
      <c r="C23" s="5" t="s">
        <v>51</v>
      </c>
      <c r="D23" s="6">
        <v>32840</v>
      </c>
      <c r="E23" s="13">
        <v>155653317</v>
      </c>
      <c r="F23" s="13">
        <v>172321876</v>
      </c>
      <c r="G23" s="13">
        <v>130444698</v>
      </c>
      <c r="H23" s="24">
        <v>136819807</v>
      </c>
      <c r="I23" s="24">
        <v>133941143</v>
      </c>
      <c r="J23" s="16">
        <v>-5794754</v>
      </c>
      <c r="K23" s="13">
        <v>1645059</v>
      </c>
      <c r="L23" s="16">
        <v>-3057237</v>
      </c>
      <c r="M23" s="18">
        <v>-16017388</v>
      </c>
      <c r="N23" s="18">
        <v>-6647854</v>
      </c>
      <c r="Y23" s="21"/>
      <c r="Z23" s="7">
        <v>18195</v>
      </c>
      <c r="AA23" s="7">
        <v>5747</v>
      </c>
      <c r="AB23" s="9">
        <v>17815</v>
      </c>
      <c r="AC23" s="15"/>
      <c r="AD23" s="10">
        <v>800371500</v>
      </c>
      <c r="AE23" s="10">
        <v>800371500</v>
      </c>
      <c r="AF23" s="9">
        <v>800371500</v>
      </c>
      <c r="AG23" s="9">
        <v>800371500</v>
      </c>
      <c r="AH23" s="9">
        <v>800371500</v>
      </c>
    </row>
    <row r="24" spans="1:34" x14ac:dyDescent="0.25">
      <c r="A24" s="5">
        <v>22</v>
      </c>
      <c r="B24" s="5" t="s">
        <v>52</v>
      </c>
      <c r="C24" s="5" t="s">
        <v>53</v>
      </c>
      <c r="D24" s="6">
        <v>40170</v>
      </c>
      <c r="E24" s="7">
        <v>1351861756994</v>
      </c>
      <c r="F24" s="7">
        <v>1758578169995</v>
      </c>
      <c r="G24" s="7">
        <v>1588136471649</v>
      </c>
      <c r="H24" s="17">
        <v>1583979016422</v>
      </c>
      <c r="I24" s="8">
        <v>2106446579086</v>
      </c>
      <c r="J24" s="16">
        <v>-87798857709</v>
      </c>
      <c r="K24" s="7">
        <v>26807416721</v>
      </c>
      <c r="L24" s="16">
        <v>-77845328805</v>
      </c>
      <c r="M24" s="23">
        <v>-63711545268</v>
      </c>
      <c r="N24" s="8">
        <v>273673913875</v>
      </c>
      <c r="Y24" s="21"/>
      <c r="Z24" s="21"/>
      <c r="AA24" s="21"/>
      <c r="AB24" s="21"/>
      <c r="AC24" s="15"/>
      <c r="AD24" s="10">
        <v>9242500000</v>
      </c>
      <c r="AE24" s="10">
        <v>9242500000</v>
      </c>
      <c r="AF24" s="9">
        <v>9242500000</v>
      </c>
      <c r="AG24" s="9">
        <v>9242500000</v>
      </c>
      <c r="AH24" s="9">
        <v>9242500000</v>
      </c>
    </row>
    <row r="25" spans="1:34" x14ac:dyDescent="0.25">
      <c r="A25" s="5">
        <v>23</v>
      </c>
      <c r="B25" s="11" t="s">
        <v>54</v>
      </c>
      <c r="C25" s="11" t="s">
        <v>55</v>
      </c>
      <c r="D25" s="6">
        <v>43727</v>
      </c>
      <c r="E25" s="12"/>
      <c r="F25" s="13">
        <v>1147017049</v>
      </c>
      <c r="G25" s="13">
        <v>1032641969</v>
      </c>
      <c r="H25" s="13">
        <v>1068331723</v>
      </c>
      <c r="I25" s="13">
        <v>1186322555</v>
      </c>
      <c r="J25" s="12"/>
      <c r="K25" s="13">
        <v>18984471</v>
      </c>
      <c r="L25" s="16">
        <v>-8953542</v>
      </c>
      <c r="M25" s="13">
        <v>61896860</v>
      </c>
      <c r="N25" s="13">
        <v>58400098</v>
      </c>
      <c r="Y25" s="12"/>
      <c r="Z25" s="15"/>
      <c r="AA25" s="15"/>
      <c r="AB25" s="15"/>
      <c r="AC25" s="25">
        <v>6189759</v>
      </c>
      <c r="AD25" s="26"/>
      <c r="AE25" s="25">
        <v>12111376157</v>
      </c>
      <c r="AF25" s="25">
        <v>12111376157</v>
      </c>
      <c r="AG25" s="25">
        <v>12111376157</v>
      </c>
      <c r="AH25" s="25">
        <v>12111376157</v>
      </c>
    </row>
    <row r="26" spans="1:34" x14ac:dyDescent="0.25">
      <c r="A26" s="5">
        <v>24</v>
      </c>
      <c r="B26" s="5" t="s">
        <v>56</v>
      </c>
      <c r="C26" s="5" t="s">
        <v>57</v>
      </c>
      <c r="D26" s="6">
        <v>34673</v>
      </c>
      <c r="E26" s="7">
        <v>1400683598096</v>
      </c>
      <c r="F26" s="7">
        <v>1212894403676</v>
      </c>
      <c r="G26" s="7">
        <v>1395969637457</v>
      </c>
      <c r="H26" s="8">
        <v>1548832511319</v>
      </c>
      <c r="I26" s="8">
        <v>1554795974228</v>
      </c>
      <c r="J26" s="7">
        <v>40463141352</v>
      </c>
      <c r="K26" s="7">
        <v>33558115185</v>
      </c>
      <c r="L26" s="7">
        <v>3991581552</v>
      </c>
      <c r="M26" s="8">
        <v>4319665242</v>
      </c>
      <c r="N26" s="8">
        <v>-113952927004</v>
      </c>
      <c r="Y26" s="7">
        <v>19008000000</v>
      </c>
      <c r="Z26" s="7">
        <v>19008000000</v>
      </c>
      <c r="AA26" s="7">
        <v>15840000000</v>
      </c>
      <c r="AB26" s="21"/>
      <c r="AC26" s="15"/>
      <c r="AD26" s="10">
        <v>633600000</v>
      </c>
      <c r="AE26" s="10">
        <v>633600000</v>
      </c>
      <c r="AF26" s="9">
        <v>633600000</v>
      </c>
      <c r="AG26" s="9">
        <v>633600000</v>
      </c>
      <c r="AH26" s="9">
        <v>633600000</v>
      </c>
    </row>
    <row r="27" spans="1:34" x14ac:dyDescent="0.25">
      <c r="A27" s="5">
        <v>25</v>
      </c>
      <c r="B27" s="5" t="s">
        <v>58</v>
      </c>
      <c r="C27" s="5" t="s">
        <v>59</v>
      </c>
      <c r="D27" s="6">
        <v>41327</v>
      </c>
      <c r="E27" s="7">
        <v>6494070000000</v>
      </c>
      <c r="F27" s="7">
        <v>6424507000000</v>
      </c>
      <c r="G27" s="7">
        <v>6076604000000</v>
      </c>
      <c r="H27" s="8">
        <v>7097322000000</v>
      </c>
      <c r="I27" s="8">
        <v>7405931000000</v>
      </c>
      <c r="J27" s="7">
        <v>48741000000</v>
      </c>
      <c r="K27" s="7">
        <v>185694000000</v>
      </c>
      <c r="L27" s="7">
        <v>175835000000</v>
      </c>
      <c r="M27" s="8">
        <v>486061000000</v>
      </c>
      <c r="N27" s="8">
        <v>305849000000</v>
      </c>
      <c r="Y27" s="21"/>
      <c r="Z27" s="21"/>
      <c r="AA27" s="21"/>
      <c r="AB27" s="9">
        <v>42392000000</v>
      </c>
      <c r="AC27" s="8">
        <v>63588000000</v>
      </c>
      <c r="AD27" s="10">
        <v>7185992035</v>
      </c>
      <c r="AE27" s="10">
        <v>7185992035</v>
      </c>
      <c r="AF27" s="9">
        <v>7185992035</v>
      </c>
      <c r="AG27" s="9">
        <v>7185992035</v>
      </c>
      <c r="AH27" s="9">
        <v>7185992035</v>
      </c>
    </row>
    <row r="28" spans="1:34" x14ac:dyDescent="0.25">
      <c r="A28" s="5">
        <v>26</v>
      </c>
      <c r="B28" s="5" t="s">
        <v>60</v>
      </c>
      <c r="C28" s="5" t="s">
        <v>61</v>
      </c>
      <c r="D28" s="6">
        <v>35648</v>
      </c>
      <c r="E28" s="7">
        <v>19063100651</v>
      </c>
      <c r="F28" s="7">
        <v>180627821366</v>
      </c>
      <c r="G28" s="9">
        <v>169294099302</v>
      </c>
      <c r="H28" s="17">
        <v>168201512628</v>
      </c>
      <c r="I28" s="17">
        <v>159342936263</v>
      </c>
      <c r="J28" s="16">
        <v>-48588147020</v>
      </c>
      <c r="K28" s="16">
        <v>-1391297992</v>
      </c>
      <c r="L28" s="22">
        <v>-1067011759</v>
      </c>
      <c r="M28" s="23">
        <v>-53729224</v>
      </c>
      <c r="N28" s="17">
        <v>3190668366</v>
      </c>
      <c r="Y28" s="21"/>
      <c r="Z28" s="21"/>
      <c r="AA28" s="15"/>
      <c r="AB28" s="21"/>
      <c r="AC28" s="15"/>
      <c r="AD28" s="10">
        <v>150000000</v>
      </c>
      <c r="AE28" s="10">
        <v>150000000</v>
      </c>
      <c r="AF28" s="9">
        <v>150000000</v>
      </c>
      <c r="AG28" s="9">
        <v>150000000</v>
      </c>
      <c r="AH28" s="9">
        <v>150000000</v>
      </c>
    </row>
    <row r="29" spans="1:34" x14ac:dyDescent="0.25">
      <c r="A29" s="5">
        <v>27</v>
      </c>
      <c r="B29" s="11" t="s">
        <v>62</v>
      </c>
      <c r="C29" s="11" t="s">
        <v>63</v>
      </c>
      <c r="D29" s="6">
        <v>44781</v>
      </c>
      <c r="E29" s="12"/>
      <c r="F29" s="12"/>
      <c r="G29" s="12"/>
      <c r="H29" s="12"/>
      <c r="I29" s="7">
        <v>114434013523</v>
      </c>
      <c r="J29" s="12"/>
      <c r="K29" s="12"/>
      <c r="L29" s="12"/>
      <c r="M29" s="12"/>
      <c r="N29" s="7">
        <v>6215556761</v>
      </c>
      <c r="Y29" s="12"/>
      <c r="Z29" s="12"/>
      <c r="AA29" s="12"/>
      <c r="AB29" s="12"/>
      <c r="AC29" s="10">
        <v>3700000000</v>
      </c>
      <c r="AD29" s="12"/>
      <c r="AE29" s="12"/>
      <c r="AF29" s="12"/>
      <c r="AG29" s="12"/>
      <c r="AH29" s="9">
        <v>1500000000</v>
      </c>
    </row>
    <row r="30" spans="1:34" x14ac:dyDescent="0.25">
      <c r="A30" s="5">
        <v>28</v>
      </c>
      <c r="B30" s="5" t="s">
        <v>64</v>
      </c>
      <c r="C30" s="5" t="s">
        <v>65</v>
      </c>
      <c r="D30" s="6">
        <v>40492</v>
      </c>
      <c r="E30" s="13">
        <v>4298318000</v>
      </c>
      <c r="F30" s="13">
        <v>3288037000</v>
      </c>
      <c r="G30" s="13">
        <v>3486349000</v>
      </c>
      <c r="H30" s="13">
        <v>3773676000</v>
      </c>
      <c r="I30" s="7">
        <v>3162434000</v>
      </c>
      <c r="J30" s="16">
        <v>-77163000</v>
      </c>
      <c r="K30" s="16">
        <v>-505390000</v>
      </c>
      <c r="L30" s="13">
        <v>22635000</v>
      </c>
      <c r="M30" s="13">
        <v>62133000</v>
      </c>
      <c r="N30" s="13">
        <v>22644000</v>
      </c>
      <c r="Y30" s="21"/>
      <c r="Z30" s="21"/>
      <c r="AA30" s="21"/>
      <c r="AB30" s="21"/>
      <c r="AC30" s="21"/>
      <c r="AD30" s="10">
        <v>19346396900</v>
      </c>
      <c r="AE30" s="10">
        <v>19346396900</v>
      </c>
      <c r="AF30" s="9">
        <v>19346396900</v>
      </c>
      <c r="AG30" s="9">
        <v>19346396900</v>
      </c>
      <c r="AH30" s="9">
        <v>19346396900</v>
      </c>
    </row>
    <row r="31" spans="1:34" x14ac:dyDescent="0.25">
      <c r="A31" s="5">
        <v>29</v>
      </c>
      <c r="B31" s="5" t="s">
        <v>66</v>
      </c>
      <c r="C31" s="5" t="s">
        <v>67</v>
      </c>
      <c r="D31" s="6">
        <v>34201</v>
      </c>
      <c r="E31" s="7">
        <v>696192628101</v>
      </c>
      <c r="F31" s="7">
        <v>688017892312</v>
      </c>
      <c r="G31" s="7">
        <v>647829858922</v>
      </c>
      <c r="H31" s="8">
        <v>686806547986</v>
      </c>
      <c r="I31" s="8">
        <v>684497878481</v>
      </c>
      <c r="J31" s="7">
        <v>14679673993</v>
      </c>
      <c r="K31" s="7">
        <v>926463199</v>
      </c>
      <c r="L31" s="16">
        <v>-9571328569</v>
      </c>
      <c r="M31" s="23">
        <v>-8737689655</v>
      </c>
      <c r="N31" s="8">
        <v>2314362759</v>
      </c>
      <c r="Y31" s="7">
        <v>7802400000</v>
      </c>
      <c r="Z31" s="7">
        <v>5201600000</v>
      </c>
      <c r="AA31" s="21"/>
      <c r="AB31" s="21"/>
      <c r="AC31" s="15"/>
      <c r="AD31" s="10">
        <v>520160000</v>
      </c>
      <c r="AE31" s="10">
        <v>520160000</v>
      </c>
      <c r="AF31" s="9">
        <v>520160000</v>
      </c>
      <c r="AG31" s="9">
        <v>520160000</v>
      </c>
      <c r="AH31" s="9">
        <v>520160000</v>
      </c>
    </row>
    <row r="32" spans="1:34" x14ac:dyDescent="0.25">
      <c r="A32" s="5">
        <v>30</v>
      </c>
      <c r="B32" s="5" t="s">
        <v>68</v>
      </c>
      <c r="C32" s="5" t="s">
        <v>69</v>
      </c>
      <c r="D32" s="6">
        <v>33028</v>
      </c>
      <c r="E32" s="7">
        <v>160027280153</v>
      </c>
      <c r="F32" s="7">
        <v>147090641453</v>
      </c>
      <c r="G32" s="7">
        <v>143486189959</v>
      </c>
      <c r="H32" s="8">
        <v>145459649889</v>
      </c>
      <c r="I32" s="8">
        <v>132398867747</v>
      </c>
      <c r="J32" s="7">
        <v>2886727390</v>
      </c>
      <c r="K32" s="16">
        <v>-18245567355</v>
      </c>
      <c r="L32" s="16">
        <v>-8068488692</v>
      </c>
      <c r="M32" s="8">
        <v>6514290108</v>
      </c>
      <c r="N32" s="8">
        <v>-4744549983</v>
      </c>
      <c r="Y32" s="7">
        <v>960000000</v>
      </c>
      <c r="Z32" s="7">
        <v>480000000</v>
      </c>
      <c r="AA32" s="21"/>
      <c r="AB32" s="21"/>
      <c r="AC32" s="15"/>
      <c r="AD32" s="10">
        <v>96000000</v>
      </c>
      <c r="AE32" s="10">
        <v>96000000</v>
      </c>
      <c r="AF32" s="9">
        <v>96000000</v>
      </c>
      <c r="AG32" s="9">
        <v>96000000</v>
      </c>
      <c r="AH32" s="9">
        <v>96000000</v>
      </c>
    </row>
    <row r="33" spans="1:34" x14ac:dyDescent="0.25">
      <c r="A33" s="5">
        <v>31</v>
      </c>
      <c r="B33" s="5" t="s">
        <v>70</v>
      </c>
      <c r="C33" s="5" t="s">
        <v>71</v>
      </c>
      <c r="D33" s="6">
        <v>40161</v>
      </c>
      <c r="E33" s="13">
        <v>147777212</v>
      </c>
      <c r="F33" s="13">
        <v>151688978</v>
      </c>
      <c r="G33" s="13">
        <v>131925108</v>
      </c>
      <c r="H33" s="24">
        <v>187753934</v>
      </c>
      <c r="I33" s="24">
        <v>196375128</v>
      </c>
      <c r="J33" s="16">
        <v>-1537262</v>
      </c>
      <c r="K33" s="13">
        <v>2680666</v>
      </c>
      <c r="L33" s="13">
        <v>2718077</v>
      </c>
      <c r="M33" s="24">
        <v>5862823</v>
      </c>
      <c r="N33" s="24">
        <v>7127218</v>
      </c>
      <c r="Y33" s="21"/>
      <c r="Z33" s="21"/>
      <c r="AA33" s="21"/>
      <c r="AB33" s="21"/>
      <c r="AC33" s="14">
        <v>1751923</v>
      </c>
      <c r="AD33" s="10">
        <v>2523350000</v>
      </c>
      <c r="AE33" s="10">
        <v>2523350000</v>
      </c>
      <c r="AF33" s="9">
        <v>2523350000</v>
      </c>
      <c r="AG33" s="9">
        <v>2523350000</v>
      </c>
      <c r="AH33" s="9">
        <v>2523350000</v>
      </c>
    </row>
    <row r="34" spans="1:34" x14ac:dyDescent="0.25">
      <c r="A34" s="5">
        <v>32</v>
      </c>
      <c r="B34" s="5" t="s">
        <v>72</v>
      </c>
      <c r="C34" s="5" t="s">
        <v>73</v>
      </c>
      <c r="D34" s="6">
        <v>35331</v>
      </c>
      <c r="E34" s="7">
        <v>852932442585</v>
      </c>
      <c r="F34" s="7">
        <v>1128475286643</v>
      </c>
      <c r="G34" s="7">
        <v>1092811641343</v>
      </c>
      <c r="H34" s="8">
        <v>1073888124690</v>
      </c>
      <c r="I34" s="8">
        <v>1014888115857</v>
      </c>
      <c r="J34" s="7">
        <v>15730408346</v>
      </c>
      <c r="K34" s="7">
        <v>7487452045</v>
      </c>
      <c r="L34" s="16">
        <v>-64398773870</v>
      </c>
      <c r="M34" s="8">
        <v>8904521434</v>
      </c>
      <c r="N34" s="8">
        <v>-48356764285</v>
      </c>
      <c r="Y34" s="7">
        <v>1136750000</v>
      </c>
      <c r="Z34" s="7">
        <v>2810405000</v>
      </c>
      <c r="AA34" s="21"/>
      <c r="AB34" s="15"/>
      <c r="AC34" s="15"/>
      <c r="AD34" s="10">
        <v>568375000</v>
      </c>
      <c r="AE34" s="10">
        <v>568375000</v>
      </c>
      <c r="AF34" s="9">
        <v>568375000</v>
      </c>
      <c r="AG34" s="9">
        <v>568375000</v>
      </c>
      <c r="AH34" s="8">
        <v>568375000</v>
      </c>
    </row>
    <row r="35" spans="1:34" ht="30" x14ac:dyDescent="0.25">
      <c r="A35" s="5">
        <v>33</v>
      </c>
      <c r="B35" s="5" t="s">
        <v>74</v>
      </c>
      <c r="C35" s="5" t="s">
        <v>75</v>
      </c>
      <c r="D35" s="6">
        <v>43747</v>
      </c>
      <c r="E35" s="26"/>
      <c r="F35" s="7">
        <v>834220445836</v>
      </c>
      <c r="G35" s="7">
        <v>695031401327</v>
      </c>
      <c r="H35" s="27"/>
      <c r="I35" s="27"/>
      <c r="J35" s="26"/>
      <c r="K35" s="28">
        <v>27276484633</v>
      </c>
      <c r="L35" s="16">
        <v>-98747818285</v>
      </c>
      <c r="M35" s="29"/>
      <c r="N35" s="27"/>
      <c r="Y35" s="26"/>
      <c r="Z35" s="21"/>
      <c r="AA35" s="21"/>
      <c r="AB35" s="29"/>
      <c r="AC35" s="27"/>
      <c r="AD35" s="26"/>
      <c r="AE35" s="10">
        <v>1333333500</v>
      </c>
      <c r="AF35" s="9">
        <v>1333333500</v>
      </c>
      <c r="AG35" s="30"/>
      <c r="AH35" s="27"/>
    </row>
    <row r="36" spans="1:34" x14ac:dyDescent="0.25">
      <c r="A36" s="5">
        <v>34</v>
      </c>
      <c r="B36" s="5" t="s">
        <v>76</v>
      </c>
      <c r="C36" s="5" t="s">
        <v>77</v>
      </c>
      <c r="D36" s="6">
        <v>34242</v>
      </c>
      <c r="E36" s="13">
        <v>190954156</v>
      </c>
      <c r="F36" s="13">
        <v>153990491</v>
      </c>
      <c r="G36" s="13">
        <v>156833246</v>
      </c>
      <c r="H36" s="24">
        <v>147236098</v>
      </c>
      <c r="I36" s="24">
        <v>134891947</v>
      </c>
      <c r="J36" s="7">
        <v>6377441</v>
      </c>
      <c r="K36" s="13">
        <v>5931052</v>
      </c>
      <c r="L36" s="13">
        <v>4504285</v>
      </c>
      <c r="M36" s="24">
        <v>6974835</v>
      </c>
      <c r="N36" s="8">
        <v>5225262</v>
      </c>
      <c r="Y36" s="21"/>
      <c r="Z36" s="7">
        <v>955084</v>
      </c>
      <c r="AA36" s="7">
        <v>955084</v>
      </c>
      <c r="AB36" s="14">
        <v>955084</v>
      </c>
      <c r="AC36" s="14">
        <v>1102020</v>
      </c>
      <c r="AD36" s="10">
        <v>367340000</v>
      </c>
      <c r="AE36" s="10">
        <v>367340000</v>
      </c>
      <c r="AF36" s="9">
        <v>367340000</v>
      </c>
      <c r="AG36" s="9">
        <v>367340000</v>
      </c>
      <c r="AH36" s="9">
        <v>367340000</v>
      </c>
    </row>
    <row r="37" spans="1:34" x14ac:dyDescent="0.25">
      <c r="A37" s="5">
        <v>35</v>
      </c>
      <c r="B37" s="5" t="s">
        <v>78</v>
      </c>
      <c r="C37" s="5" t="s">
        <v>79</v>
      </c>
      <c r="D37" s="6">
        <v>42641</v>
      </c>
      <c r="E37" s="7">
        <v>6647755000000</v>
      </c>
      <c r="F37" s="7">
        <v>7020980000000</v>
      </c>
      <c r="G37" s="7">
        <v>7121458000000</v>
      </c>
      <c r="H37" s="8">
        <v>8164599000000</v>
      </c>
      <c r="I37" s="8">
        <v>8041989000000</v>
      </c>
      <c r="J37" s="7">
        <v>114374000000</v>
      </c>
      <c r="K37" s="7">
        <v>103431000000</v>
      </c>
      <c r="L37" s="7">
        <v>99862000000</v>
      </c>
      <c r="M37" s="8">
        <v>211485000000</v>
      </c>
      <c r="N37" s="8">
        <v>103896000000</v>
      </c>
      <c r="Y37" s="21"/>
      <c r="Z37" s="21"/>
      <c r="AA37" s="21"/>
      <c r="AB37" s="9">
        <v>18588000000</v>
      </c>
      <c r="AC37" s="9">
        <v>30514000000</v>
      </c>
      <c r="AD37" s="10">
        <v>3066660000</v>
      </c>
      <c r="AE37" s="10">
        <v>3066660000</v>
      </c>
      <c r="AF37" s="9">
        <v>3066660000</v>
      </c>
      <c r="AG37" s="9">
        <v>3066660000</v>
      </c>
      <c r="AH37" s="9">
        <v>3066660000</v>
      </c>
    </row>
    <row r="38" spans="1:34" x14ac:dyDescent="0.25">
      <c r="A38" s="5">
        <v>36</v>
      </c>
      <c r="B38" s="11" t="s">
        <v>80</v>
      </c>
      <c r="C38" s="11" t="s">
        <v>81</v>
      </c>
      <c r="D38" s="6">
        <v>44538</v>
      </c>
      <c r="E38" s="26"/>
      <c r="F38" s="26"/>
      <c r="G38" s="26"/>
      <c r="H38" s="7">
        <v>10873760236580</v>
      </c>
      <c r="I38" s="7">
        <v>10792122000000</v>
      </c>
      <c r="J38" s="26"/>
      <c r="K38" s="26"/>
      <c r="L38" s="26"/>
      <c r="M38" s="7">
        <v>1434551222696</v>
      </c>
      <c r="N38" s="7">
        <v>1400365000000</v>
      </c>
      <c r="Y38" s="26"/>
      <c r="Z38" s="26"/>
      <c r="AA38" s="26"/>
      <c r="AB38" s="25">
        <v>2350001000000</v>
      </c>
      <c r="AC38" s="25">
        <v>1115164000000</v>
      </c>
      <c r="AD38" s="26"/>
      <c r="AE38" s="26"/>
      <c r="AF38" s="26"/>
      <c r="AG38" s="25">
        <v>61953555600</v>
      </c>
      <c r="AH38" s="25">
        <v>61953555600</v>
      </c>
    </row>
    <row r="39" spans="1:34" x14ac:dyDescent="0.25">
      <c r="A39" s="5">
        <v>37</v>
      </c>
      <c r="B39" s="5" t="s">
        <v>82</v>
      </c>
      <c r="C39" s="5" t="s">
        <v>83</v>
      </c>
      <c r="D39" s="6">
        <v>34243</v>
      </c>
      <c r="E39" s="13">
        <v>7042491000</v>
      </c>
      <c r="F39" s="13">
        <v>7182435000</v>
      </c>
      <c r="G39" s="13">
        <v>7683159000</v>
      </c>
      <c r="H39" s="24">
        <v>9241551000</v>
      </c>
      <c r="I39" s="24">
        <v>9248254000</v>
      </c>
      <c r="J39" s="7">
        <v>242066000</v>
      </c>
      <c r="K39" s="13">
        <v>137380000</v>
      </c>
      <c r="L39" s="13">
        <v>141383000</v>
      </c>
      <c r="M39" s="24">
        <v>296007000</v>
      </c>
      <c r="N39" s="24">
        <v>3221000</v>
      </c>
      <c r="Y39" s="7">
        <v>47233000</v>
      </c>
      <c r="Z39" s="7">
        <v>24207000</v>
      </c>
      <c r="AA39" s="7">
        <v>105529000</v>
      </c>
      <c r="AB39" s="9">
        <f>18000000+69793000</f>
        <v>87793000</v>
      </c>
      <c r="AC39" s="8">
        <f>20000000+848000</f>
        <v>20848000</v>
      </c>
      <c r="AD39" s="10">
        <v>17791586878</v>
      </c>
      <c r="AE39" s="10">
        <v>89015998170</v>
      </c>
      <c r="AF39" s="9">
        <v>93388796190</v>
      </c>
      <c r="AG39" s="9">
        <v>93747018044</v>
      </c>
      <c r="AH39" s="9">
        <v>93747018044</v>
      </c>
    </row>
    <row r="40" spans="1:34" x14ac:dyDescent="0.25">
      <c r="A40" s="5">
        <v>38</v>
      </c>
      <c r="B40" s="11" t="s">
        <v>84</v>
      </c>
      <c r="C40" s="11" t="s">
        <v>85</v>
      </c>
      <c r="D40" s="6" t="s">
        <v>86</v>
      </c>
      <c r="E40" s="26"/>
      <c r="F40" s="26"/>
      <c r="G40" s="26"/>
      <c r="H40" s="26"/>
      <c r="I40" s="9">
        <v>137718996489</v>
      </c>
      <c r="J40" s="26"/>
      <c r="K40" s="26"/>
      <c r="L40" s="26"/>
      <c r="M40" s="26"/>
      <c r="N40" s="9">
        <v>7016621357</v>
      </c>
      <c r="Y40" s="26"/>
      <c r="Z40" s="26"/>
      <c r="AA40" s="26"/>
      <c r="AB40" s="26"/>
      <c r="AC40" s="31">
        <v>6450000000</v>
      </c>
      <c r="AD40" s="26"/>
      <c r="AE40" s="26"/>
      <c r="AF40" s="26"/>
      <c r="AG40" s="26"/>
      <c r="AH40" s="25">
        <v>1700000000</v>
      </c>
    </row>
    <row r="41" spans="1:34" x14ac:dyDescent="0.25">
      <c r="A41" s="5">
        <v>39</v>
      </c>
      <c r="B41" s="5" t="s">
        <v>87</v>
      </c>
      <c r="C41" s="5" t="s">
        <v>88</v>
      </c>
      <c r="D41" s="6">
        <v>33154</v>
      </c>
      <c r="E41" s="7">
        <v>322185012261</v>
      </c>
      <c r="F41" s="7">
        <v>318141387900</v>
      </c>
      <c r="G41" s="7">
        <v>317310718779</v>
      </c>
      <c r="H41" s="8">
        <v>362242571405</v>
      </c>
      <c r="I41" s="8">
        <v>405675831614</v>
      </c>
      <c r="J41" s="7">
        <v>9380137352</v>
      </c>
      <c r="K41" s="7">
        <v>3937685121</v>
      </c>
      <c r="L41" s="7">
        <v>2400715154</v>
      </c>
      <c r="M41" s="8">
        <v>22723655893</v>
      </c>
      <c r="N41" s="8">
        <v>27428849986</v>
      </c>
      <c r="Y41" s="7">
        <v>993389856</v>
      </c>
      <c r="Z41" s="7">
        <v>1986779712</v>
      </c>
      <c r="AA41" s="7">
        <v>993389856</v>
      </c>
      <c r="AB41" s="21"/>
      <c r="AC41" s="8">
        <v>4966949280</v>
      </c>
      <c r="AD41" s="10">
        <v>331129952</v>
      </c>
      <c r="AE41" s="10">
        <v>331129952</v>
      </c>
      <c r="AF41" s="9">
        <v>331129952</v>
      </c>
      <c r="AG41" s="9">
        <v>331129952</v>
      </c>
      <c r="AH41" s="8">
        <v>331129952</v>
      </c>
    </row>
    <row r="42" spans="1:34" x14ac:dyDescent="0.25">
      <c r="A42" s="5">
        <v>40</v>
      </c>
      <c r="B42" s="5" t="s">
        <v>89</v>
      </c>
      <c r="C42" s="5" t="s">
        <v>90</v>
      </c>
      <c r="D42" s="6">
        <v>33099</v>
      </c>
      <c r="E42" s="7">
        <v>853267454400</v>
      </c>
      <c r="F42" s="7">
        <v>968234349565</v>
      </c>
      <c r="G42" s="7">
        <v>1081979820386</v>
      </c>
      <c r="H42" s="8">
        <v>1165564745263</v>
      </c>
      <c r="I42" s="8">
        <v>1221291885832</v>
      </c>
      <c r="J42" s="7">
        <v>74045187763</v>
      </c>
      <c r="K42" s="7">
        <v>77402572552</v>
      </c>
      <c r="L42" s="7">
        <v>95929070814</v>
      </c>
      <c r="M42" s="8">
        <v>108490477354</v>
      </c>
      <c r="N42" s="8">
        <v>78079793270</v>
      </c>
      <c r="Y42" s="7">
        <v>12577950000</v>
      </c>
      <c r="Z42" s="7">
        <v>20963250000</v>
      </c>
      <c r="AA42" s="7">
        <v>24457125000</v>
      </c>
      <c r="AB42" s="9">
        <f>31444875000+1199075472</f>
        <v>32643950472</v>
      </c>
      <c r="AC42" s="9">
        <f>34938750000+1571851081</f>
        <v>36510601081</v>
      </c>
      <c r="AD42" s="10">
        <v>698775000</v>
      </c>
      <c r="AE42" s="10">
        <v>698775000</v>
      </c>
      <c r="AF42" s="9">
        <v>698775000</v>
      </c>
      <c r="AG42" s="9">
        <v>698775000</v>
      </c>
      <c r="AH42" s="8">
        <v>3493875000</v>
      </c>
    </row>
    <row r="43" spans="1:34" x14ac:dyDescent="0.25">
      <c r="A43" s="5">
        <v>41</v>
      </c>
      <c r="B43" s="5" t="s">
        <v>91</v>
      </c>
      <c r="C43" s="5" t="s">
        <v>92</v>
      </c>
      <c r="D43" s="6">
        <v>35566</v>
      </c>
      <c r="E43" s="7">
        <v>1090658578996</v>
      </c>
      <c r="F43" s="7">
        <v>1123468024853</v>
      </c>
      <c r="G43" s="7">
        <v>1055671083056</v>
      </c>
      <c r="H43" s="7">
        <v>1053555048668</v>
      </c>
      <c r="I43" s="7">
        <v>895204452940</v>
      </c>
      <c r="J43" s="16">
        <v>-138527581192</v>
      </c>
      <c r="K43" s="7">
        <v>-89756071206</v>
      </c>
      <c r="L43" s="16">
        <v>72652783063</v>
      </c>
      <c r="M43" s="16">
        <v>-124613363675</v>
      </c>
      <c r="N43" s="16">
        <v>-282774617043</v>
      </c>
      <c r="Y43" s="21"/>
      <c r="Z43" s="21"/>
      <c r="AA43" s="21"/>
      <c r="AB43" s="21"/>
      <c r="AC43" s="21"/>
      <c r="AD43" s="10">
        <v>968297000</v>
      </c>
      <c r="AE43" s="10">
        <v>968297000</v>
      </c>
      <c r="AF43" s="10">
        <v>968297000</v>
      </c>
      <c r="AG43" s="10">
        <v>4668671400</v>
      </c>
      <c r="AH43" s="10">
        <v>4668671400</v>
      </c>
    </row>
    <row r="44" spans="1:34" x14ac:dyDescent="0.25">
      <c r="A44" s="5">
        <v>42</v>
      </c>
      <c r="B44" s="5" t="s">
        <v>93</v>
      </c>
      <c r="C44" s="5" t="s">
        <v>94</v>
      </c>
      <c r="D44" s="6">
        <v>33078</v>
      </c>
      <c r="E44" s="7">
        <v>391362697956</v>
      </c>
      <c r="F44" s="7">
        <v>405445049452</v>
      </c>
      <c r="G44" s="7">
        <v>444865800672</v>
      </c>
      <c r="H44" s="8">
        <v>510698600200</v>
      </c>
      <c r="I44" s="17">
        <v>496010534463</v>
      </c>
      <c r="J44" s="7">
        <v>16675673703</v>
      </c>
      <c r="K44" s="7">
        <v>13811736623</v>
      </c>
      <c r="L44" s="7">
        <v>30071380873</v>
      </c>
      <c r="M44" s="8">
        <v>11036924395</v>
      </c>
      <c r="N44" s="17">
        <v>24502371311</v>
      </c>
      <c r="Y44" s="7">
        <v>1098885825</v>
      </c>
      <c r="Z44" s="21"/>
      <c r="AA44" s="7">
        <v>3922424632</v>
      </c>
      <c r="AB44" s="7">
        <v>4903030925</v>
      </c>
      <c r="AC44" s="21"/>
      <c r="AD44" s="10">
        <v>196121237</v>
      </c>
      <c r="AE44" s="10">
        <v>196121237</v>
      </c>
      <c r="AF44" s="10">
        <v>196121237</v>
      </c>
      <c r="AG44" s="10">
        <v>196121237</v>
      </c>
      <c r="AH44" s="10">
        <v>196121237</v>
      </c>
    </row>
    <row r="45" spans="1:34" x14ac:dyDescent="0.25">
      <c r="A45" s="5">
        <v>43</v>
      </c>
      <c r="B45" s="11" t="s">
        <v>95</v>
      </c>
      <c r="C45" s="11" t="s">
        <v>96</v>
      </c>
      <c r="D45" s="6">
        <v>44494</v>
      </c>
      <c r="E45" s="26"/>
      <c r="F45" s="26"/>
      <c r="G45" s="26"/>
      <c r="H45" s="7">
        <v>262419785855</v>
      </c>
      <c r="I45" s="7">
        <v>269542435102</v>
      </c>
      <c r="J45" s="26"/>
      <c r="K45" s="26"/>
      <c r="L45" s="26"/>
      <c r="M45" s="7">
        <v>6178640735</v>
      </c>
      <c r="N45" s="7">
        <v>7864937767</v>
      </c>
      <c r="Y45" s="26"/>
      <c r="Z45" s="26"/>
      <c r="AA45" s="26"/>
      <c r="AB45" s="7">
        <v>32528527000</v>
      </c>
      <c r="AC45" s="7">
        <v>1292570807</v>
      </c>
      <c r="AD45" s="26"/>
      <c r="AE45" s="26"/>
      <c r="AF45" s="26"/>
      <c r="AG45" s="10">
        <v>1292570540</v>
      </c>
      <c r="AH45" s="10">
        <v>1292808150</v>
      </c>
    </row>
    <row r="46" spans="1:34" x14ac:dyDescent="0.25">
      <c r="A46" s="5">
        <v>44</v>
      </c>
      <c r="B46" s="11" t="s">
        <v>97</v>
      </c>
      <c r="C46" s="32" t="s">
        <v>98</v>
      </c>
      <c r="D46" s="6">
        <v>44357</v>
      </c>
      <c r="E46" s="26"/>
      <c r="F46" s="26"/>
      <c r="G46" s="26"/>
      <c r="H46" s="7">
        <v>67925616555</v>
      </c>
      <c r="I46" s="7">
        <v>66268642560</v>
      </c>
      <c r="J46" s="26"/>
      <c r="K46" s="26"/>
      <c r="L46" s="26"/>
      <c r="M46" s="7">
        <v>19313034547</v>
      </c>
      <c r="N46" s="16">
        <v>-4544715678</v>
      </c>
      <c r="Y46" s="26"/>
      <c r="Z46" s="26"/>
      <c r="AA46" s="26"/>
      <c r="AB46" s="21"/>
      <c r="AC46" s="21"/>
      <c r="AD46" s="26"/>
      <c r="AE46" s="26"/>
      <c r="AF46" s="26"/>
      <c r="AG46" s="10">
        <v>1000000100</v>
      </c>
      <c r="AH46" s="10">
        <v>1000000100</v>
      </c>
    </row>
    <row r="47" spans="1:34" x14ac:dyDescent="0.25">
      <c r="A47" s="5">
        <v>45</v>
      </c>
      <c r="B47" s="5" t="s">
        <v>99</v>
      </c>
      <c r="C47" s="5" t="s">
        <v>100</v>
      </c>
      <c r="D47" s="6">
        <v>43342</v>
      </c>
      <c r="E47" s="33">
        <v>1868245599000</v>
      </c>
      <c r="F47" s="7">
        <v>1872712715000</v>
      </c>
      <c r="G47" s="7">
        <v>2279580714000</v>
      </c>
      <c r="H47" s="8">
        <v>2275216679000</v>
      </c>
      <c r="I47" s="8">
        <v>2182945756000</v>
      </c>
      <c r="J47" s="33">
        <v>94243997000</v>
      </c>
      <c r="K47" s="7">
        <v>60910956000</v>
      </c>
      <c r="L47" s="7">
        <v>79288256000</v>
      </c>
      <c r="M47" s="8">
        <v>38800766000</v>
      </c>
      <c r="N47" s="8">
        <v>11310348000</v>
      </c>
      <c r="Y47" s="33">
        <v>203486706000</v>
      </c>
      <c r="Z47" s="7">
        <v>38637633000</v>
      </c>
      <c r="AA47" s="7">
        <v>13665358000</v>
      </c>
      <c r="AB47" s="7">
        <v>1292570807</v>
      </c>
      <c r="AC47" s="7">
        <v>1292570807</v>
      </c>
      <c r="AD47" s="34">
        <v>1983888498</v>
      </c>
      <c r="AE47" s="10">
        <v>2334888498</v>
      </c>
      <c r="AF47" s="10">
        <v>2334888498</v>
      </c>
      <c r="AG47" s="10">
        <v>2724036581</v>
      </c>
      <c r="AH47" s="10">
        <v>2724036581</v>
      </c>
    </row>
    <row r="48" spans="1:34" x14ac:dyDescent="0.25">
      <c r="A48" s="5">
        <v>46</v>
      </c>
      <c r="B48" s="5" t="s">
        <v>101</v>
      </c>
      <c r="C48" s="19" t="s">
        <v>102</v>
      </c>
      <c r="D48" s="6">
        <v>44300</v>
      </c>
      <c r="E48" s="26"/>
      <c r="F48" s="26"/>
      <c r="G48" s="26"/>
      <c r="H48" s="9">
        <v>398394808298</v>
      </c>
      <c r="I48" s="9">
        <v>367371751455</v>
      </c>
      <c r="J48" s="26"/>
      <c r="K48" s="26"/>
      <c r="L48" s="26"/>
      <c r="M48" s="9">
        <v>4289449698</v>
      </c>
      <c r="N48" s="9">
        <v>-38588379498</v>
      </c>
      <c r="Y48" s="26"/>
      <c r="Z48" s="26"/>
      <c r="AA48" s="26"/>
      <c r="AB48" s="21"/>
      <c r="AC48" s="21"/>
      <c r="AD48" s="26"/>
      <c r="AE48" s="26"/>
      <c r="AF48" s="26"/>
      <c r="AG48" s="10">
        <v>3240235840</v>
      </c>
      <c r="AH48" s="10">
        <v>3240235840</v>
      </c>
    </row>
    <row r="49" spans="1:34" x14ac:dyDescent="0.25">
      <c r="A49" s="5">
        <v>47</v>
      </c>
      <c r="B49" s="19" t="s">
        <v>103</v>
      </c>
      <c r="C49" s="19" t="s">
        <v>104</v>
      </c>
      <c r="D49" s="6">
        <v>44538</v>
      </c>
      <c r="E49" s="26"/>
      <c r="F49" s="26"/>
      <c r="G49" s="26"/>
      <c r="H49" s="7">
        <v>101174568475</v>
      </c>
      <c r="I49" s="7">
        <v>130535594202</v>
      </c>
      <c r="J49" s="26"/>
      <c r="K49" s="26"/>
      <c r="L49" s="26"/>
      <c r="M49" s="7">
        <v>4549443319</v>
      </c>
      <c r="N49" s="7">
        <v>7989380174</v>
      </c>
      <c r="Y49" s="26"/>
      <c r="Z49" s="26"/>
      <c r="AA49" s="26"/>
      <c r="AB49" s="21"/>
      <c r="AC49" s="21"/>
      <c r="AD49" s="26"/>
      <c r="AE49" s="26"/>
      <c r="AF49" s="26"/>
      <c r="AG49" s="10">
        <v>550000000</v>
      </c>
      <c r="AH49" s="10">
        <v>805992931</v>
      </c>
    </row>
    <row r="50" spans="1:34" x14ac:dyDescent="0.25">
      <c r="A50" s="5">
        <v>48</v>
      </c>
      <c r="B50" s="5" t="s">
        <v>105</v>
      </c>
      <c r="C50" s="5" t="s">
        <v>106</v>
      </c>
      <c r="D50" s="6">
        <v>43921</v>
      </c>
      <c r="E50" s="20"/>
      <c r="F50" s="20"/>
      <c r="G50" s="7">
        <v>1342071492913</v>
      </c>
      <c r="H50" s="8">
        <v>1763123879245</v>
      </c>
      <c r="I50" s="8">
        <v>3097781579099</v>
      </c>
      <c r="J50" s="26"/>
      <c r="K50" s="26"/>
      <c r="L50" s="7">
        <v>117865798906</v>
      </c>
      <c r="M50" s="8">
        <v>171146039488</v>
      </c>
      <c r="N50" s="8">
        <v>345992311458</v>
      </c>
      <c r="Y50" s="26"/>
      <c r="Z50" s="26"/>
      <c r="AA50" s="7">
        <v>52787500000</v>
      </c>
      <c r="AB50" s="9">
        <v>92465078126</v>
      </c>
      <c r="AC50" s="9">
        <v>87891693229</v>
      </c>
      <c r="AD50" s="26"/>
      <c r="AE50" s="26"/>
      <c r="AF50" s="10">
        <v>5125000000</v>
      </c>
      <c r="AG50" s="10">
        <v>5125000000</v>
      </c>
      <c r="AH50" s="10">
        <v>5125000000</v>
      </c>
    </row>
    <row r="51" spans="1:34" x14ac:dyDescent="0.25">
      <c r="A51" s="5">
        <v>49</v>
      </c>
      <c r="B51" s="19" t="s">
        <v>107</v>
      </c>
      <c r="C51" s="19" t="s">
        <v>108</v>
      </c>
      <c r="D51" s="6">
        <v>44447</v>
      </c>
      <c r="E51" s="26"/>
      <c r="F51" s="26"/>
      <c r="G51" s="26"/>
      <c r="H51" s="7">
        <v>250618755797</v>
      </c>
      <c r="I51" s="7">
        <v>269606050340</v>
      </c>
      <c r="J51" s="26"/>
      <c r="K51" s="26"/>
      <c r="L51" s="26"/>
      <c r="M51" s="7">
        <v>7413865660</v>
      </c>
      <c r="N51" s="7">
        <v>4484443369</v>
      </c>
      <c r="Y51" s="26"/>
      <c r="Z51" s="26"/>
      <c r="AA51" s="26"/>
      <c r="AB51" s="21"/>
      <c r="AC51" s="21"/>
      <c r="AD51" s="26"/>
      <c r="AE51" s="26"/>
      <c r="AF51" s="26"/>
      <c r="AG51" s="10">
        <v>928400000</v>
      </c>
      <c r="AH51" s="10">
        <v>929926282</v>
      </c>
    </row>
    <row r="52" spans="1:34" x14ac:dyDescent="0.25">
      <c r="A52" s="5">
        <v>50</v>
      </c>
      <c r="B52" s="5" t="s">
        <v>109</v>
      </c>
      <c r="C52" s="5" t="s">
        <v>110</v>
      </c>
      <c r="D52" s="6">
        <v>33980</v>
      </c>
      <c r="E52" s="7">
        <v>686777211000</v>
      </c>
      <c r="F52" s="7">
        <v>779246858000</v>
      </c>
      <c r="G52" s="7">
        <v>906846895000</v>
      </c>
      <c r="H52" s="8">
        <v>860162908000</v>
      </c>
      <c r="I52" s="8">
        <v>876602301000</v>
      </c>
      <c r="J52" s="7">
        <v>38735092000</v>
      </c>
      <c r="K52" s="7">
        <v>42829128000</v>
      </c>
      <c r="L52" s="7">
        <v>44152245000</v>
      </c>
      <c r="M52" s="8">
        <v>26542985000</v>
      </c>
      <c r="N52" s="8">
        <v>33640328000</v>
      </c>
      <c r="Y52" s="21"/>
      <c r="Z52" s="7">
        <v>6020000000</v>
      </c>
      <c r="AA52" s="7">
        <v>12040000000</v>
      </c>
      <c r="AB52" s="9">
        <v>6020000</v>
      </c>
      <c r="AC52" s="21"/>
      <c r="AD52" s="10">
        <v>6020000000</v>
      </c>
      <c r="AE52" s="10">
        <v>6020000000</v>
      </c>
      <c r="AF52" s="10">
        <v>6020000000</v>
      </c>
      <c r="AG52" s="10">
        <v>6020000000</v>
      </c>
      <c r="AH52" s="10">
        <v>6020000000</v>
      </c>
    </row>
    <row r="53" spans="1:34" x14ac:dyDescent="0.25">
      <c r="A53" s="5">
        <v>51</v>
      </c>
      <c r="B53" s="11" t="s">
        <v>111</v>
      </c>
      <c r="C53" s="11" t="s">
        <v>112</v>
      </c>
      <c r="D53" s="6">
        <v>43199</v>
      </c>
      <c r="E53" s="24">
        <v>304204072</v>
      </c>
      <c r="F53" s="24">
        <v>356285764</v>
      </c>
      <c r="G53" s="13">
        <v>349209327</v>
      </c>
      <c r="H53" s="13">
        <v>210575452</v>
      </c>
      <c r="I53" s="13">
        <v>146631100</v>
      </c>
      <c r="J53" s="24">
        <v>12932499</v>
      </c>
      <c r="K53" s="24">
        <v>16052289</v>
      </c>
      <c r="L53" s="13">
        <v>-3454919</v>
      </c>
      <c r="M53" s="13">
        <v>-78616128</v>
      </c>
      <c r="N53" s="16">
        <v>-52497945</v>
      </c>
      <c r="Y53" s="13">
        <v>200000</v>
      </c>
      <c r="Z53" s="13">
        <v>300000</v>
      </c>
      <c r="AA53" s="13">
        <v>160000</v>
      </c>
      <c r="AB53" s="13">
        <v>660000</v>
      </c>
      <c r="AC53" s="13">
        <v>800000</v>
      </c>
      <c r="AD53" s="8">
        <v>10485050500</v>
      </c>
      <c r="AE53" s="8">
        <v>10485050500</v>
      </c>
      <c r="AF53" s="8">
        <v>10485050500</v>
      </c>
      <c r="AG53" s="8">
        <v>10485050500</v>
      </c>
      <c r="AH53" s="8">
        <v>10485050500</v>
      </c>
    </row>
    <row r="54" spans="1:34" x14ac:dyDescent="0.25">
      <c r="A54" s="5">
        <v>52</v>
      </c>
      <c r="B54" s="5" t="s">
        <v>113</v>
      </c>
      <c r="C54" s="5" t="s">
        <v>114</v>
      </c>
      <c r="D54" s="6">
        <v>39594</v>
      </c>
      <c r="E54" s="13">
        <v>3173486000</v>
      </c>
      <c r="F54" s="13">
        <v>3451211000</v>
      </c>
      <c r="G54" s="13">
        <v>3593747000</v>
      </c>
      <c r="H54" s="24">
        <v>4993060000</v>
      </c>
      <c r="I54" s="24">
        <v>4929871000</v>
      </c>
      <c r="J54" s="7">
        <v>182316000</v>
      </c>
      <c r="K54" s="13">
        <v>23647000</v>
      </c>
      <c r="L54" s="13">
        <v>51542000</v>
      </c>
      <c r="M54" s="24">
        <v>151869000</v>
      </c>
      <c r="N54" s="18">
        <v>-149399000</v>
      </c>
      <c r="Y54" s="7">
        <f>80924000+735000</f>
        <v>81659000</v>
      </c>
      <c r="Z54" s="7">
        <v>33262000</v>
      </c>
      <c r="AA54" s="7">
        <v>1280000</v>
      </c>
      <c r="AB54" s="9">
        <v>103514000</v>
      </c>
      <c r="AC54" s="8">
        <v>11000000</v>
      </c>
      <c r="AD54" s="10">
        <v>17833520260</v>
      </c>
      <c r="AE54" s="10">
        <v>17833520260</v>
      </c>
      <c r="AF54" s="10">
        <v>17833520260</v>
      </c>
      <c r="AG54" s="10">
        <v>21627886273</v>
      </c>
      <c r="AH54" s="8">
        <v>86511545092</v>
      </c>
    </row>
    <row r="55" spans="1:34" x14ac:dyDescent="0.25">
      <c r="A55" s="5">
        <v>53</v>
      </c>
      <c r="B55" s="5" t="s">
        <v>115</v>
      </c>
      <c r="C55" s="5" t="s">
        <v>116</v>
      </c>
      <c r="D55" s="6">
        <v>32818</v>
      </c>
      <c r="E55" s="13">
        <v>236410388</v>
      </c>
      <c r="F55" s="13">
        <v>219757421</v>
      </c>
      <c r="G55" s="13">
        <v>242256371</v>
      </c>
      <c r="H55" s="13">
        <v>292723782</v>
      </c>
      <c r="I55" s="24">
        <v>317577675</v>
      </c>
      <c r="J55" s="7">
        <v>17280630</v>
      </c>
      <c r="K55" s="13">
        <v>11388329</v>
      </c>
      <c r="L55" s="13">
        <v>27294821</v>
      </c>
      <c r="M55" s="13">
        <v>58052717</v>
      </c>
      <c r="N55" s="13">
        <v>37901615</v>
      </c>
      <c r="Y55" s="13">
        <v>11567189</v>
      </c>
      <c r="Z55" s="13">
        <v>2435568</v>
      </c>
      <c r="AA55" s="13">
        <v>6021620</v>
      </c>
      <c r="AB55" s="13">
        <v>15982321</v>
      </c>
      <c r="AC55" s="13">
        <v>2583966</v>
      </c>
      <c r="AD55" s="10">
        <v>383331363</v>
      </c>
      <c r="AE55" s="10">
        <v>383331363</v>
      </c>
      <c r="AF55" s="10">
        <v>383331363</v>
      </c>
      <c r="AG55" s="10">
        <v>383331363</v>
      </c>
      <c r="AH55" s="10">
        <v>383331363</v>
      </c>
    </row>
    <row r="56" spans="1:34" x14ac:dyDescent="0.25">
      <c r="A56" s="5">
        <v>54</v>
      </c>
      <c r="B56" s="5" t="s">
        <v>117</v>
      </c>
      <c r="C56" s="5" t="s">
        <v>118</v>
      </c>
      <c r="D56" s="6">
        <v>33956</v>
      </c>
      <c r="E56" s="7">
        <v>3070410492000</v>
      </c>
      <c r="F56" s="7">
        <v>2776775756000</v>
      </c>
      <c r="G56" s="7">
        <v>2644267716000</v>
      </c>
      <c r="H56" s="8">
        <v>3335740359000</v>
      </c>
      <c r="I56" s="8">
        <v>3590544764000</v>
      </c>
      <c r="J56" s="7">
        <v>64226271000</v>
      </c>
      <c r="K56" s="7">
        <v>54355268000</v>
      </c>
      <c r="L56" s="7">
        <v>66005547000</v>
      </c>
      <c r="M56" s="8">
        <v>147822236000</v>
      </c>
      <c r="N56" s="8">
        <v>211687105000</v>
      </c>
      <c r="Y56" s="7">
        <v>7346976000</v>
      </c>
      <c r="Z56" s="7">
        <v>7346976000</v>
      </c>
      <c r="AA56" s="21"/>
      <c r="AB56" s="9">
        <v>15306200000</v>
      </c>
      <c r="AC56" s="9">
        <v>30000152000</v>
      </c>
      <c r="AD56" s="10">
        <v>680000000</v>
      </c>
      <c r="AE56" s="10">
        <v>680000000</v>
      </c>
      <c r="AF56" s="10">
        <v>612248000</v>
      </c>
      <c r="AG56" s="10">
        <v>612248000</v>
      </c>
      <c r="AH56" s="10">
        <v>612248000</v>
      </c>
    </row>
    <row r="57" spans="1:34" x14ac:dyDescent="0.25">
      <c r="A57" s="5">
        <v>55</v>
      </c>
      <c r="B57" s="5" t="s">
        <v>119</v>
      </c>
      <c r="C57" s="5" t="s">
        <v>120</v>
      </c>
      <c r="D57" s="6">
        <v>36647</v>
      </c>
      <c r="E57" s="7">
        <v>503177499114</v>
      </c>
      <c r="F57" s="7">
        <v>419264529448</v>
      </c>
      <c r="G57" s="9">
        <v>406440895710</v>
      </c>
      <c r="H57" s="17">
        <v>431280653664</v>
      </c>
      <c r="I57" s="8">
        <v>468541883266</v>
      </c>
      <c r="J57" s="16">
        <v>-23496671376</v>
      </c>
      <c r="K57" s="7">
        <v>9588681370</v>
      </c>
      <c r="L57" s="22">
        <v>-6424025663</v>
      </c>
      <c r="M57" s="17">
        <v>23227293962</v>
      </c>
      <c r="N57" s="17">
        <v>46599136683</v>
      </c>
      <c r="Y57" s="21"/>
      <c r="Z57" s="21"/>
      <c r="AA57" s="15"/>
      <c r="AB57" s="21"/>
      <c r="AC57" s="21"/>
      <c r="AD57" s="10">
        <v>1362671400</v>
      </c>
      <c r="AE57" s="10">
        <v>1362671400</v>
      </c>
      <c r="AF57" s="10">
        <v>1362671400</v>
      </c>
      <c r="AG57" s="10">
        <v>1362671400</v>
      </c>
      <c r="AH57" s="10">
        <v>1362671400</v>
      </c>
    </row>
    <row r="58" spans="1:34" x14ac:dyDescent="0.25">
      <c r="A58" s="5">
        <v>56</v>
      </c>
      <c r="B58" s="5" t="s">
        <v>121</v>
      </c>
      <c r="C58" s="5" t="s">
        <v>122</v>
      </c>
      <c r="D58" s="6">
        <v>32818</v>
      </c>
      <c r="E58" s="7">
        <v>2461326183000</v>
      </c>
      <c r="F58" s="7">
        <v>2263112918000</v>
      </c>
      <c r="G58" s="7">
        <v>1965718547000</v>
      </c>
      <c r="H58" s="8">
        <v>2020640257000</v>
      </c>
      <c r="I58" s="8">
        <v>1869959662000</v>
      </c>
      <c r="J58" s="16">
        <v>-23662406000</v>
      </c>
      <c r="K58" s="16">
        <v>-163083992000</v>
      </c>
      <c r="L58" s="16">
        <v>-187053341000</v>
      </c>
      <c r="M58" s="18">
        <v>-193272827000</v>
      </c>
      <c r="N58" s="17">
        <v>-136403681000</v>
      </c>
      <c r="Y58" s="7">
        <v>3600000000</v>
      </c>
      <c r="Z58" s="21"/>
      <c r="AA58" s="21"/>
      <c r="AB58" s="21"/>
      <c r="AC58" s="21"/>
      <c r="AD58" s="10">
        <v>979110000</v>
      </c>
      <c r="AE58" s="10">
        <v>979110000</v>
      </c>
      <c r="AF58" s="10">
        <v>979110000</v>
      </c>
      <c r="AG58" s="10">
        <v>979110000</v>
      </c>
      <c r="AH58" s="10">
        <v>979110000</v>
      </c>
    </row>
    <row r="59" spans="1:34" x14ac:dyDescent="0.25">
      <c r="A59" s="5">
        <v>57</v>
      </c>
      <c r="B59" s="5" t="s">
        <v>123</v>
      </c>
      <c r="C59" s="5" t="s">
        <v>124</v>
      </c>
      <c r="D59" s="6">
        <v>44013</v>
      </c>
      <c r="E59" s="20"/>
      <c r="F59" s="20"/>
      <c r="G59" s="7">
        <v>367448396337</v>
      </c>
      <c r="H59" s="8">
        <v>372241949890</v>
      </c>
      <c r="I59" s="17">
        <v>296272927272</v>
      </c>
      <c r="J59" s="20"/>
      <c r="K59" s="20"/>
      <c r="L59" s="7">
        <v>2920126029</v>
      </c>
      <c r="M59" s="8">
        <v>1069895675</v>
      </c>
      <c r="N59" s="8">
        <v>-66107058046</v>
      </c>
      <c r="Y59" s="26"/>
      <c r="Z59" s="26"/>
      <c r="AA59" s="21"/>
      <c r="AB59" s="21"/>
      <c r="AC59" s="21"/>
      <c r="AD59" s="26"/>
      <c r="AE59" s="26"/>
      <c r="AF59" s="10">
        <v>3303400000</v>
      </c>
      <c r="AG59" s="10">
        <v>3303400000</v>
      </c>
      <c r="AH59" s="17">
        <v>3303400000</v>
      </c>
    </row>
    <row r="60" spans="1:34" x14ac:dyDescent="0.25">
      <c r="A60" s="5">
        <v>58</v>
      </c>
      <c r="B60" s="5" t="s">
        <v>125</v>
      </c>
      <c r="C60" s="5" t="s">
        <v>126</v>
      </c>
      <c r="D60" s="6">
        <v>43783</v>
      </c>
      <c r="E60" s="26"/>
      <c r="F60" s="7">
        <v>75609342033</v>
      </c>
      <c r="G60" s="7">
        <v>77924121640</v>
      </c>
      <c r="H60" s="8">
        <v>84582663843</v>
      </c>
      <c r="I60" s="35">
        <v>98498235572</v>
      </c>
      <c r="J60" s="26"/>
      <c r="K60" s="7">
        <v>1191566812</v>
      </c>
      <c r="L60" s="7">
        <v>1741619395</v>
      </c>
      <c r="M60" s="8">
        <v>611433199</v>
      </c>
      <c r="N60" s="8">
        <v>916698764</v>
      </c>
      <c r="Y60" s="26"/>
      <c r="Z60" s="7">
        <v>2000000000</v>
      </c>
      <c r="AA60" s="7">
        <v>595783406</v>
      </c>
      <c r="AB60" s="21"/>
      <c r="AC60" s="21"/>
      <c r="AD60" s="26"/>
      <c r="AE60" s="10">
        <v>640000000</v>
      </c>
      <c r="AF60" s="10">
        <v>640000005</v>
      </c>
      <c r="AG60" s="10">
        <v>640347707</v>
      </c>
      <c r="AH60" s="35">
        <v>1109937083</v>
      </c>
    </row>
    <row r="61" spans="1:34" x14ac:dyDescent="0.25">
      <c r="A61" s="5">
        <v>59</v>
      </c>
      <c r="B61" s="5" t="s">
        <v>127</v>
      </c>
      <c r="C61" s="5" t="s">
        <v>128</v>
      </c>
      <c r="D61" s="6">
        <v>37336</v>
      </c>
      <c r="E61" s="13">
        <v>195826000</v>
      </c>
      <c r="F61" s="13">
        <v>165728000</v>
      </c>
      <c r="G61" s="13">
        <v>149377000</v>
      </c>
      <c r="H61" s="24">
        <v>183022000</v>
      </c>
      <c r="I61" s="17">
        <v>192224000</v>
      </c>
      <c r="J61" s="7">
        <v>6125000</v>
      </c>
      <c r="K61" s="16">
        <v>-3286000</v>
      </c>
      <c r="L61" s="16">
        <v>-4945000</v>
      </c>
      <c r="M61" s="24">
        <v>9564000</v>
      </c>
      <c r="N61" s="8">
        <v>2896000</v>
      </c>
      <c r="Y61" s="21"/>
      <c r="Z61" s="21"/>
      <c r="AA61" s="21"/>
      <c r="AB61" s="21"/>
      <c r="AC61" s="21"/>
      <c r="AD61" s="10">
        <v>5566414000</v>
      </c>
      <c r="AE61" s="10">
        <v>5566414000</v>
      </c>
      <c r="AF61" s="10">
        <v>5566414000</v>
      </c>
      <c r="AG61" s="10">
        <v>5566414000</v>
      </c>
      <c r="AH61" s="10">
        <v>5566414000</v>
      </c>
    </row>
    <row r="62" spans="1:34" x14ac:dyDescent="0.25">
      <c r="A62" s="5">
        <v>60</v>
      </c>
      <c r="B62" s="5" t="s">
        <v>129</v>
      </c>
      <c r="C62" s="5" t="s">
        <v>130</v>
      </c>
      <c r="D62" s="6">
        <v>33182</v>
      </c>
      <c r="E62" s="7">
        <v>570197810698</v>
      </c>
      <c r="F62" s="7">
        <v>617594780669</v>
      </c>
      <c r="G62" s="7">
        <v>665863417235</v>
      </c>
      <c r="H62" s="8">
        <v>809371584010</v>
      </c>
      <c r="I62" s="8">
        <v>863638556466</v>
      </c>
      <c r="J62" s="7">
        <v>44672438405</v>
      </c>
      <c r="K62" s="7">
        <v>60836752751</v>
      </c>
      <c r="L62" s="7">
        <v>60770710445</v>
      </c>
      <c r="M62" s="8">
        <v>104034299846</v>
      </c>
      <c r="N62" s="8">
        <v>102314374301</v>
      </c>
      <c r="Y62" s="7">
        <v>4858213700</v>
      </c>
      <c r="Z62" s="7">
        <v>6638247950</v>
      </c>
      <c r="AA62" s="7">
        <v>6638247950</v>
      </c>
      <c r="AB62" s="9">
        <v>6638247950</v>
      </c>
      <c r="AC62" s="9">
        <v>8506860675</v>
      </c>
      <c r="AD62" s="10">
        <v>972204500</v>
      </c>
      <c r="AE62" s="10">
        <v>972204500</v>
      </c>
      <c r="AF62" s="10">
        <v>972204500</v>
      </c>
      <c r="AG62" s="10">
        <v>972204500</v>
      </c>
      <c r="AH62" s="10">
        <v>972204500</v>
      </c>
    </row>
    <row r="63" spans="1:34" x14ac:dyDescent="0.25">
      <c r="A63" s="5">
        <v>61</v>
      </c>
      <c r="B63" s="5" t="s">
        <v>131</v>
      </c>
      <c r="C63" s="5" t="s">
        <v>132</v>
      </c>
      <c r="D63" s="6">
        <v>41990</v>
      </c>
      <c r="E63" s="7">
        <v>2370198817803</v>
      </c>
      <c r="F63" s="7">
        <v>2501132856219</v>
      </c>
      <c r="G63" s="7">
        <v>2697100062756</v>
      </c>
      <c r="H63" s="8">
        <v>1383431547987</v>
      </c>
      <c r="I63" s="17">
        <v>3435475875401</v>
      </c>
      <c r="J63" s="7">
        <v>105523929164</v>
      </c>
      <c r="K63" s="7">
        <v>93145200039</v>
      </c>
      <c r="L63" s="7">
        <v>115805324362</v>
      </c>
      <c r="M63" s="8">
        <v>206588977295</v>
      </c>
      <c r="N63" s="8">
        <v>312502049594</v>
      </c>
      <c r="Y63" s="7">
        <f>38668000000+4930000000</f>
        <v>43598000000</v>
      </c>
      <c r="Z63" s="7">
        <v>77790000000</v>
      </c>
      <c r="AA63" s="7">
        <v>53280000000</v>
      </c>
      <c r="AB63" s="17">
        <v>29001000000</v>
      </c>
      <c r="AC63" s="17">
        <v>106337000000</v>
      </c>
      <c r="AD63" s="10">
        <v>4833500000</v>
      </c>
      <c r="AE63" s="10">
        <v>4833500000</v>
      </c>
      <c r="AF63" s="10">
        <v>4833500000</v>
      </c>
      <c r="AG63" s="10">
        <v>4833500000</v>
      </c>
      <c r="AH63" s="17">
        <v>4933500000</v>
      </c>
    </row>
    <row r="64" spans="1:34" x14ac:dyDescent="0.25">
      <c r="A64" s="5">
        <v>62</v>
      </c>
      <c r="B64" s="36" t="s">
        <v>133</v>
      </c>
      <c r="C64" s="5" t="s">
        <v>134</v>
      </c>
      <c r="D64" s="6">
        <v>40368</v>
      </c>
      <c r="E64" s="13">
        <v>292126972</v>
      </c>
      <c r="F64" s="13">
        <v>277540954</v>
      </c>
      <c r="G64" s="13">
        <v>280515335</v>
      </c>
      <c r="H64" s="24">
        <v>299122566</v>
      </c>
      <c r="I64" s="17">
        <v>280534499</v>
      </c>
      <c r="J64" s="7">
        <v>5073929</v>
      </c>
      <c r="K64" s="13">
        <v>4510027</v>
      </c>
      <c r="L64" s="13">
        <v>8519433</v>
      </c>
      <c r="M64" s="24">
        <v>9499133</v>
      </c>
      <c r="N64" s="8">
        <v>3745327</v>
      </c>
      <c r="Y64" s="21"/>
      <c r="Z64" s="37">
        <v>1386079</v>
      </c>
      <c r="AA64" s="21"/>
      <c r="AB64" s="37">
        <v>2296859</v>
      </c>
      <c r="AC64" s="37">
        <v>2639642</v>
      </c>
      <c r="AD64" s="10">
        <v>6443379509</v>
      </c>
      <c r="AE64" s="10">
        <v>6443379509</v>
      </c>
      <c r="AF64" s="10">
        <v>6443379509</v>
      </c>
      <c r="AG64" s="10">
        <v>6443379509</v>
      </c>
      <c r="AH64" s="10">
        <v>6443379509</v>
      </c>
    </row>
    <row r="65" spans="1:34" x14ac:dyDescent="0.25">
      <c r="A65" s="5">
        <v>63</v>
      </c>
      <c r="B65" s="36" t="s">
        <v>135</v>
      </c>
      <c r="C65" s="5" t="s">
        <v>136</v>
      </c>
      <c r="D65" s="6">
        <v>43082</v>
      </c>
      <c r="E65" s="7">
        <v>2295734967000</v>
      </c>
      <c r="F65" s="7">
        <v>2338919728000</v>
      </c>
      <c r="G65" s="7">
        <v>2421301079000</v>
      </c>
      <c r="H65" s="8">
        <v>2795959663000</v>
      </c>
      <c r="I65" s="8">
        <v>3040363137000</v>
      </c>
      <c r="J65" s="7">
        <v>297628915000</v>
      </c>
      <c r="K65" s="7">
        <v>223626619000</v>
      </c>
      <c r="L65" s="7">
        <v>373653845000</v>
      </c>
      <c r="M65" s="8">
        <v>416209347000</v>
      </c>
      <c r="N65" s="8">
        <v>354901190000</v>
      </c>
      <c r="Y65" s="7">
        <v>81867571000</v>
      </c>
      <c r="Z65" s="7">
        <v>94992476000</v>
      </c>
      <c r="AA65" s="7">
        <v>112236000000</v>
      </c>
      <c r="AB65" s="9">
        <v>189773757000</v>
      </c>
      <c r="AC65" s="9">
        <v>207632399000</v>
      </c>
      <c r="AD65" s="10">
        <v>1875000000</v>
      </c>
      <c r="AE65" s="10">
        <v>1875000000</v>
      </c>
      <c r="AF65" s="10">
        <v>1875000000</v>
      </c>
      <c r="AG65" s="10">
        <v>1875000000</v>
      </c>
      <c r="AH65" s="10">
        <v>1875000000</v>
      </c>
    </row>
    <row r="66" spans="1:34" x14ac:dyDescent="0.25">
      <c r="A66" s="5">
        <v>64</v>
      </c>
      <c r="B66" s="36" t="s">
        <v>137</v>
      </c>
      <c r="C66" s="32" t="s">
        <v>138</v>
      </c>
      <c r="D66" s="6">
        <v>44874</v>
      </c>
      <c r="E66" s="26"/>
      <c r="F66" s="26"/>
      <c r="G66" s="26"/>
      <c r="H66" s="26"/>
      <c r="I66" s="9">
        <v>453707374402</v>
      </c>
      <c r="J66" s="26"/>
      <c r="K66" s="26"/>
      <c r="L66" s="26"/>
      <c r="M66" s="26"/>
      <c r="N66" s="9">
        <v>20594943805</v>
      </c>
      <c r="Y66" s="26"/>
      <c r="Z66" s="26"/>
      <c r="AA66" s="26"/>
      <c r="AB66" s="26"/>
      <c r="AC66" s="21"/>
      <c r="AD66" s="26"/>
      <c r="AE66" s="26"/>
      <c r="AF66" s="26"/>
      <c r="AG66" s="26"/>
      <c r="AH66" s="10">
        <v>2500000000</v>
      </c>
    </row>
    <row r="67" spans="1:34" x14ac:dyDescent="0.25">
      <c r="A67" s="5">
        <v>65</v>
      </c>
      <c r="B67" s="36" t="s">
        <v>139</v>
      </c>
      <c r="C67" s="5" t="s">
        <v>140</v>
      </c>
      <c r="D67" s="6">
        <v>43657</v>
      </c>
      <c r="E67" s="26"/>
      <c r="F67" s="7">
        <v>1730202346562</v>
      </c>
      <c r="G67" s="7">
        <v>1672515743467</v>
      </c>
      <c r="H67" s="8">
        <v>1908641505907</v>
      </c>
      <c r="I67" s="8">
        <v>2024398917353</v>
      </c>
      <c r="J67" s="26"/>
      <c r="K67" s="7">
        <v>20377371883</v>
      </c>
      <c r="L67" s="7">
        <v>37942386999</v>
      </c>
      <c r="M67" s="8">
        <v>106306881651</v>
      </c>
      <c r="N67" s="8">
        <v>77086661593</v>
      </c>
      <c r="Y67" s="26"/>
      <c r="Z67" s="21"/>
      <c r="AA67" s="7">
        <v>17000000025</v>
      </c>
      <c r="AB67" s="9">
        <v>27200001160</v>
      </c>
      <c r="AC67" s="9">
        <v>41017023480</v>
      </c>
      <c r="AD67" s="26"/>
      <c r="AE67" s="10">
        <v>3400000000</v>
      </c>
      <c r="AF67" s="9">
        <v>3400000005</v>
      </c>
      <c r="AG67" s="9">
        <v>3401381246</v>
      </c>
      <c r="AH67" s="9">
        <v>3418085290</v>
      </c>
    </row>
    <row r="68" spans="1:34" x14ac:dyDescent="0.25">
      <c r="A68" s="5">
        <v>66</v>
      </c>
      <c r="B68" s="36" t="s">
        <v>141</v>
      </c>
      <c r="C68" s="5" t="s">
        <v>142</v>
      </c>
      <c r="D68" s="6">
        <v>41640</v>
      </c>
      <c r="E68" s="7">
        <v>984597771989</v>
      </c>
      <c r="F68" s="7">
        <v>1329083050439</v>
      </c>
      <c r="G68" s="7">
        <v>1474472516166</v>
      </c>
      <c r="H68" s="8">
        <v>1569929936844</v>
      </c>
      <c r="I68" s="8">
        <v>1797280792145</v>
      </c>
      <c r="J68" s="7">
        <v>43976734000</v>
      </c>
      <c r="K68" s="7">
        <v>27456246966</v>
      </c>
      <c r="L68" s="7">
        <v>18488700221</v>
      </c>
      <c r="M68" s="8">
        <v>22437585810</v>
      </c>
      <c r="N68" s="8">
        <v>44313085815</v>
      </c>
      <c r="Y68" s="7">
        <v>4060305000</v>
      </c>
      <c r="Z68" s="7">
        <v>8120610000</v>
      </c>
      <c r="AA68" s="38"/>
      <c r="AB68" s="21"/>
      <c r="AC68" s="21"/>
      <c r="AD68" s="10">
        <v>1353435000</v>
      </c>
      <c r="AE68" s="10">
        <v>1353435000</v>
      </c>
      <c r="AF68" s="10">
        <v>1353435000</v>
      </c>
      <c r="AG68" s="10">
        <v>1353435000</v>
      </c>
      <c r="AH68" s="8">
        <v>1353435000</v>
      </c>
    </row>
    <row r="69" spans="1:34" x14ac:dyDescent="0.25">
      <c r="A69" s="5">
        <v>67</v>
      </c>
      <c r="B69" s="36" t="s">
        <v>143</v>
      </c>
      <c r="C69" s="5" t="s">
        <v>144</v>
      </c>
      <c r="D69" s="6">
        <v>33056</v>
      </c>
      <c r="E69" s="7">
        <v>4284901587126</v>
      </c>
      <c r="F69" s="7">
        <v>4349022887699</v>
      </c>
      <c r="G69" s="7">
        <v>4223302387771</v>
      </c>
      <c r="H69" s="8">
        <v>4628831951931</v>
      </c>
      <c r="I69" s="17">
        <v>5777073000000</v>
      </c>
      <c r="J69" s="7">
        <v>63193899099</v>
      </c>
      <c r="K69" s="7">
        <v>38911968283</v>
      </c>
      <c r="L69" s="7">
        <v>73277742422</v>
      </c>
      <c r="M69" s="8">
        <v>200975805947</v>
      </c>
      <c r="N69" s="17">
        <v>166414000000</v>
      </c>
      <c r="Y69" s="38"/>
      <c r="Z69" s="7">
        <v>14040000000</v>
      </c>
      <c r="AA69" s="7">
        <v>14040000000</v>
      </c>
      <c r="AB69" s="9">
        <v>28080000000</v>
      </c>
      <c r="AC69" s="9">
        <v>56160000000</v>
      </c>
      <c r="AD69" s="10">
        <v>2808000000</v>
      </c>
      <c r="AE69" s="10">
        <v>2808000000</v>
      </c>
      <c r="AF69" s="10">
        <v>2808000000</v>
      </c>
      <c r="AG69" s="10">
        <v>2808000000</v>
      </c>
      <c r="AH69" s="10">
        <v>2808000000</v>
      </c>
    </row>
    <row r="70" spans="1:34" x14ac:dyDescent="0.25">
      <c r="A70" s="5">
        <v>68</v>
      </c>
      <c r="B70" s="36" t="s">
        <v>145</v>
      </c>
      <c r="C70" s="5" t="s">
        <v>146</v>
      </c>
      <c r="D70" s="6">
        <v>39522</v>
      </c>
      <c r="E70" s="7">
        <v>330955269476</v>
      </c>
      <c r="F70" s="7">
        <v>278236534771</v>
      </c>
      <c r="G70" s="7">
        <v>275782172710</v>
      </c>
      <c r="H70" s="8">
        <v>258162529531</v>
      </c>
      <c r="I70" s="8">
        <v>290500335235</v>
      </c>
      <c r="J70" s="16">
        <v>-9041326115</v>
      </c>
      <c r="K70" s="7">
        <v>3488737738</v>
      </c>
      <c r="L70" s="7">
        <v>8334858402</v>
      </c>
      <c r="M70" s="18">
        <v>-9484670499</v>
      </c>
      <c r="N70" s="18">
        <v>-1411679112</v>
      </c>
      <c r="Y70" s="38"/>
      <c r="Z70" s="38"/>
      <c r="AA70" s="38"/>
      <c r="AB70" s="21"/>
      <c r="AC70" s="21"/>
      <c r="AD70" s="10">
        <v>668000089</v>
      </c>
      <c r="AE70" s="10">
        <v>668000089</v>
      </c>
      <c r="AF70" s="10">
        <v>668000089</v>
      </c>
      <c r="AG70" s="10">
        <v>668000089</v>
      </c>
      <c r="AH70" s="10">
        <v>668000089</v>
      </c>
    </row>
    <row r="71" spans="1:34" x14ac:dyDescent="0.25">
      <c r="A71" s="5">
        <v>69</v>
      </c>
      <c r="B71" s="36" t="s">
        <v>147</v>
      </c>
      <c r="C71" s="5" t="s">
        <v>148</v>
      </c>
      <c r="D71" s="6">
        <v>33315</v>
      </c>
      <c r="E71" s="7">
        <v>27645118000000</v>
      </c>
      <c r="F71" s="7">
        <v>29109408000000</v>
      </c>
      <c r="G71" s="7">
        <v>31159291000000</v>
      </c>
      <c r="H71" s="17">
        <v>35446051000000</v>
      </c>
      <c r="I71" s="17">
        <v>39847545000000</v>
      </c>
      <c r="J71" s="7">
        <v>4551485000000</v>
      </c>
      <c r="K71" s="7">
        <v>3642226000000</v>
      </c>
      <c r="L71" s="7">
        <v>3845833000000</v>
      </c>
      <c r="M71" s="17">
        <v>3619010000000</v>
      </c>
      <c r="N71" s="17">
        <v>2930357000000</v>
      </c>
      <c r="Y71" s="7">
        <v>918288000000</v>
      </c>
      <c r="Z71" s="7">
        <v>1934964000000</v>
      </c>
      <c r="AA71" s="9">
        <v>1328238000000</v>
      </c>
      <c r="AB71" s="9">
        <v>1836576000000</v>
      </c>
      <c r="AC71" s="9">
        <v>1770984000000</v>
      </c>
      <c r="AD71" s="10">
        <v>16398000000</v>
      </c>
      <c r="AE71" s="10">
        <v>16398000000</v>
      </c>
      <c r="AF71" s="10">
        <v>16398000000</v>
      </c>
      <c r="AG71" s="10">
        <v>16398000000</v>
      </c>
      <c r="AH71" s="10">
        <v>16398000000</v>
      </c>
    </row>
    <row r="72" spans="1:34" x14ac:dyDescent="0.25">
      <c r="A72" s="5">
        <v>70</v>
      </c>
      <c r="B72" s="36" t="s">
        <v>149</v>
      </c>
      <c r="C72" s="5" t="s">
        <v>150</v>
      </c>
      <c r="D72" s="6">
        <v>32804</v>
      </c>
      <c r="E72" s="7">
        <v>6572440000000</v>
      </c>
      <c r="F72" s="9">
        <v>6000259000000</v>
      </c>
      <c r="G72" s="7">
        <v>6326293000000</v>
      </c>
      <c r="H72" s="17">
        <v>6444438000000</v>
      </c>
      <c r="I72" s="17">
        <v>6833737000000</v>
      </c>
      <c r="J72" s="7">
        <v>1722704000000</v>
      </c>
      <c r="K72" s="22">
        <v>-348863000000</v>
      </c>
      <c r="L72" s="7">
        <v>381422000000</v>
      </c>
      <c r="M72" s="17">
        <v>2209313000000</v>
      </c>
      <c r="N72" s="17">
        <v>373978000000</v>
      </c>
      <c r="Y72" s="38"/>
      <c r="Z72" s="39"/>
      <c r="AA72" s="39"/>
      <c r="AB72" s="9">
        <v>670000000</v>
      </c>
      <c r="AC72" s="21"/>
      <c r="AD72" s="10">
        <v>59572382787</v>
      </c>
      <c r="AE72" s="10">
        <v>59572382787</v>
      </c>
      <c r="AF72" s="10">
        <v>59572382787</v>
      </c>
      <c r="AG72" s="10">
        <v>59572382787</v>
      </c>
      <c r="AH72" s="10">
        <v>59572382787</v>
      </c>
    </row>
    <row r="73" spans="1:34" x14ac:dyDescent="0.25">
      <c r="A73" s="5">
        <v>71</v>
      </c>
      <c r="B73" s="36" t="s">
        <v>151</v>
      </c>
      <c r="C73" s="11" t="s">
        <v>152</v>
      </c>
      <c r="D73" s="6" t="s">
        <v>153</v>
      </c>
      <c r="E73" s="26"/>
      <c r="F73" s="26"/>
      <c r="G73" s="26"/>
      <c r="H73" s="26"/>
      <c r="I73" s="9">
        <v>158282188190</v>
      </c>
      <c r="J73" s="20"/>
      <c r="K73" s="20"/>
      <c r="L73" s="26"/>
      <c r="M73" s="26"/>
      <c r="N73" s="9">
        <v>7629588664</v>
      </c>
      <c r="Y73" s="26"/>
      <c r="Z73" s="26"/>
      <c r="AA73" s="26"/>
      <c r="AB73" s="26"/>
      <c r="AC73" s="21"/>
      <c r="AD73" s="26"/>
      <c r="AE73" s="26"/>
      <c r="AF73" s="26"/>
      <c r="AG73" s="26"/>
      <c r="AH73" s="10">
        <v>2000000000</v>
      </c>
    </row>
    <row r="74" spans="1:34" x14ac:dyDescent="0.25">
      <c r="A74" s="5">
        <v>72</v>
      </c>
      <c r="B74" s="36" t="s">
        <v>154</v>
      </c>
      <c r="C74" s="5" t="s">
        <v>155</v>
      </c>
      <c r="D74" s="6">
        <v>38758</v>
      </c>
      <c r="E74" s="7">
        <v>23038028000000</v>
      </c>
      <c r="F74" s="7">
        <v>26650895000000</v>
      </c>
      <c r="G74" s="7">
        <v>25951760000000</v>
      </c>
      <c r="H74" s="17">
        <v>28589656000000</v>
      </c>
      <c r="I74" s="17">
        <v>32690887000000</v>
      </c>
      <c r="J74" s="7">
        <v>2253201000000</v>
      </c>
      <c r="K74" s="7">
        <v>1793914000000</v>
      </c>
      <c r="L74" s="7">
        <v>1221904000000</v>
      </c>
      <c r="M74" s="17">
        <v>2130896000000</v>
      </c>
      <c r="N74" s="8">
        <v>1490931000000</v>
      </c>
      <c r="Y74" s="7">
        <v>1205915000000</v>
      </c>
      <c r="Z74" s="7">
        <v>638281000000</v>
      </c>
      <c r="AA74" s="7">
        <v>258375000000</v>
      </c>
      <c r="AB74" s="21"/>
      <c r="AC74" s="9">
        <v>724969000000</v>
      </c>
      <c r="AD74" s="10">
        <v>11726575201</v>
      </c>
      <c r="AE74" s="10">
        <v>11726575201</v>
      </c>
      <c r="AF74" s="10">
        <v>11726575201</v>
      </c>
      <c r="AG74" s="10">
        <v>11726575201</v>
      </c>
      <c r="AH74" s="8">
        <v>11726575201</v>
      </c>
    </row>
    <row r="75" spans="1:34" x14ac:dyDescent="0.25">
      <c r="A75" s="5">
        <v>73</v>
      </c>
      <c r="B75" s="36" t="s">
        <v>156</v>
      </c>
      <c r="C75" s="5" t="s">
        <v>157</v>
      </c>
      <c r="D75" s="6">
        <v>35426</v>
      </c>
      <c r="E75" s="7">
        <v>4335844455000</v>
      </c>
      <c r="F75" s="7">
        <v>4648577041000</v>
      </c>
      <c r="G75" s="7">
        <v>4674206873000</v>
      </c>
      <c r="H75" s="8">
        <v>5436745210000</v>
      </c>
      <c r="I75" s="17">
        <v>5746998087000</v>
      </c>
      <c r="J75" s="7">
        <v>284246878000</v>
      </c>
      <c r="K75" s="7">
        <v>152425111000</v>
      </c>
      <c r="L75" s="16">
        <v>-38953042000</v>
      </c>
      <c r="M75" s="8">
        <v>60376485000</v>
      </c>
      <c r="N75" s="8">
        <v>26217657000</v>
      </c>
      <c r="Y75" s="7">
        <v>35820000000</v>
      </c>
      <c r="Z75" s="7">
        <v>49252500000</v>
      </c>
      <c r="AA75" s="7">
        <v>131000000</v>
      </c>
      <c r="AB75" s="21"/>
      <c r="AC75" s="9">
        <v>159600000</v>
      </c>
      <c r="AD75" s="10">
        <v>2238750000</v>
      </c>
      <c r="AE75" s="10">
        <v>2238750000</v>
      </c>
      <c r="AF75" s="10">
        <v>2238750000</v>
      </c>
      <c r="AG75" s="10">
        <v>2238750000</v>
      </c>
      <c r="AH75" s="9">
        <v>2238750000</v>
      </c>
    </row>
    <row r="76" spans="1:34" x14ac:dyDescent="0.25">
      <c r="A76" s="5">
        <v>74</v>
      </c>
      <c r="B76" s="5" t="s">
        <v>158</v>
      </c>
      <c r="C76" s="5" t="s">
        <v>159</v>
      </c>
      <c r="D76" s="6">
        <v>35426</v>
      </c>
      <c r="E76" s="7">
        <v>2187879000000</v>
      </c>
      <c r="F76" s="7">
        <v>2470793000000</v>
      </c>
      <c r="G76" s="9">
        <v>2592850000000</v>
      </c>
      <c r="H76" s="8">
        <v>2787550000000</v>
      </c>
      <c r="I76" s="17">
        <v>3002424000000</v>
      </c>
      <c r="J76" s="7">
        <v>25934000000</v>
      </c>
      <c r="K76" s="7">
        <v>79776000000</v>
      </c>
      <c r="L76" s="9">
        <v>28266000000</v>
      </c>
      <c r="M76" s="18">
        <v>-11777000000</v>
      </c>
      <c r="N76" s="18">
        <v>-218103000000</v>
      </c>
      <c r="Y76" s="38"/>
      <c r="Z76" s="38"/>
      <c r="AA76" s="39"/>
      <c r="AB76" s="21"/>
      <c r="AC76" s="21"/>
      <c r="AD76" s="10">
        <v>1339102579</v>
      </c>
      <c r="AE76" s="10">
        <v>1339102579</v>
      </c>
      <c r="AF76" s="9">
        <v>1339102579</v>
      </c>
      <c r="AG76" s="9">
        <v>1339102579</v>
      </c>
      <c r="AH76" s="9">
        <v>1339102579</v>
      </c>
    </row>
    <row r="77" spans="1:34" ht="30" x14ac:dyDescent="0.25">
      <c r="A77" s="5">
        <v>75</v>
      </c>
      <c r="B77" s="5" t="s">
        <v>160</v>
      </c>
      <c r="C77" s="5" t="s">
        <v>161</v>
      </c>
      <c r="D77" s="6">
        <v>43809</v>
      </c>
      <c r="E77" s="26"/>
      <c r="F77" s="7">
        <v>1101538734976</v>
      </c>
      <c r="G77" s="7">
        <v>1074238575525</v>
      </c>
      <c r="H77" s="8">
        <v>1158730182419</v>
      </c>
      <c r="I77" s="17">
        <v>1746807361866</v>
      </c>
      <c r="J77" s="26"/>
      <c r="K77" s="7">
        <v>59266142810</v>
      </c>
      <c r="L77" s="7">
        <v>73585850462</v>
      </c>
      <c r="M77" s="8">
        <v>82349452240</v>
      </c>
      <c r="N77" s="8">
        <v>97118215205</v>
      </c>
      <c r="Y77" s="26"/>
      <c r="Z77" s="21"/>
      <c r="AA77" s="7">
        <v>47060000000</v>
      </c>
      <c r="AB77" s="21"/>
      <c r="AC77" s="9">
        <v>37648000000</v>
      </c>
      <c r="AD77" s="26"/>
      <c r="AE77" s="10">
        <v>9412000000</v>
      </c>
      <c r="AF77" s="10">
        <v>9412000000</v>
      </c>
      <c r="AG77" s="9">
        <v>9412000000</v>
      </c>
      <c r="AH77" s="9">
        <v>9412000000</v>
      </c>
    </row>
    <row r="78" spans="1:34" x14ac:dyDescent="0.25">
      <c r="A78" s="5">
        <v>76</v>
      </c>
      <c r="B78" s="5" t="s">
        <v>162</v>
      </c>
      <c r="C78" s="5" t="s">
        <v>163</v>
      </c>
      <c r="D78" s="6">
        <v>43695</v>
      </c>
      <c r="E78" s="26"/>
      <c r="F78" s="7">
        <v>178542229812</v>
      </c>
      <c r="G78" s="7">
        <v>153676923198</v>
      </c>
      <c r="H78" s="8">
        <v>174987775320</v>
      </c>
      <c r="I78" s="17">
        <v>212080420622</v>
      </c>
      <c r="J78" s="26"/>
      <c r="K78" s="7">
        <v>565070606</v>
      </c>
      <c r="L78" s="7">
        <v>2095172053</v>
      </c>
      <c r="M78" s="8">
        <v>8444661323</v>
      </c>
      <c r="N78" s="8">
        <v>10654021317</v>
      </c>
      <c r="Y78" s="26"/>
      <c r="Z78" s="21"/>
      <c r="AA78" s="21"/>
      <c r="AB78" s="21"/>
      <c r="AC78" s="21"/>
      <c r="AD78" s="26"/>
      <c r="AE78" s="10">
        <v>450000000</v>
      </c>
      <c r="AF78" s="10">
        <v>464788259</v>
      </c>
      <c r="AG78" s="9">
        <v>468300850</v>
      </c>
      <c r="AH78" s="8">
        <v>481000000</v>
      </c>
    </row>
    <row r="79" spans="1:34" x14ac:dyDescent="0.25">
      <c r="A79" s="5">
        <v>77</v>
      </c>
      <c r="B79" s="5" t="s">
        <v>164</v>
      </c>
      <c r="C79" s="5" t="s">
        <v>165</v>
      </c>
      <c r="D79" s="6">
        <v>34414</v>
      </c>
      <c r="E79" s="14">
        <v>101190118</v>
      </c>
      <c r="F79" s="13">
        <v>105039965</v>
      </c>
      <c r="G79" s="13">
        <v>85099322</v>
      </c>
      <c r="H79" s="24">
        <v>89708022</v>
      </c>
      <c r="I79" s="24">
        <v>61550680</v>
      </c>
      <c r="J79" s="9">
        <v>3267396</v>
      </c>
      <c r="K79" s="16">
        <v>-9255126</v>
      </c>
      <c r="L79" s="16">
        <v>-21055729</v>
      </c>
      <c r="M79" s="24">
        <v>3619098</v>
      </c>
      <c r="N79" s="24">
        <v>37887425</v>
      </c>
      <c r="Y79" s="39"/>
      <c r="Z79" s="38"/>
      <c r="AA79" s="38"/>
      <c r="AB79" s="21"/>
      <c r="AC79" s="21"/>
      <c r="AD79" s="9">
        <v>3986916802</v>
      </c>
      <c r="AE79" s="9">
        <v>3986916802</v>
      </c>
      <c r="AF79" s="9">
        <v>3986916802</v>
      </c>
      <c r="AG79" s="9">
        <v>3986916802</v>
      </c>
      <c r="AH79" s="8">
        <v>4076916802</v>
      </c>
    </row>
    <row r="80" spans="1:34" x14ac:dyDescent="0.25">
      <c r="A80" s="5">
        <v>78</v>
      </c>
      <c r="B80" s="5" t="s">
        <v>166</v>
      </c>
      <c r="C80" s="5" t="s">
        <v>167</v>
      </c>
      <c r="D80" s="6">
        <v>36507</v>
      </c>
      <c r="E80" s="7">
        <v>923366433799</v>
      </c>
      <c r="F80" s="7">
        <v>895683018081</v>
      </c>
      <c r="G80" s="7">
        <v>394725543723</v>
      </c>
      <c r="H80" s="8">
        <v>282668964144</v>
      </c>
      <c r="I80" s="8">
        <v>252098033300</v>
      </c>
      <c r="J80" s="16">
        <v>-36477174515</v>
      </c>
      <c r="K80" s="16">
        <v>-51742898055</v>
      </c>
      <c r="L80" s="16">
        <v>-414398439415</v>
      </c>
      <c r="M80" s="18">
        <v>-126517856201</v>
      </c>
      <c r="N80" s="18">
        <v>-86345480189</v>
      </c>
      <c r="Y80" s="38"/>
      <c r="Z80" s="38"/>
      <c r="AA80" s="38"/>
      <c r="AB80" s="21"/>
      <c r="AC80" s="21"/>
      <c r="AD80" s="9">
        <v>1011774750</v>
      </c>
      <c r="AE80" s="9">
        <v>1011774750</v>
      </c>
      <c r="AF80" s="9">
        <v>1011774750</v>
      </c>
      <c r="AG80" s="9">
        <v>1011774750</v>
      </c>
      <c r="AH80" s="8">
        <v>1011774750</v>
      </c>
    </row>
    <row r="81" spans="1:34" x14ac:dyDescent="0.25">
      <c r="A81" s="5">
        <v>79</v>
      </c>
      <c r="B81" s="5" t="s">
        <v>168</v>
      </c>
      <c r="C81" s="5" t="s">
        <v>169</v>
      </c>
      <c r="D81" s="6">
        <v>40736</v>
      </c>
      <c r="E81" s="7">
        <v>526129315163</v>
      </c>
      <c r="F81" s="7">
        <v>925114449507</v>
      </c>
      <c r="G81" s="7">
        <v>953551967212</v>
      </c>
      <c r="H81" s="8">
        <v>1210809442028</v>
      </c>
      <c r="I81" s="8">
        <v>1568806950187</v>
      </c>
      <c r="J81" s="7">
        <v>42506275523</v>
      </c>
      <c r="K81" s="7">
        <v>78421735355</v>
      </c>
      <c r="L81" s="7">
        <v>65331041553</v>
      </c>
      <c r="M81" s="8">
        <v>100771009640</v>
      </c>
      <c r="N81" s="35">
        <v>65764485236</v>
      </c>
      <c r="Y81" s="7">
        <v>880000000</v>
      </c>
      <c r="Z81" s="7">
        <v>1210000000</v>
      </c>
      <c r="AA81" s="7">
        <v>1204787320</v>
      </c>
      <c r="AB81" s="8">
        <v>1626420150</v>
      </c>
      <c r="AC81" s="8">
        <v>2081817792</v>
      </c>
      <c r="AD81" s="9">
        <v>550000000</v>
      </c>
      <c r="AE81" s="9">
        <v>1100000000</v>
      </c>
      <c r="AF81" s="9">
        <v>1100000000</v>
      </c>
      <c r="AG81" s="9">
        <v>1316856020</v>
      </c>
      <c r="AH81" s="8">
        <v>1316856309</v>
      </c>
    </row>
    <row r="82" spans="1:34" x14ac:dyDescent="0.25">
      <c r="A82" s="5">
        <v>80</v>
      </c>
      <c r="B82" s="5" t="s">
        <v>170</v>
      </c>
      <c r="C82" s="5" t="s">
        <v>171</v>
      </c>
      <c r="D82" s="6">
        <v>34669</v>
      </c>
      <c r="E82" s="7">
        <v>10965118708784</v>
      </c>
      <c r="F82" s="7">
        <v>10751992944302</v>
      </c>
      <c r="G82" s="9">
        <v>11513044288721</v>
      </c>
      <c r="H82" s="8">
        <v>13302224000000</v>
      </c>
      <c r="I82" s="8">
        <v>12877846000000</v>
      </c>
      <c r="J82" s="7">
        <v>1405367771073</v>
      </c>
      <c r="K82" s="7">
        <v>968833390696</v>
      </c>
      <c r="L82" s="9">
        <v>353299343980</v>
      </c>
      <c r="M82" s="8">
        <v>617427000000</v>
      </c>
      <c r="N82" s="8">
        <v>119926000000</v>
      </c>
      <c r="Y82" s="7">
        <v>401417983494</v>
      </c>
      <c r="Z82" s="7">
        <v>569914421010</v>
      </c>
      <c r="AA82" s="9">
        <v>455931536808</v>
      </c>
      <c r="AB82" s="9">
        <v>173452000000</v>
      </c>
      <c r="AC82" s="9">
        <v>294869000000</v>
      </c>
      <c r="AD82" s="9">
        <v>2477888787</v>
      </c>
      <c r="AE82" s="9">
        <v>2477888787</v>
      </c>
      <c r="AF82" s="9">
        <v>2477888787</v>
      </c>
      <c r="AG82" s="9">
        <v>2477888787</v>
      </c>
      <c r="AH82" s="9">
        <v>2477888787</v>
      </c>
    </row>
    <row r="83" spans="1:34" x14ac:dyDescent="0.25">
      <c r="A83" s="5">
        <v>81</v>
      </c>
      <c r="B83" s="5" t="s">
        <v>172</v>
      </c>
      <c r="C83" s="5" t="s">
        <v>173</v>
      </c>
      <c r="D83" s="6">
        <v>33070</v>
      </c>
      <c r="E83" s="13">
        <v>8751013000</v>
      </c>
      <c r="F83" s="13">
        <v>8502050000</v>
      </c>
      <c r="G83" s="14">
        <v>8496277000</v>
      </c>
      <c r="H83" s="40">
        <v>13302224</v>
      </c>
      <c r="I83" s="40">
        <v>9640721000</v>
      </c>
      <c r="J83" s="7">
        <v>274390000</v>
      </c>
      <c r="K83" s="14">
        <v>294041000</v>
      </c>
      <c r="L83" s="9">
        <v>593101000</v>
      </c>
      <c r="M83" s="40">
        <v>527039000</v>
      </c>
      <c r="N83" s="40">
        <v>857462000</v>
      </c>
      <c r="Y83" s="7">
        <v>39216000</v>
      </c>
      <c r="Z83" s="7">
        <v>38033000</v>
      </c>
      <c r="AA83" s="9">
        <v>18691000</v>
      </c>
      <c r="AB83" s="13">
        <v>18691000</v>
      </c>
      <c r="AC83" s="13">
        <v>18877000</v>
      </c>
      <c r="AD83" s="9">
        <v>5470982941</v>
      </c>
      <c r="AE83" s="9">
        <v>5470982941</v>
      </c>
      <c r="AF83" s="9">
        <v>5470982941</v>
      </c>
      <c r="AG83" s="9">
        <v>5470982941</v>
      </c>
      <c r="AH83" s="9">
        <v>5470982941</v>
      </c>
    </row>
    <row r="84" spans="1:34" x14ac:dyDescent="0.25">
      <c r="A84" s="5">
        <v>82</v>
      </c>
      <c r="B84" s="5" t="s">
        <v>174</v>
      </c>
      <c r="C84" s="5" t="s">
        <v>175</v>
      </c>
      <c r="D84" s="6">
        <v>33042</v>
      </c>
      <c r="E84" s="13">
        <v>411225000</v>
      </c>
      <c r="F84" s="13">
        <v>433447000</v>
      </c>
      <c r="G84" s="13">
        <v>429841000</v>
      </c>
      <c r="H84" s="24">
        <v>474684000</v>
      </c>
      <c r="I84" s="24">
        <v>467802000</v>
      </c>
      <c r="J84" s="16">
        <v>-629000</v>
      </c>
      <c r="K84" s="16">
        <v>-19460000</v>
      </c>
      <c r="L84" s="13">
        <v>3749000</v>
      </c>
      <c r="M84" s="24">
        <v>618000</v>
      </c>
      <c r="N84" s="24">
        <v>-20489000</v>
      </c>
      <c r="Y84" s="38"/>
      <c r="Z84" s="38"/>
      <c r="AA84" s="38"/>
      <c r="AB84" s="21"/>
      <c r="AC84" s="21"/>
      <c r="AD84" s="9">
        <v>1388883283</v>
      </c>
      <c r="AE84" s="9">
        <v>1388883283</v>
      </c>
      <c r="AF84" s="9">
        <v>1388883283</v>
      </c>
      <c r="AG84" s="9">
        <v>1388883283</v>
      </c>
      <c r="AH84" s="9">
        <v>1388883283</v>
      </c>
    </row>
    <row r="85" spans="1:34" x14ac:dyDescent="0.25">
      <c r="A85" s="5">
        <v>83</v>
      </c>
      <c r="B85" s="5" t="s">
        <v>176</v>
      </c>
      <c r="C85" s="5" t="s">
        <v>177</v>
      </c>
      <c r="D85" s="6">
        <v>39640</v>
      </c>
      <c r="E85" s="7">
        <v>1058927511760</v>
      </c>
      <c r="F85" s="29"/>
      <c r="G85" s="29"/>
      <c r="H85" s="29"/>
      <c r="I85" s="29"/>
      <c r="J85" s="7">
        <v>-124767897543</v>
      </c>
      <c r="K85" s="29"/>
      <c r="L85" s="29"/>
      <c r="M85" s="29"/>
      <c r="N85" s="29"/>
      <c r="Y85" s="38"/>
      <c r="Z85" s="29"/>
      <c r="AA85" s="29"/>
      <c r="AB85" s="29"/>
      <c r="AC85" s="27"/>
      <c r="AD85" s="9">
        <v>8687995734</v>
      </c>
      <c r="AE85" s="41"/>
      <c r="AF85" s="41"/>
      <c r="AG85" s="30"/>
      <c r="AH85" s="27"/>
    </row>
    <row r="86" spans="1:34" x14ac:dyDescent="0.25">
      <c r="A86" s="5">
        <v>84</v>
      </c>
      <c r="B86" s="5" t="s">
        <v>178</v>
      </c>
      <c r="C86" s="5" t="s">
        <v>179</v>
      </c>
      <c r="D86" s="6">
        <v>35275</v>
      </c>
      <c r="E86" s="7">
        <v>1391416464512</v>
      </c>
      <c r="F86" s="7">
        <v>1253650408375</v>
      </c>
      <c r="G86" s="7">
        <v>1245707236962</v>
      </c>
      <c r="H86" s="7">
        <v>1353868759222</v>
      </c>
      <c r="I86" s="7">
        <v>1289211450108</v>
      </c>
      <c r="J86" s="7">
        <v>76761902211</v>
      </c>
      <c r="K86" s="7">
        <v>64090903507</v>
      </c>
      <c r="L86" s="7">
        <v>60178290460</v>
      </c>
      <c r="M86" s="7">
        <v>69347927958</v>
      </c>
      <c r="N86" s="7">
        <v>76150458446</v>
      </c>
      <c r="Y86" s="38"/>
      <c r="Z86" s="38"/>
      <c r="AA86" s="38"/>
      <c r="AB86" s="9">
        <v>10125000000</v>
      </c>
      <c r="AC86" s="9">
        <v>40500000000</v>
      </c>
      <c r="AD86" s="10">
        <v>405000000</v>
      </c>
      <c r="AE86" s="10">
        <v>405000000</v>
      </c>
      <c r="AF86" s="10">
        <v>405000000</v>
      </c>
      <c r="AG86" s="10">
        <v>405000000</v>
      </c>
      <c r="AH86" s="10">
        <v>405000000</v>
      </c>
    </row>
    <row r="87" spans="1:34" x14ac:dyDescent="0.25">
      <c r="A87" s="5">
        <v>85</v>
      </c>
      <c r="B87" s="5" t="s">
        <v>180</v>
      </c>
      <c r="C87" s="5" t="s">
        <v>181</v>
      </c>
      <c r="D87" s="6">
        <v>34654</v>
      </c>
      <c r="E87" s="7">
        <v>2282845632924</v>
      </c>
      <c r="F87" s="7">
        <v>2372130750775</v>
      </c>
      <c r="G87" s="7">
        <v>2316065006133</v>
      </c>
      <c r="H87" s="8">
        <v>2746153295147</v>
      </c>
      <c r="I87" s="8">
        <v>3239231499990</v>
      </c>
      <c r="J87" s="7">
        <v>82232722269</v>
      </c>
      <c r="K87" s="7">
        <v>131005670940</v>
      </c>
      <c r="L87" s="7">
        <v>162524650713</v>
      </c>
      <c r="M87" s="8">
        <v>294325560054</v>
      </c>
      <c r="N87" s="8">
        <v>336138349494</v>
      </c>
      <c r="Y87" s="38"/>
      <c r="Z87" s="38"/>
      <c r="AA87" s="38"/>
      <c r="AB87" s="9">
        <v>31718564370</v>
      </c>
      <c r="AC87" s="21"/>
      <c r="AD87" s="10">
        <v>2114570958</v>
      </c>
      <c r="AE87" s="10">
        <v>2114570958</v>
      </c>
      <c r="AF87" s="10">
        <v>2114570958</v>
      </c>
      <c r="AG87" s="10">
        <v>2791233198</v>
      </c>
      <c r="AH87" s="8">
        <v>3154092216</v>
      </c>
    </row>
    <row r="88" spans="1:34" x14ac:dyDescent="0.25">
      <c r="A88" s="5">
        <v>86</v>
      </c>
      <c r="B88" s="5" t="s">
        <v>182</v>
      </c>
      <c r="C88" s="5" t="s">
        <v>183</v>
      </c>
      <c r="D88" s="6">
        <v>43259</v>
      </c>
      <c r="E88" s="7">
        <v>550572793185</v>
      </c>
      <c r="F88" s="7">
        <v>605688084522</v>
      </c>
      <c r="G88" s="7">
        <v>640935546558</v>
      </c>
      <c r="H88" s="7">
        <v>684897530877</v>
      </c>
      <c r="I88" s="7">
        <v>658095214477</v>
      </c>
      <c r="J88" s="7">
        <v>2458835754</v>
      </c>
      <c r="K88" s="7">
        <v>3102078183</v>
      </c>
      <c r="L88" s="7">
        <v>2145671792</v>
      </c>
      <c r="M88" s="16">
        <v>-70292205107</v>
      </c>
      <c r="N88" s="16">
        <v>-58055548884</v>
      </c>
      <c r="Y88" s="38"/>
      <c r="Z88" s="38"/>
      <c r="AA88" s="38"/>
      <c r="AB88" s="38"/>
      <c r="AC88" s="38"/>
      <c r="AD88" s="10">
        <v>3019200000</v>
      </c>
      <c r="AE88" s="10">
        <v>3019200000</v>
      </c>
      <c r="AF88" s="10">
        <v>3019200000</v>
      </c>
      <c r="AG88" s="10">
        <v>3019200000</v>
      </c>
      <c r="AH88" s="10">
        <v>3019200000</v>
      </c>
    </row>
    <row r="89" spans="1:34" x14ac:dyDescent="0.25">
      <c r="A89" s="5">
        <v>87</v>
      </c>
      <c r="B89" s="5" t="s">
        <v>184</v>
      </c>
      <c r="C89" s="5" t="s">
        <v>185</v>
      </c>
      <c r="D89" s="6">
        <v>32966</v>
      </c>
      <c r="E89" s="7">
        <v>2965136000</v>
      </c>
      <c r="F89" s="13">
        <v>3062331000</v>
      </c>
      <c r="G89" s="14">
        <v>3073164000</v>
      </c>
      <c r="H89" s="40">
        <v>3161834000</v>
      </c>
      <c r="I89" s="40">
        <v>3545180000</v>
      </c>
      <c r="J89" s="7">
        <v>245709000</v>
      </c>
      <c r="K89" s="13">
        <v>166516000</v>
      </c>
      <c r="L89" s="14">
        <v>148334000</v>
      </c>
      <c r="M89" s="40">
        <v>248362000</v>
      </c>
      <c r="N89" s="8">
        <v>463345000</v>
      </c>
      <c r="Y89" s="7">
        <v>6695000</v>
      </c>
      <c r="Z89" s="7">
        <v>10821000</v>
      </c>
      <c r="AA89" s="9">
        <v>5318000</v>
      </c>
      <c r="AB89" s="9">
        <v>5371000</v>
      </c>
      <c r="AC89" s="9">
        <v>5351000</v>
      </c>
      <c r="AD89" s="9">
        <v>3113223570</v>
      </c>
      <c r="AE89" s="9">
        <v>3113223570</v>
      </c>
      <c r="AF89" s="9">
        <v>3113223570</v>
      </c>
      <c r="AG89" s="9">
        <v>3113223570</v>
      </c>
      <c r="AH89" s="9">
        <v>3113223570</v>
      </c>
    </row>
    <row r="90" spans="1:34" x14ac:dyDescent="0.25">
      <c r="A90" s="5">
        <v>88</v>
      </c>
      <c r="B90" s="11" t="s">
        <v>186</v>
      </c>
      <c r="C90" s="32" t="s">
        <v>187</v>
      </c>
      <c r="D90" s="6">
        <v>44525</v>
      </c>
      <c r="E90" s="12"/>
      <c r="F90" s="12"/>
      <c r="G90" s="12"/>
      <c r="H90" s="7">
        <v>1694857651727</v>
      </c>
      <c r="I90" s="7">
        <v>1780286958906</v>
      </c>
      <c r="J90" s="12"/>
      <c r="K90" s="12"/>
      <c r="L90" s="12"/>
      <c r="M90" s="7">
        <v>88793766910</v>
      </c>
      <c r="N90" s="7">
        <v>103360172895</v>
      </c>
      <c r="Y90" s="12"/>
      <c r="Z90" s="12"/>
      <c r="AA90" s="12"/>
      <c r="AB90" s="9">
        <v>36724000000</v>
      </c>
      <c r="AC90" s="9">
        <v>49938000000</v>
      </c>
      <c r="AD90" s="12"/>
      <c r="AE90" s="12"/>
      <c r="AF90" s="12"/>
      <c r="AG90" s="9">
        <v>6790000000</v>
      </c>
      <c r="AH90" s="9">
        <v>6790000000</v>
      </c>
    </row>
    <row r="91" spans="1:34" x14ac:dyDescent="0.25">
      <c r="A91" s="5">
        <v>89</v>
      </c>
      <c r="B91" s="5" t="s">
        <v>188</v>
      </c>
      <c r="C91" s="5" t="s">
        <v>189</v>
      </c>
      <c r="D91" s="6">
        <v>32860</v>
      </c>
      <c r="E91" s="9">
        <v>534676677468</v>
      </c>
      <c r="F91" s="7">
        <v>467727877054</v>
      </c>
      <c r="G91" s="7">
        <v>486076522777</v>
      </c>
      <c r="H91" s="8">
        <v>540054244827</v>
      </c>
      <c r="I91" s="8">
        <v>464408648410</v>
      </c>
      <c r="J91" s="9">
        <v>4470170253</v>
      </c>
      <c r="K91" s="16">
        <v>-4223774106</v>
      </c>
      <c r="L91" s="16">
        <v>-6805143468</v>
      </c>
      <c r="M91" s="8">
        <v>742939617</v>
      </c>
      <c r="N91" s="8">
        <v>-1192790627</v>
      </c>
      <c r="Y91" s="39"/>
      <c r="Z91" s="38"/>
      <c r="AA91" s="38"/>
      <c r="AB91" s="21"/>
      <c r="AC91" s="21"/>
      <c r="AD91" s="9">
        <v>1438370465</v>
      </c>
      <c r="AE91" s="9">
        <v>1438370465</v>
      </c>
      <c r="AF91" s="9">
        <v>1438370465</v>
      </c>
      <c r="AG91" s="9">
        <v>1438370465</v>
      </c>
      <c r="AH91" s="9">
        <v>1438370465</v>
      </c>
    </row>
    <row r="92" spans="1:34" x14ac:dyDescent="0.25">
      <c r="A92" s="5">
        <v>90</v>
      </c>
      <c r="B92" s="5" t="s">
        <v>190</v>
      </c>
      <c r="C92" s="5" t="s">
        <v>191</v>
      </c>
      <c r="D92" s="6">
        <v>43656</v>
      </c>
      <c r="E92" s="12"/>
      <c r="F92" s="7">
        <v>691324273000</v>
      </c>
      <c r="G92" s="7">
        <v>796514753000</v>
      </c>
      <c r="H92" s="8">
        <v>890731798000</v>
      </c>
      <c r="I92" s="8">
        <v>999571977000</v>
      </c>
      <c r="J92" s="12"/>
      <c r="K92" s="7">
        <v>22534439000</v>
      </c>
      <c r="L92" s="16">
        <v>-9234526000</v>
      </c>
      <c r="M92" s="8">
        <v>27322803000</v>
      </c>
      <c r="N92" s="8">
        <v>-36392146000</v>
      </c>
      <c r="Y92" s="12"/>
      <c r="Z92" s="21"/>
      <c r="AA92" s="7">
        <v>13561664000</v>
      </c>
      <c r="AB92" s="21"/>
      <c r="AC92" s="8">
        <v>5424666000</v>
      </c>
      <c r="AD92" s="42"/>
      <c r="AE92" s="9">
        <v>1808221900</v>
      </c>
      <c r="AF92" s="9">
        <v>1808221900</v>
      </c>
      <c r="AG92" s="25">
        <v>1808221900</v>
      </c>
      <c r="AH92" s="8">
        <v>1808221900</v>
      </c>
    </row>
    <row r="93" spans="1:34" x14ac:dyDescent="0.25">
      <c r="A93" s="5">
        <v>91</v>
      </c>
      <c r="B93" s="5" t="s">
        <v>192</v>
      </c>
      <c r="C93" s="5" t="s">
        <v>193</v>
      </c>
      <c r="D93" s="6">
        <v>42905</v>
      </c>
      <c r="E93" s="7">
        <v>3548239174625</v>
      </c>
      <c r="F93" s="7">
        <v>4084828309213</v>
      </c>
      <c r="G93" s="7">
        <v>5127760608990</v>
      </c>
      <c r="H93" s="8">
        <v>5575135591236</v>
      </c>
      <c r="I93" s="8">
        <v>4798796482352</v>
      </c>
      <c r="J93" s="7">
        <v>1585148671</v>
      </c>
      <c r="K93" s="7">
        <v>14671516876</v>
      </c>
      <c r="L93" s="7">
        <v>197498349769</v>
      </c>
      <c r="M93" s="8">
        <v>81527139693</v>
      </c>
      <c r="N93" s="8">
        <v>-29659917082</v>
      </c>
      <c r="Y93" s="7">
        <v>132684548160</v>
      </c>
      <c r="Z93" s="38"/>
      <c r="AA93" s="38"/>
      <c r="AB93" s="9">
        <v>98748703876</v>
      </c>
      <c r="AC93" s="9">
        <v>40748217240</v>
      </c>
      <c r="AD93" s="10">
        <v>7682950000</v>
      </c>
      <c r="AE93" s="10">
        <v>8215366379</v>
      </c>
      <c r="AF93" s="10">
        <v>8215366379</v>
      </c>
      <c r="AG93" s="25">
        <v>8215366379</v>
      </c>
      <c r="AH93" s="10">
        <v>8215366379</v>
      </c>
    </row>
    <row r="94" spans="1:34" x14ac:dyDescent="0.25">
      <c r="A94" s="5">
        <v>92</v>
      </c>
      <c r="B94" s="5" t="s">
        <v>194</v>
      </c>
      <c r="C94" s="5" t="s">
        <v>195</v>
      </c>
      <c r="D94" s="6">
        <v>42348</v>
      </c>
      <c r="E94" s="43">
        <v>404722056954</v>
      </c>
      <c r="F94" s="43">
        <v>420680923158</v>
      </c>
      <c r="G94" s="7">
        <v>350375482319</v>
      </c>
      <c r="H94" s="29"/>
      <c r="I94" s="29"/>
      <c r="J94" s="43">
        <v>32352159254</v>
      </c>
      <c r="K94" s="7">
        <v>10231229929</v>
      </c>
      <c r="L94" s="16">
        <v>-57108102152</v>
      </c>
      <c r="M94" s="29"/>
      <c r="N94" s="29"/>
      <c r="Y94" s="43">
        <v>8640000000</v>
      </c>
      <c r="Z94" s="7">
        <v>8640000000</v>
      </c>
      <c r="AA94" s="38"/>
      <c r="AB94" s="29"/>
      <c r="AC94" s="27"/>
      <c r="AD94" s="44">
        <v>1080000000</v>
      </c>
      <c r="AE94" s="9">
        <v>1080000000</v>
      </c>
      <c r="AF94" s="9">
        <v>1080000000</v>
      </c>
      <c r="AG94" s="27"/>
      <c r="AH94" s="27"/>
    </row>
    <row r="95" spans="1:34" x14ac:dyDescent="0.25">
      <c r="A95" s="5">
        <v>93</v>
      </c>
      <c r="B95" s="5" t="s">
        <v>196</v>
      </c>
      <c r="C95" s="5" t="s">
        <v>197</v>
      </c>
      <c r="D95" s="6">
        <v>43656</v>
      </c>
      <c r="E95" s="12"/>
      <c r="F95" s="7">
        <v>468807357015</v>
      </c>
      <c r="G95" s="7">
        <v>451600083080</v>
      </c>
      <c r="H95" s="8">
        <v>463343986900</v>
      </c>
      <c r="I95" s="8">
        <v>480584345100</v>
      </c>
      <c r="J95" s="26"/>
      <c r="K95" s="7">
        <v>2224435972</v>
      </c>
      <c r="L95" s="16">
        <v>-30599621894</v>
      </c>
      <c r="M95" s="8">
        <v>3442039458</v>
      </c>
      <c r="N95" s="8">
        <v>6110063988</v>
      </c>
      <c r="Y95" s="26"/>
      <c r="Z95" s="21"/>
      <c r="AA95" s="21"/>
      <c r="AB95" s="21"/>
      <c r="AC95" s="21"/>
      <c r="AD95" s="26"/>
      <c r="AE95" s="9">
        <v>2000000000</v>
      </c>
      <c r="AF95" s="9">
        <v>2000000000</v>
      </c>
      <c r="AG95" s="9">
        <v>2000000000</v>
      </c>
      <c r="AH95" s="9">
        <v>2000000000</v>
      </c>
    </row>
    <row r="96" spans="1:34" x14ac:dyDescent="0.25">
      <c r="A96" s="5">
        <v>94</v>
      </c>
      <c r="B96" s="5" t="s">
        <v>198</v>
      </c>
      <c r="C96" s="5" t="s">
        <v>199</v>
      </c>
      <c r="D96" s="6">
        <v>43018</v>
      </c>
      <c r="E96" s="13">
        <v>742548016</v>
      </c>
      <c r="F96" s="13">
        <v>756390458</v>
      </c>
      <c r="G96" s="13">
        <v>520855088</v>
      </c>
      <c r="H96" s="24">
        <v>397415973</v>
      </c>
      <c r="I96" s="24">
        <v>390658710</v>
      </c>
      <c r="J96" s="7">
        <v>30544859</v>
      </c>
      <c r="K96" s="16">
        <v>-54013803</v>
      </c>
      <c r="L96" s="16">
        <v>-328760804</v>
      </c>
      <c r="M96" s="18">
        <v>-127351803</v>
      </c>
      <c r="N96" s="24">
        <v>3628331</v>
      </c>
      <c r="Y96" s="7">
        <v>10189270</v>
      </c>
      <c r="Z96" s="7">
        <v>6108972</v>
      </c>
      <c r="AA96" s="38"/>
      <c r="AB96" s="38"/>
      <c r="AC96" s="21"/>
      <c r="AD96" s="10">
        <v>28233511500</v>
      </c>
      <c r="AE96" s="10">
        <v>28233511500</v>
      </c>
      <c r="AF96" s="10">
        <v>28233511500</v>
      </c>
      <c r="AG96" s="10">
        <v>28233511500</v>
      </c>
      <c r="AH96" s="10">
        <v>28233511500</v>
      </c>
    </row>
    <row r="97" spans="1:34" ht="16.5" x14ac:dyDescent="0.3">
      <c r="A97" s="5">
        <v>95</v>
      </c>
      <c r="B97" s="5" t="s">
        <v>200</v>
      </c>
      <c r="C97" s="45" t="s">
        <v>201</v>
      </c>
      <c r="D97" s="6">
        <v>44445</v>
      </c>
      <c r="E97" s="26"/>
      <c r="F97" s="26"/>
      <c r="G97" s="26"/>
      <c r="H97" s="9">
        <v>63233820863</v>
      </c>
      <c r="I97" s="9">
        <v>61117189903</v>
      </c>
      <c r="J97" s="26"/>
      <c r="K97" s="26"/>
      <c r="L97" s="26"/>
      <c r="M97" s="22">
        <v>-3809870417</v>
      </c>
      <c r="N97" s="9">
        <v>90315762</v>
      </c>
      <c r="Y97" s="26"/>
      <c r="Z97" s="26"/>
      <c r="AA97" s="26"/>
      <c r="AB97" s="10">
        <v>14000000000</v>
      </c>
      <c r="AC97" s="38"/>
      <c r="AD97" s="26"/>
      <c r="AE97" s="26"/>
      <c r="AF97" s="26"/>
      <c r="AG97" s="9">
        <v>666666600</v>
      </c>
      <c r="AH97" s="9">
        <v>666741103</v>
      </c>
    </row>
    <row r="98" spans="1:34" x14ac:dyDescent="0.25">
      <c r="A98" s="5">
        <v>96</v>
      </c>
      <c r="B98" s="5" t="s">
        <v>202</v>
      </c>
      <c r="C98" s="5" t="s">
        <v>203</v>
      </c>
      <c r="D98" s="6">
        <v>43259</v>
      </c>
      <c r="E98" s="7">
        <v>753736481783</v>
      </c>
      <c r="F98" s="7">
        <v>756289935459</v>
      </c>
      <c r="G98" s="29"/>
      <c r="H98" s="29"/>
      <c r="I98" s="29"/>
      <c r="J98" s="7">
        <v>1394824804</v>
      </c>
      <c r="K98" s="16">
        <v>-3149481211</v>
      </c>
      <c r="L98" s="29"/>
      <c r="M98" s="29"/>
      <c r="N98" s="29"/>
      <c r="Y98" s="21"/>
      <c r="Z98" s="21"/>
      <c r="AA98" s="29"/>
      <c r="AB98" s="29"/>
      <c r="AC98" s="27"/>
      <c r="AD98" s="10">
        <v>992362650</v>
      </c>
      <c r="AE98" s="10">
        <v>1069009400</v>
      </c>
      <c r="AF98" s="30"/>
      <c r="AG98" s="30"/>
      <c r="AH98" s="27"/>
    </row>
    <row r="99" spans="1:34" x14ac:dyDescent="0.25">
      <c r="A99" s="5">
        <v>97</v>
      </c>
      <c r="B99" s="5" t="s">
        <v>204</v>
      </c>
      <c r="C99" s="5" t="s">
        <v>205</v>
      </c>
      <c r="D99" s="6">
        <v>41586</v>
      </c>
      <c r="E99" s="7">
        <v>606055631089</v>
      </c>
      <c r="F99" s="29"/>
      <c r="G99" s="29"/>
      <c r="H99" s="29"/>
      <c r="I99" s="29"/>
      <c r="J99" s="16">
        <v>-66731357187</v>
      </c>
      <c r="K99" s="29"/>
      <c r="L99" s="29"/>
      <c r="M99" s="29"/>
      <c r="N99" s="29"/>
      <c r="Y99" s="21"/>
      <c r="Z99" s="29"/>
      <c r="AA99" s="29"/>
      <c r="AB99" s="29"/>
      <c r="AC99" s="27"/>
      <c r="AD99" s="9">
        <v>971190000</v>
      </c>
      <c r="AE99" s="30"/>
      <c r="AF99" s="30"/>
      <c r="AG99" s="30"/>
      <c r="AH99" s="27"/>
    </row>
    <row r="100" spans="1:34" ht="16.5" x14ac:dyDescent="0.3">
      <c r="A100" s="5">
        <v>98</v>
      </c>
      <c r="B100" s="5" t="s">
        <v>206</v>
      </c>
      <c r="C100" s="45" t="s">
        <v>207</v>
      </c>
      <c r="D100" s="6">
        <v>44601</v>
      </c>
      <c r="E100" s="26"/>
      <c r="F100" s="26"/>
      <c r="G100" s="26"/>
      <c r="H100" s="26"/>
      <c r="I100" s="9">
        <v>153065918623</v>
      </c>
      <c r="J100" s="26"/>
      <c r="K100" s="26"/>
      <c r="L100" s="26"/>
      <c r="M100" s="26"/>
      <c r="N100" s="9">
        <v>1700240049</v>
      </c>
      <c r="Y100" s="26"/>
      <c r="Z100" s="26"/>
      <c r="AA100" s="26"/>
      <c r="AB100" s="26"/>
      <c r="AC100" s="9">
        <v>188020604</v>
      </c>
      <c r="AD100" s="26"/>
      <c r="AE100" s="26"/>
      <c r="AF100" s="26"/>
      <c r="AG100" s="26"/>
      <c r="AH100" s="9">
        <v>2700027708</v>
      </c>
    </row>
    <row r="101" spans="1:34" x14ac:dyDescent="0.25">
      <c r="A101" s="5">
        <v>99</v>
      </c>
      <c r="B101" s="5" t="s">
        <v>208</v>
      </c>
      <c r="C101" s="5" t="s">
        <v>209</v>
      </c>
      <c r="D101" s="6">
        <v>32967</v>
      </c>
      <c r="E101" s="7">
        <v>344711000000000</v>
      </c>
      <c r="F101" s="7">
        <v>351958000000000</v>
      </c>
      <c r="G101" s="9">
        <v>338203000000000</v>
      </c>
      <c r="H101" s="8">
        <v>367311000000000</v>
      </c>
      <c r="I101" s="8">
        <v>413297000000000</v>
      </c>
      <c r="J101" s="7">
        <v>27372000000000</v>
      </c>
      <c r="K101" s="7">
        <v>26621000000000</v>
      </c>
      <c r="L101" s="9">
        <v>18571000000000</v>
      </c>
      <c r="M101" s="8">
        <v>25586000000000</v>
      </c>
      <c r="N101" s="8">
        <v>40420000000000</v>
      </c>
      <c r="Y101" s="7">
        <v>10202000000000</v>
      </c>
      <c r="Z101" s="7">
        <v>11235000000000</v>
      </c>
      <c r="AA101" s="9">
        <v>9423000000000</v>
      </c>
      <c r="AB101" s="9">
        <v>7123000000000</v>
      </c>
      <c r="AC101" s="9">
        <v>15302000000000</v>
      </c>
      <c r="AD101" s="9">
        <v>40483553140</v>
      </c>
      <c r="AE101" s="9">
        <v>40483553140</v>
      </c>
      <c r="AF101" s="9">
        <v>40483553140</v>
      </c>
      <c r="AG101" s="9">
        <v>40483553140</v>
      </c>
      <c r="AH101" s="9">
        <v>40483553140</v>
      </c>
    </row>
    <row r="102" spans="1:34" x14ac:dyDescent="0.25">
      <c r="A102" s="5">
        <v>100</v>
      </c>
      <c r="B102" s="5" t="s">
        <v>210</v>
      </c>
      <c r="C102" s="5" t="s">
        <v>211</v>
      </c>
      <c r="D102" s="6">
        <v>35961</v>
      </c>
      <c r="E102" s="7">
        <v>15889648000000</v>
      </c>
      <c r="F102" s="7">
        <v>16015709000000</v>
      </c>
      <c r="G102" s="7">
        <v>15180094000000</v>
      </c>
      <c r="H102" s="8">
        <v>16947148000000</v>
      </c>
      <c r="I102" s="17">
        <v>18521261000000</v>
      </c>
      <c r="J102" s="7">
        <v>680801000000</v>
      </c>
      <c r="K102" s="7">
        <v>816971000000</v>
      </c>
      <c r="L102" s="16">
        <v>-37864000000</v>
      </c>
      <c r="M102" s="8">
        <v>634931000000</v>
      </c>
      <c r="N102" s="17">
        <v>1474280000000</v>
      </c>
      <c r="Y102" s="7">
        <v>265965000000</v>
      </c>
      <c r="Z102" s="7">
        <v>300103000000</v>
      </c>
      <c r="AA102" s="7">
        <v>241359000000</v>
      </c>
      <c r="AB102" s="9">
        <f>82951000000+53017000000</f>
        <v>135968000000</v>
      </c>
      <c r="AC102" s="9">
        <f>220926000000+106034000000</f>
        <v>326960000000</v>
      </c>
      <c r="AD102" s="9">
        <v>4819733000</v>
      </c>
      <c r="AE102" s="9">
        <v>4819733000</v>
      </c>
      <c r="AF102" s="9">
        <v>4819733000</v>
      </c>
      <c r="AG102" s="9">
        <v>4819733000</v>
      </c>
      <c r="AH102" s="9">
        <v>4819733000</v>
      </c>
    </row>
    <row r="103" spans="1:34" x14ac:dyDescent="0.25">
      <c r="A103" s="5">
        <v>101</v>
      </c>
      <c r="B103" s="5" t="s">
        <v>212</v>
      </c>
      <c r="C103" s="5" t="s">
        <v>213</v>
      </c>
      <c r="D103" s="6">
        <v>42192</v>
      </c>
      <c r="E103" s="7">
        <v>1312376999120</v>
      </c>
      <c r="F103" s="7">
        <v>1265912330625</v>
      </c>
      <c r="G103" s="7">
        <v>1119076870425</v>
      </c>
      <c r="H103" s="8">
        <v>1368411097483</v>
      </c>
      <c r="I103" s="8">
        <v>1405279687983</v>
      </c>
      <c r="J103" s="7">
        <v>75738099614</v>
      </c>
      <c r="K103" s="7">
        <v>51492605525</v>
      </c>
      <c r="L103" s="16">
        <v>-57388292245</v>
      </c>
      <c r="M103" s="8">
        <v>82749100903</v>
      </c>
      <c r="N103" s="8">
        <v>57466752275</v>
      </c>
      <c r="Y103" s="7">
        <v>75000000000</v>
      </c>
      <c r="Z103" s="7">
        <v>28125000000</v>
      </c>
      <c r="AA103" s="38"/>
      <c r="AB103" s="21"/>
      <c r="AC103" s="9">
        <v>30937500000</v>
      </c>
      <c r="AD103" s="9">
        <v>2343750000</v>
      </c>
      <c r="AE103" s="9">
        <v>2343750000</v>
      </c>
      <c r="AF103" s="9">
        <v>2343750000</v>
      </c>
      <c r="AG103" s="9">
        <v>2343750000</v>
      </c>
      <c r="AH103" s="9">
        <v>2343750000</v>
      </c>
    </row>
    <row r="104" spans="1:34" x14ac:dyDescent="0.25">
      <c r="A104" s="5">
        <v>102</v>
      </c>
      <c r="B104" s="5" t="s">
        <v>214</v>
      </c>
      <c r="C104" s="5" t="s">
        <v>215</v>
      </c>
      <c r="D104" s="6">
        <v>33121</v>
      </c>
      <c r="E104" s="13">
        <v>296400018</v>
      </c>
      <c r="F104" s="13">
        <v>279484828</v>
      </c>
      <c r="G104" s="14">
        <v>263740526</v>
      </c>
      <c r="H104" s="40">
        <v>289992314</v>
      </c>
      <c r="I104" s="40">
        <v>290896966</v>
      </c>
      <c r="J104" s="13">
        <v>19377050</v>
      </c>
      <c r="K104" s="13">
        <v>14582693</v>
      </c>
      <c r="L104" s="22">
        <v>-4045417</v>
      </c>
      <c r="M104" s="40">
        <v>26438801</v>
      </c>
      <c r="N104" s="40">
        <v>34919701</v>
      </c>
      <c r="Y104" s="7">
        <f>18937583+3308448</f>
        <v>22246031</v>
      </c>
      <c r="Z104" s="7">
        <v>17678347</v>
      </c>
      <c r="AA104" s="9">
        <v>7707082</v>
      </c>
      <c r="AB104" s="13">
        <v>18942505</v>
      </c>
      <c r="AC104" s="13">
        <v>14926122</v>
      </c>
      <c r="AD104" s="9">
        <v>450000000</v>
      </c>
      <c r="AE104" s="9">
        <v>450000000</v>
      </c>
      <c r="AF104" s="9">
        <v>450000000</v>
      </c>
      <c r="AG104" s="9">
        <v>450000000</v>
      </c>
      <c r="AH104" s="9">
        <v>450000000</v>
      </c>
    </row>
    <row r="105" spans="1:34" ht="16.5" x14ac:dyDescent="0.3">
      <c r="A105" s="5">
        <v>103</v>
      </c>
      <c r="B105" s="5" t="s">
        <v>216</v>
      </c>
      <c r="C105" s="45" t="s">
        <v>217</v>
      </c>
      <c r="D105" s="6">
        <v>44550</v>
      </c>
      <c r="E105" s="26"/>
      <c r="F105" s="26"/>
      <c r="G105" s="26"/>
      <c r="H105" s="9">
        <v>2536928133488</v>
      </c>
      <c r="I105" s="9">
        <v>2682993618242</v>
      </c>
      <c r="J105" s="26"/>
      <c r="K105" s="26"/>
      <c r="L105" s="26"/>
      <c r="M105" s="9">
        <v>305382393152</v>
      </c>
      <c r="N105" s="9">
        <v>396869834810</v>
      </c>
      <c r="Y105" s="26"/>
      <c r="Z105" s="26"/>
      <c r="AA105" s="26"/>
      <c r="AB105" s="9">
        <v>50000000000</v>
      </c>
      <c r="AC105" s="9">
        <v>70447058030</v>
      </c>
      <c r="AD105" s="20"/>
      <c r="AE105" s="20"/>
      <c r="AF105" s="46"/>
      <c r="AG105" s="9">
        <v>4705882300</v>
      </c>
      <c r="AH105" s="9">
        <v>4705882300</v>
      </c>
    </row>
    <row r="106" spans="1:34" x14ac:dyDescent="0.25">
      <c r="A106" s="5">
        <v>104</v>
      </c>
      <c r="B106" s="5" t="s">
        <v>218</v>
      </c>
      <c r="C106" s="5" t="s">
        <v>219</v>
      </c>
      <c r="D106" s="6">
        <v>29556</v>
      </c>
      <c r="E106" s="13">
        <v>126016356</v>
      </c>
      <c r="F106" s="13">
        <v>120360141</v>
      </c>
      <c r="G106" s="13">
        <v>116510444</v>
      </c>
      <c r="H106" s="24">
        <v>119934604</v>
      </c>
      <c r="I106" s="24">
        <v>124391220</v>
      </c>
      <c r="J106" s="13">
        <v>505306</v>
      </c>
      <c r="K106" s="16">
        <v>-1196792</v>
      </c>
      <c r="L106" s="16">
        <v>-7111272</v>
      </c>
      <c r="M106" s="24">
        <v>2434023</v>
      </c>
      <c r="N106" s="24">
        <v>-3114914</v>
      </c>
      <c r="Y106" s="38"/>
      <c r="Z106" s="38"/>
      <c r="AA106" s="38"/>
      <c r="AB106" s="21"/>
      <c r="AC106" s="21"/>
      <c r="AD106" s="14">
        <v>410000000</v>
      </c>
      <c r="AE106" s="14">
        <v>410000000</v>
      </c>
      <c r="AF106" s="14">
        <v>410000000</v>
      </c>
      <c r="AG106" s="14">
        <v>410000000</v>
      </c>
      <c r="AH106" s="14">
        <v>410000000</v>
      </c>
    </row>
    <row r="107" spans="1:34" x14ac:dyDescent="0.25">
      <c r="A107" s="5">
        <v>105</v>
      </c>
      <c r="B107" s="5" t="s">
        <v>220</v>
      </c>
      <c r="C107" s="5" t="s">
        <v>221</v>
      </c>
      <c r="D107" s="6">
        <v>33001</v>
      </c>
      <c r="E107" s="7">
        <v>19711478000000</v>
      </c>
      <c r="F107" s="7">
        <v>18856075000000</v>
      </c>
      <c r="G107" s="7">
        <v>17781660000000</v>
      </c>
      <c r="H107" s="8">
        <v>18400697000000</v>
      </c>
      <c r="I107" s="8">
        <v>19016012000000</v>
      </c>
      <c r="J107" s="16">
        <v>-74557000000</v>
      </c>
      <c r="K107" s="7">
        <v>269107000000</v>
      </c>
      <c r="L107" s="7">
        <v>318914000000</v>
      </c>
      <c r="M107" s="8">
        <v>74027000000</v>
      </c>
      <c r="N107" s="8">
        <v>-190572000000</v>
      </c>
      <c r="Y107" s="38"/>
      <c r="Z107" s="38"/>
      <c r="AA107" s="38"/>
      <c r="AB107" s="9">
        <v>34848000000</v>
      </c>
      <c r="AC107" s="21"/>
      <c r="AD107" s="9">
        <v>3484800000</v>
      </c>
      <c r="AE107" s="9">
        <v>3484800000</v>
      </c>
      <c r="AF107" s="9">
        <v>3484800000</v>
      </c>
      <c r="AG107" s="9">
        <v>3484800000</v>
      </c>
      <c r="AH107" s="8">
        <v>3484408600</v>
      </c>
    </row>
    <row r="108" spans="1:34" x14ac:dyDescent="0.25">
      <c r="A108" s="5">
        <v>106</v>
      </c>
      <c r="B108" s="5" t="s">
        <v>222</v>
      </c>
      <c r="C108" s="5" t="s">
        <v>223</v>
      </c>
      <c r="D108" s="6">
        <v>34227</v>
      </c>
      <c r="E108" s="7">
        <v>40955996273862</v>
      </c>
      <c r="F108" s="7">
        <v>44697971458665</v>
      </c>
      <c r="G108" s="9">
        <v>48408700495082</v>
      </c>
      <c r="H108" s="17">
        <v>51023608000000</v>
      </c>
      <c r="I108" s="8">
        <v>57445068000000</v>
      </c>
      <c r="J108" s="7">
        <v>98774620340</v>
      </c>
      <c r="K108" s="7">
        <v>121769771786</v>
      </c>
      <c r="L108" s="22">
        <v>-675710445502</v>
      </c>
      <c r="M108" s="23">
        <v>-255340000000</v>
      </c>
      <c r="N108" s="8">
        <v>562551000000</v>
      </c>
      <c r="Y108" s="7">
        <v>78647403077</v>
      </c>
      <c r="Z108" s="7">
        <v>34773260147</v>
      </c>
      <c r="AA108" s="9">
        <v>35520332061</v>
      </c>
      <c r="AB108" s="9">
        <v>179002000000</v>
      </c>
      <c r="AC108" s="9">
        <v>32931000000</v>
      </c>
      <c r="AD108" s="9">
        <v>2765278412</v>
      </c>
      <c r="AE108" s="9">
        <v>2765278412</v>
      </c>
      <c r="AF108" s="9">
        <v>3994291039</v>
      </c>
      <c r="AG108" s="9">
        <v>3994291039</v>
      </c>
      <c r="AH108" s="9">
        <v>3994291039</v>
      </c>
    </row>
    <row r="109" spans="1:34" x14ac:dyDescent="0.25">
      <c r="A109" s="5">
        <v>107</v>
      </c>
      <c r="B109" s="5" t="s">
        <v>224</v>
      </c>
      <c r="C109" s="5" t="s">
        <v>225</v>
      </c>
      <c r="D109" s="6">
        <v>33095</v>
      </c>
      <c r="E109" s="7">
        <v>2482337567967</v>
      </c>
      <c r="F109" s="7">
        <v>2834422741208</v>
      </c>
      <c r="G109" s="7">
        <v>2826260084696</v>
      </c>
      <c r="H109" s="8">
        <v>3538818568392</v>
      </c>
      <c r="I109" s="8">
        <v>3882465049707</v>
      </c>
      <c r="J109" s="7">
        <v>110686883366</v>
      </c>
      <c r="K109" s="7">
        <v>101465560351</v>
      </c>
      <c r="L109" s="7">
        <v>58751009229</v>
      </c>
      <c r="M109" s="8">
        <v>180680527603</v>
      </c>
      <c r="N109" s="8">
        <v>228542263599</v>
      </c>
      <c r="Y109" s="7">
        <v>65624971000</v>
      </c>
      <c r="Z109" s="7">
        <v>65624971000</v>
      </c>
      <c r="AA109" s="7">
        <v>65624971000</v>
      </c>
      <c r="AB109" s="9">
        <v>55781225350</v>
      </c>
      <c r="AC109" s="9">
        <v>49218728250</v>
      </c>
      <c r="AD109" s="9">
        <v>656249710</v>
      </c>
      <c r="AE109" s="9">
        <v>656249710</v>
      </c>
      <c r="AF109" s="9">
        <v>656249710</v>
      </c>
      <c r="AG109" s="9">
        <v>656249710</v>
      </c>
      <c r="AH109" s="9">
        <v>656249710</v>
      </c>
    </row>
    <row r="110" spans="1:34" x14ac:dyDescent="0.25">
      <c r="A110" s="5">
        <v>108</v>
      </c>
      <c r="B110" s="11" t="s">
        <v>226</v>
      </c>
      <c r="C110" s="11" t="s">
        <v>227</v>
      </c>
      <c r="D110" s="6">
        <v>44904</v>
      </c>
      <c r="E110" s="26"/>
      <c r="F110" s="26"/>
      <c r="G110" s="26"/>
      <c r="H110" s="26"/>
      <c r="I110" s="7">
        <v>196020966862</v>
      </c>
      <c r="J110" s="26"/>
      <c r="K110" s="26"/>
      <c r="L110" s="26"/>
      <c r="M110" s="26"/>
      <c r="N110" s="7">
        <v>1457739530</v>
      </c>
      <c r="Y110" s="20"/>
      <c r="Z110" s="20"/>
      <c r="AA110" s="20"/>
      <c r="AB110" s="20"/>
      <c r="AC110" s="21"/>
      <c r="AD110" s="20"/>
      <c r="AE110" s="20"/>
      <c r="AF110" s="20"/>
      <c r="AG110" s="20"/>
      <c r="AH110" s="8">
        <v>4020000000</v>
      </c>
    </row>
    <row r="111" spans="1:34" x14ac:dyDescent="0.25">
      <c r="A111" s="5">
        <v>109</v>
      </c>
      <c r="B111" s="5" t="s">
        <v>228</v>
      </c>
      <c r="C111" s="5" t="s">
        <v>229</v>
      </c>
      <c r="D111" s="6">
        <v>32909</v>
      </c>
      <c r="E111" s="7">
        <v>301596448818</v>
      </c>
      <c r="F111" s="7">
        <v>324916202729</v>
      </c>
      <c r="G111" s="7">
        <v>337792393010</v>
      </c>
      <c r="H111" s="8">
        <v>310880071852</v>
      </c>
      <c r="I111" s="8">
        <v>337442939231</v>
      </c>
      <c r="J111" s="7">
        <v>32755830588</v>
      </c>
      <c r="K111" s="7">
        <v>29918519921</v>
      </c>
      <c r="L111" s="7">
        <v>6732478855</v>
      </c>
      <c r="M111" s="8">
        <v>23408672795</v>
      </c>
      <c r="N111" s="8">
        <v>26673231906</v>
      </c>
      <c r="Y111" s="38"/>
      <c r="Z111" s="38"/>
      <c r="AA111" s="38"/>
      <c r="AB111" s="9">
        <v>49725000000</v>
      </c>
      <c r="AC111" s="9">
        <v>6375000000</v>
      </c>
      <c r="AD111" s="9">
        <v>106250000</v>
      </c>
      <c r="AE111" s="9">
        <v>425000000</v>
      </c>
      <c r="AF111" s="9">
        <v>425000000</v>
      </c>
      <c r="AG111" s="9">
        <v>425000000</v>
      </c>
      <c r="AH111" s="9">
        <v>425000000</v>
      </c>
    </row>
    <row r="112" spans="1:34" x14ac:dyDescent="0.25">
      <c r="A112" s="5">
        <v>110</v>
      </c>
      <c r="B112" s="5" t="s">
        <v>230</v>
      </c>
      <c r="C112" s="5" t="s">
        <v>231</v>
      </c>
      <c r="D112" s="6">
        <v>38512</v>
      </c>
      <c r="E112" s="13">
        <v>643361511</v>
      </c>
      <c r="F112" s="13">
        <v>451103384</v>
      </c>
      <c r="G112" s="13">
        <v>447155090</v>
      </c>
      <c r="H112" s="24">
        <v>522383562</v>
      </c>
      <c r="I112" s="24">
        <v>462933465</v>
      </c>
      <c r="J112" s="16">
        <v>-17908495</v>
      </c>
      <c r="K112" s="16">
        <v>-11188992</v>
      </c>
      <c r="L112" s="13">
        <v>33160574</v>
      </c>
      <c r="M112" s="24">
        <v>50302117</v>
      </c>
      <c r="N112" s="24">
        <v>52912831</v>
      </c>
      <c r="Y112" s="38"/>
      <c r="Z112" s="38"/>
      <c r="AA112" s="38"/>
      <c r="AB112" s="21"/>
      <c r="AC112" s="21"/>
      <c r="AD112" s="9">
        <v>9182946945</v>
      </c>
      <c r="AE112" s="9">
        <v>9182946945</v>
      </c>
      <c r="AF112" s="9">
        <v>9182946945</v>
      </c>
      <c r="AG112" s="25">
        <v>9182946945</v>
      </c>
      <c r="AH112" s="25">
        <v>9182946945</v>
      </c>
    </row>
    <row r="113" spans="1:34" x14ac:dyDescent="0.25">
      <c r="A113" s="5">
        <v>111</v>
      </c>
      <c r="B113" s="5" t="s">
        <v>232</v>
      </c>
      <c r="C113" s="5" t="s">
        <v>233</v>
      </c>
      <c r="D113" s="6">
        <v>33443</v>
      </c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Y113" s="29"/>
      <c r="Z113" s="47"/>
      <c r="AA113" s="47"/>
      <c r="AB113" s="29"/>
      <c r="AC113" s="27"/>
      <c r="AD113" s="30"/>
      <c r="AE113" s="41"/>
      <c r="AF113" s="41"/>
      <c r="AG113" s="30"/>
      <c r="AH113" s="27"/>
    </row>
    <row r="114" spans="1:34" x14ac:dyDescent="0.25">
      <c r="A114" s="5">
        <v>112</v>
      </c>
      <c r="B114" s="5" t="s">
        <v>234</v>
      </c>
      <c r="C114" s="5" t="s">
        <v>235</v>
      </c>
      <c r="D114" s="6">
        <v>33066</v>
      </c>
      <c r="E114" s="7">
        <v>1635543021515</v>
      </c>
      <c r="F114" s="7">
        <v>1657127269798</v>
      </c>
      <c r="G114" s="7">
        <v>1668922580521</v>
      </c>
      <c r="H114" s="7">
        <v>1637794655748</v>
      </c>
      <c r="I114" s="7">
        <v>1576913211157</v>
      </c>
      <c r="J114" s="7">
        <v>6357160962</v>
      </c>
      <c r="K114" s="16">
        <v>-43624116829</v>
      </c>
      <c r="L114" s="16">
        <v>-4948479351</v>
      </c>
      <c r="M114" s="16">
        <v>-710084072</v>
      </c>
      <c r="N114" s="16">
        <v>-90614186434</v>
      </c>
      <c r="Y114" s="38"/>
      <c r="Z114" s="38"/>
      <c r="AA114" s="38"/>
      <c r="AB114" s="21"/>
      <c r="AC114" s="21"/>
      <c r="AD114" s="9">
        <v>701043478</v>
      </c>
      <c r="AE114" s="9">
        <v>701043478</v>
      </c>
      <c r="AF114" s="9">
        <v>701043478</v>
      </c>
      <c r="AG114" s="9">
        <v>701043478</v>
      </c>
      <c r="AH114" s="9">
        <v>701043478</v>
      </c>
    </row>
    <row r="115" spans="1:34" x14ac:dyDescent="0.25">
      <c r="A115" s="5">
        <v>113</v>
      </c>
      <c r="B115" s="5" t="s">
        <v>236</v>
      </c>
      <c r="C115" s="5" t="s">
        <v>237</v>
      </c>
      <c r="D115" s="6">
        <v>35317</v>
      </c>
      <c r="E115" s="7">
        <v>2801203000000</v>
      </c>
      <c r="F115" s="7">
        <v>3106981000000</v>
      </c>
      <c r="G115" s="7">
        <v>3375526000000</v>
      </c>
      <c r="H115" s="17">
        <v>3868862000000</v>
      </c>
      <c r="I115" s="17">
        <v>4379577000000</v>
      </c>
      <c r="J115" s="7">
        <v>63355000000</v>
      </c>
      <c r="K115" s="7">
        <v>638676000000</v>
      </c>
      <c r="L115" s="7">
        <v>539116000000</v>
      </c>
      <c r="M115" s="17">
        <v>728263000000</v>
      </c>
      <c r="N115" s="17">
        <v>935944000000</v>
      </c>
      <c r="Y115" s="7">
        <v>329205000000</v>
      </c>
      <c r="Z115" s="7">
        <v>365724000000</v>
      </c>
      <c r="AA115" s="7">
        <v>375417000000</v>
      </c>
      <c r="AB115" s="9">
        <v>375417000000</v>
      </c>
      <c r="AC115" s="17">
        <f>115174000000+57586000000+115174000000+115174000000+43517000000</f>
        <v>446625000000</v>
      </c>
      <c r="AD115" s="9">
        <v>5758675440</v>
      </c>
      <c r="AE115" s="9">
        <v>5758675440</v>
      </c>
      <c r="AF115" s="9">
        <v>5758675440</v>
      </c>
      <c r="AG115" s="9">
        <v>5758675440</v>
      </c>
      <c r="AH115" s="9">
        <v>5758675440</v>
      </c>
    </row>
    <row r="116" spans="1:34" x14ac:dyDescent="0.25">
      <c r="A116" s="5">
        <v>114</v>
      </c>
      <c r="B116" s="19" t="s">
        <v>238</v>
      </c>
      <c r="C116" s="19" t="s">
        <v>239</v>
      </c>
      <c r="D116" s="6">
        <v>34262</v>
      </c>
      <c r="E116" s="13">
        <v>280679854</v>
      </c>
      <c r="F116" s="13">
        <v>255228195</v>
      </c>
      <c r="G116" s="13">
        <v>205764168</v>
      </c>
      <c r="H116" s="13">
        <v>203791105</v>
      </c>
      <c r="I116" s="13">
        <v>172000176</v>
      </c>
      <c r="J116" s="16">
        <v>-1304581</v>
      </c>
      <c r="K116" s="16">
        <v>-29590834</v>
      </c>
      <c r="L116" s="16">
        <v>-38676045</v>
      </c>
      <c r="M116" s="13">
        <v>355873</v>
      </c>
      <c r="N116" s="16">
        <v>-26746256</v>
      </c>
      <c r="Y116" s="38"/>
      <c r="Z116" s="38"/>
      <c r="AA116" s="38"/>
      <c r="AB116" s="38"/>
      <c r="AC116" s="38"/>
      <c r="AD116" s="9">
        <v>3889179559</v>
      </c>
      <c r="AE116" s="9">
        <v>3889179559</v>
      </c>
      <c r="AF116" s="9">
        <v>3889179559</v>
      </c>
      <c r="AG116" s="9">
        <v>3889179559</v>
      </c>
      <c r="AH116" s="9">
        <v>3889179559</v>
      </c>
    </row>
    <row r="117" spans="1:34" x14ac:dyDescent="0.25">
      <c r="A117" s="5">
        <v>115</v>
      </c>
      <c r="B117" s="5" t="s">
        <v>240</v>
      </c>
      <c r="C117" s="5" t="s">
        <v>241</v>
      </c>
      <c r="D117" s="6">
        <v>33245</v>
      </c>
      <c r="E117" s="13">
        <v>88323888</v>
      </c>
      <c r="F117" s="13">
        <v>85032904</v>
      </c>
      <c r="G117" s="13">
        <v>80185206</v>
      </c>
      <c r="H117" s="17">
        <v>1122379949306</v>
      </c>
      <c r="I117" s="17">
        <v>1129483925972</v>
      </c>
      <c r="J117" s="16">
        <v>-8186633</v>
      </c>
      <c r="K117" s="16">
        <v>-7277027</v>
      </c>
      <c r="L117" s="16">
        <v>-5110016</v>
      </c>
      <c r="M117" s="18">
        <v>-32071101375</v>
      </c>
      <c r="N117" s="18">
        <v>-97329335486</v>
      </c>
      <c r="Y117" s="38"/>
      <c r="Z117" s="38"/>
      <c r="AA117" s="38"/>
      <c r="AB117" s="21"/>
      <c r="AC117" s="21"/>
      <c r="AD117" s="9">
        <v>335557450</v>
      </c>
      <c r="AE117" s="9">
        <v>335557450</v>
      </c>
      <c r="AF117" s="9">
        <v>335557450</v>
      </c>
      <c r="AG117" s="9">
        <v>335557450</v>
      </c>
      <c r="AH117" s="9">
        <v>335557450</v>
      </c>
    </row>
    <row r="118" spans="1:34" x14ac:dyDescent="0.25">
      <c r="A118" s="5">
        <v>116</v>
      </c>
      <c r="B118" s="5" t="s">
        <v>242</v>
      </c>
      <c r="C118" s="5" t="s">
        <v>243</v>
      </c>
      <c r="D118" s="6">
        <v>43017</v>
      </c>
      <c r="E118" s="7">
        <v>514962171773</v>
      </c>
      <c r="F118" s="7">
        <v>590884444113</v>
      </c>
      <c r="G118" s="7">
        <v>554235931111</v>
      </c>
      <c r="H118" s="17">
        <v>524473606697</v>
      </c>
      <c r="I118" s="17">
        <v>525780962665</v>
      </c>
      <c r="J118" s="7">
        <v>24022782725</v>
      </c>
      <c r="K118" s="16">
        <v>23213651840</v>
      </c>
      <c r="L118" s="16">
        <v>-16558668514</v>
      </c>
      <c r="M118" s="17">
        <v>4172725902</v>
      </c>
      <c r="N118" s="17">
        <v>4462174046</v>
      </c>
      <c r="Y118" s="7">
        <v>4350000000</v>
      </c>
      <c r="Z118" s="7">
        <v>5075000000</v>
      </c>
      <c r="AA118" s="7">
        <v>782636476</v>
      </c>
      <c r="AB118" s="9">
        <v>507500000</v>
      </c>
      <c r="AC118" s="9">
        <f>2030000000+545000000</f>
        <v>2575000000</v>
      </c>
      <c r="AD118" s="10">
        <v>1450000000</v>
      </c>
      <c r="AE118" s="10">
        <v>1450000000</v>
      </c>
      <c r="AF118" s="9">
        <v>7250000000</v>
      </c>
      <c r="AG118" s="9">
        <v>7250000000</v>
      </c>
      <c r="AH118" s="9">
        <v>7250000000</v>
      </c>
    </row>
    <row r="119" spans="1:34" x14ac:dyDescent="0.25">
      <c r="A119" s="5">
        <v>117</v>
      </c>
      <c r="B119" s="5" t="s">
        <v>244</v>
      </c>
      <c r="C119" s="5" t="s">
        <v>245</v>
      </c>
      <c r="D119" s="6">
        <v>28997</v>
      </c>
      <c r="E119" s="14">
        <v>47492460</v>
      </c>
      <c r="F119" s="43"/>
      <c r="G119" s="43"/>
      <c r="H119" s="43"/>
      <c r="I119" s="27"/>
      <c r="J119" s="22">
        <v>-205434</v>
      </c>
      <c r="K119" s="43"/>
      <c r="L119" s="43"/>
      <c r="M119" s="43"/>
      <c r="N119" s="27"/>
      <c r="Y119" s="39"/>
      <c r="Z119" s="38"/>
      <c r="AA119" s="38"/>
      <c r="AB119" s="38"/>
      <c r="AC119" s="27"/>
      <c r="AD119" s="9">
        <v>200000000</v>
      </c>
      <c r="AE119" s="44"/>
      <c r="AF119" s="29"/>
      <c r="AG119" s="30"/>
      <c r="AH119" s="27"/>
    </row>
    <row r="120" spans="1:34" x14ac:dyDescent="0.25">
      <c r="A120" s="5">
        <v>118</v>
      </c>
      <c r="B120" s="5" t="s">
        <v>246</v>
      </c>
      <c r="C120" s="5" t="s">
        <v>247</v>
      </c>
      <c r="D120" s="6">
        <v>33106</v>
      </c>
      <c r="E120" s="13">
        <v>62585854</v>
      </c>
      <c r="F120" s="13">
        <v>71422968</v>
      </c>
      <c r="G120" s="13">
        <v>68564658</v>
      </c>
      <c r="H120" s="24">
        <v>72697937</v>
      </c>
      <c r="I120" s="24">
        <v>78716650</v>
      </c>
      <c r="J120" s="13">
        <v>1059744</v>
      </c>
      <c r="K120" s="13">
        <v>841583</v>
      </c>
      <c r="L120" s="16">
        <v>-970496</v>
      </c>
      <c r="M120" s="24">
        <v>1583643</v>
      </c>
      <c r="N120" s="24">
        <v>3916193</v>
      </c>
      <c r="Y120" s="38"/>
      <c r="Z120" s="38"/>
      <c r="AA120" s="38"/>
      <c r="AB120" s="21"/>
      <c r="AC120" s="14">
        <v>250000</v>
      </c>
      <c r="AD120" s="9">
        <v>1286539792</v>
      </c>
      <c r="AE120" s="9">
        <v>1286539792</v>
      </c>
      <c r="AF120" s="9">
        <v>1286539792</v>
      </c>
      <c r="AG120" s="9">
        <v>1286539792</v>
      </c>
      <c r="AH120" s="8">
        <v>1286539792</v>
      </c>
    </row>
    <row r="121" spans="1:34" x14ac:dyDescent="0.25">
      <c r="A121" s="5">
        <v>119</v>
      </c>
      <c r="B121" s="5" t="s">
        <v>248</v>
      </c>
      <c r="C121" s="5" t="s">
        <v>249</v>
      </c>
      <c r="D121" s="6">
        <v>33890</v>
      </c>
      <c r="E121" s="13">
        <v>62027720</v>
      </c>
      <c r="F121" s="13">
        <v>61112029</v>
      </c>
      <c r="G121" s="14">
        <v>54473395</v>
      </c>
      <c r="H121" s="40">
        <v>51213443</v>
      </c>
      <c r="I121" s="24">
        <v>48194418</v>
      </c>
      <c r="J121" s="13">
        <v>1413112</v>
      </c>
      <c r="K121" s="16">
        <v>-2792947</v>
      </c>
      <c r="L121" s="22">
        <v>-577944</v>
      </c>
      <c r="M121" s="40">
        <v>1612542</v>
      </c>
      <c r="N121" s="24">
        <v>66319</v>
      </c>
      <c r="Y121" s="38"/>
      <c r="Z121" s="38"/>
      <c r="AA121" s="39"/>
      <c r="AB121" s="21"/>
      <c r="AC121" s="14">
        <v>129214</v>
      </c>
      <c r="AD121" s="9">
        <v>2015208720</v>
      </c>
      <c r="AE121" s="9">
        <v>2015208720</v>
      </c>
      <c r="AF121" s="9">
        <v>2015208720</v>
      </c>
      <c r="AG121" s="9">
        <v>2015208720</v>
      </c>
      <c r="AH121" s="9">
        <v>2015208720</v>
      </c>
    </row>
    <row r="122" spans="1:34" x14ac:dyDescent="0.25">
      <c r="A122" s="5">
        <v>120</v>
      </c>
      <c r="B122" s="5" t="s">
        <v>250</v>
      </c>
      <c r="C122" s="5" t="s">
        <v>251</v>
      </c>
      <c r="D122" s="6">
        <v>33030</v>
      </c>
      <c r="E122" s="7">
        <v>586940667000</v>
      </c>
      <c r="F122" s="7">
        <v>423791061000</v>
      </c>
      <c r="G122" s="7">
        <v>384116199000</v>
      </c>
      <c r="H122" s="8">
        <v>346377425000</v>
      </c>
      <c r="I122" s="8">
        <v>265693432000</v>
      </c>
      <c r="J122" s="48">
        <v>-229988885000</v>
      </c>
      <c r="K122" s="16">
        <v>-65673323000</v>
      </c>
      <c r="L122" s="16">
        <v>-47969988000</v>
      </c>
      <c r="M122" s="16">
        <v>-41970335000</v>
      </c>
      <c r="N122" s="16">
        <v>-57362444000</v>
      </c>
      <c r="Y122" s="38"/>
      <c r="Z122" s="38"/>
      <c r="AA122" s="38"/>
      <c r="AB122" s="38"/>
      <c r="AC122" s="38"/>
      <c r="AD122" s="9">
        <v>3601462800</v>
      </c>
      <c r="AE122" s="9">
        <v>3601462800</v>
      </c>
      <c r="AF122" s="9">
        <v>3601462800</v>
      </c>
      <c r="AG122" s="9">
        <v>3601462800</v>
      </c>
      <c r="AH122" s="9">
        <v>3601462800</v>
      </c>
    </row>
    <row r="123" spans="1:34" x14ac:dyDescent="0.25">
      <c r="A123" s="5">
        <v>121</v>
      </c>
      <c r="B123" s="5" t="s">
        <v>252</v>
      </c>
      <c r="C123" s="5" t="s">
        <v>253</v>
      </c>
      <c r="D123" s="6">
        <v>33088</v>
      </c>
      <c r="E123" s="13">
        <v>805918779</v>
      </c>
      <c r="F123" s="13">
        <v>753558270</v>
      </c>
      <c r="G123" s="14">
        <v>763855590</v>
      </c>
      <c r="H123" s="40">
        <v>905497694</v>
      </c>
      <c r="I123" s="40">
        <v>869800216</v>
      </c>
      <c r="J123" s="13">
        <v>62367343</v>
      </c>
      <c r="K123" s="13">
        <v>38111238</v>
      </c>
      <c r="L123" s="14">
        <v>6231992</v>
      </c>
      <c r="M123" s="40">
        <v>84568285</v>
      </c>
      <c r="N123" s="40">
        <v>42534663</v>
      </c>
      <c r="Y123" s="38"/>
      <c r="Z123" s="7">
        <v>15493007</v>
      </c>
      <c r="AA123" s="39"/>
      <c r="AB123" s="39"/>
      <c r="AC123" s="9">
        <v>41462124</v>
      </c>
      <c r="AD123" s="9">
        <v>654351707</v>
      </c>
      <c r="AE123" s="9">
        <v>654351707</v>
      </c>
      <c r="AF123" s="9">
        <v>654351707</v>
      </c>
      <c r="AG123" s="9">
        <v>654351707</v>
      </c>
      <c r="AH123" s="9">
        <v>654351707</v>
      </c>
    </row>
    <row r="124" spans="1:34" x14ac:dyDescent="0.25">
      <c r="A124" s="5">
        <v>122</v>
      </c>
      <c r="B124" s="5" t="s">
        <v>254</v>
      </c>
      <c r="C124" s="5" t="s">
        <v>255</v>
      </c>
      <c r="D124" s="6">
        <v>32791</v>
      </c>
      <c r="E124" s="7">
        <v>3747570000000</v>
      </c>
      <c r="F124" s="7">
        <v>3686259000000</v>
      </c>
      <c r="G124" s="7">
        <v>3884567000000</v>
      </c>
      <c r="H124" s="8">
        <v>3744934000000</v>
      </c>
      <c r="I124" s="8">
        <v>3959904000000</v>
      </c>
      <c r="J124" s="16">
        <v>-170235000000</v>
      </c>
      <c r="K124" s="16">
        <v>-241027000000</v>
      </c>
      <c r="L124" s="16">
        <v>-114827000000</v>
      </c>
      <c r="M124" s="18">
        <v>-139616000000</v>
      </c>
      <c r="N124" s="18">
        <v>-21393000000</v>
      </c>
      <c r="Y124" s="38"/>
      <c r="Z124" s="38"/>
      <c r="AA124" s="38"/>
      <c r="AB124" s="39"/>
      <c r="AC124" s="39"/>
      <c r="AD124" s="9">
        <v>1466666577</v>
      </c>
      <c r="AE124" s="9">
        <v>7747281949</v>
      </c>
      <c r="AF124" s="9">
        <v>7747281949</v>
      </c>
      <c r="AG124" s="9">
        <v>7747281949</v>
      </c>
      <c r="AH124" s="9">
        <v>7747281949</v>
      </c>
    </row>
    <row r="125" spans="1:34" x14ac:dyDescent="0.25">
      <c r="A125" s="5">
        <v>123</v>
      </c>
      <c r="B125" s="5" t="s">
        <v>256</v>
      </c>
      <c r="C125" s="5" t="s">
        <v>257</v>
      </c>
      <c r="D125" s="6">
        <v>33162</v>
      </c>
      <c r="E125" s="13">
        <v>579066122</v>
      </c>
      <c r="F125" s="13">
        <v>658393892</v>
      </c>
      <c r="G125" s="13">
        <v>693123729</v>
      </c>
      <c r="H125" s="24">
        <v>696625283</v>
      </c>
      <c r="I125" s="24">
        <v>724645099</v>
      </c>
      <c r="J125" s="13">
        <v>16260183</v>
      </c>
      <c r="K125" s="13">
        <v>17050942</v>
      </c>
      <c r="L125" s="13">
        <v>19367114</v>
      </c>
      <c r="M125" s="24">
        <v>15403762</v>
      </c>
      <c r="N125" s="24">
        <v>2336379</v>
      </c>
      <c r="Y125" s="7">
        <v>931995</v>
      </c>
      <c r="Z125" s="7">
        <v>2132153</v>
      </c>
      <c r="AA125" s="38"/>
      <c r="AB125" s="13">
        <v>1225325</v>
      </c>
      <c r="AC125" s="39"/>
      <c r="AD125" s="9">
        <v>6478295611</v>
      </c>
      <c r="AE125" s="9">
        <v>6478295611</v>
      </c>
      <c r="AF125" s="9">
        <v>6478295611</v>
      </c>
      <c r="AG125" s="9">
        <v>6478295611</v>
      </c>
      <c r="AH125" s="8">
        <v>6478295611</v>
      </c>
    </row>
    <row r="126" spans="1:34" x14ac:dyDescent="0.25">
      <c r="A126" s="5">
        <v>124</v>
      </c>
      <c r="B126" s="5" t="s">
        <v>258</v>
      </c>
      <c r="C126" s="5" t="s">
        <v>259</v>
      </c>
      <c r="D126" s="6">
        <v>33309</v>
      </c>
      <c r="E126" s="13">
        <v>238246828</v>
      </c>
      <c r="F126" s="13">
        <v>242051545</v>
      </c>
      <c r="G126" s="14">
        <v>231030116</v>
      </c>
      <c r="H126" s="40">
        <v>238206780</v>
      </c>
      <c r="I126" s="40">
        <v>228076478</v>
      </c>
      <c r="J126" s="13">
        <v>1283226</v>
      </c>
      <c r="K126" s="16">
        <v>-11914906</v>
      </c>
      <c r="L126" s="22">
        <v>-20549350</v>
      </c>
      <c r="M126" s="40">
        <v>3424161</v>
      </c>
      <c r="N126" s="40">
        <v>12313779</v>
      </c>
      <c r="Y126" s="38"/>
      <c r="Z126" s="38"/>
      <c r="AA126" s="39"/>
      <c r="AB126" s="39"/>
      <c r="AC126" s="39"/>
      <c r="AD126" s="9">
        <v>2495753347</v>
      </c>
      <c r="AE126" s="9">
        <v>2495753347</v>
      </c>
      <c r="AF126" s="9">
        <v>2495753347</v>
      </c>
      <c r="AG126" s="9">
        <v>2495753347</v>
      </c>
      <c r="AH126" s="9">
        <v>2495753347</v>
      </c>
    </row>
    <row r="127" spans="1:34" x14ac:dyDescent="0.25">
      <c r="A127" s="5">
        <v>125</v>
      </c>
      <c r="B127" s="5" t="s">
        <v>260</v>
      </c>
      <c r="C127" s="5" t="s">
        <v>261</v>
      </c>
      <c r="D127" s="6">
        <v>43642</v>
      </c>
      <c r="E127" s="26"/>
      <c r="F127" s="7">
        <v>343523377441</v>
      </c>
      <c r="G127" s="7">
        <v>281999247242</v>
      </c>
      <c r="H127" s="7">
        <v>203215129901</v>
      </c>
      <c r="I127" s="7">
        <v>209337963370</v>
      </c>
      <c r="J127" s="26"/>
      <c r="K127" s="16">
        <v>8991475073</v>
      </c>
      <c r="L127" s="16">
        <v>-6104429450</v>
      </c>
      <c r="M127" s="16">
        <v>-51502558124</v>
      </c>
      <c r="N127" s="16">
        <v>-6264038341</v>
      </c>
      <c r="Y127" s="26"/>
      <c r="Z127" s="21"/>
      <c r="AA127" s="21"/>
      <c r="AB127" s="21"/>
      <c r="AC127" s="21"/>
      <c r="AD127" s="26"/>
      <c r="AE127" s="10">
        <v>750000000</v>
      </c>
      <c r="AF127" s="10">
        <v>750000000</v>
      </c>
      <c r="AG127" s="10">
        <v>750000000</v>
      </c>
      <c r="AH127" s="10">
        <v>750000000</v>
      </c>
    </row>
    <row r="128" spans="1:34" x14ac:dyDescent="0.25">
      <c r="A128" s="5">
        <v>126</v>
      </c>
      <c r="B128" s="5" t="s">
        <v>262</v>
      </c>
      <c r="C128" s="5" t="s">
        <v>263</v>
      </c>
      <c r="D128" s="6">
        <v>35817</v>
      </c>
      <c r="E128" s="7">
        <v>1539602054832</v>
      </c>
      <c r="F128" s="7">
        <v>1619854736252</v>
      </c>
      <c r="G128" s="7">
        <v>1736897169061</v>
      </c>
      <c r="H128" s="8">
        <v>1694313967553</v>
      </c>
      <c r="I128" s="8">
        <v>1639882069759</v>
      </c>
      <c r="J128" s="7">
        <v>18480376458</v>
      </c>
      <c r="K128" s="7">
        <v>17219044542</v>
      </c>
      <c r="L128" s="16">
        <v>-77578476383</v>
      </c>
      <c r="M128" s="18">
        <v>-66098078641</v>
      </c>
      <c r="N128" s="8">
        <v>-69375798083</v>
      </c>
      <c r="Y128" s="7">
        <v>1925152530</v>
      </c>
      <c r="Z128" s="7">
        <v>1925152530</v>
      </c>
      <c r="AA128" s="38"/>
      <c r="AB128" s="39"/>
      <c r="AC128" s="39"/>
      <c r="AD128" s="9">
        <v>641717510</v>
      </c>
      <c r="AE128" s="9">
        <v>641717510</v>
      </c>
      <c r="AF128" s="9">
        <v>641717510</v>
      </c>
      <c r="AG128" s="25">
        <v>641717510</v>
      </c>
      <c r="AH128" s="25">
        <v>641717510</v>
      </c>
    </row>
    <row r="129" spans="1:34" x14ac:dyDescent="0.25">
      <c r="A129" s="5">
        <v>127</v>
      </c>
      <c r="B129" s="5" t="s">
        <v>264</v>
      </c>
      <c r="C129" s="5" t="s">
        <v>265</v>
      </c>
      <c r="D129" s="6">
        <v>43929</v>
      </c>
      <c r="E129" s="26"/>
      <c r="F129" s="26"/>
      <c r="G129" s="7">
        <v>561334457682</v>
      </c>
      <c r="H129" s="8">
        <v>694230223329</v>
      </c>
      <c r="I129" s="8">
        <v>657657257402</v>
      </c>
      <c r="J129" s="26"/>
      <c r="K129" s="26"/>
      <c r="L129" s="16">
        <v>-5887199392</v>
      </c>
      <c r="M129" s="18">
        <v>-47002475250</v>
      </c>
      <c r="N129" s="8">
        <v>-87623413194</v>
      </c>
      <c r="Y129" s="26"/>
      <c r="Z129" s="26"/>
      <c r="AA129" s="38"/>
      <c r="AB129" s="39"/>
      <c r="AC129" s="39"/>
      <c r="AD129" s="20"/>
      <c r="AE129" s="20"/>
      <c r="AF129" s="9">
        <v>2125166005</v>
      </c>
      <c r="AG129" s="9">
        <v>4752933207</v>
      </c>
      <c r="AH129" s="8">
        <v>4752982378</v>
      </c>
    </row>
    <row r="130" spans="1:34" x14ac:dyDescent="0.25">
      <c r="A130" s="5">
        <v>128</v>
      </c>
      <c r="B130" s="5" t="s">
        <v>266</v>
      </c>
      <c r="C130" s="5" t="s">
        <v>267</v>
      </c>
      <c r="D130" s="6">
        <v>41442</v>
      </c>
      <c r="E130" s="13">
        <v>1364271991</v>
      </c>
      <c r="F130" s="13">
        <v>1559251755</v>
      </c>
      <c r="G130" s="13">
        <v>1851988840</v>
      </c>
      <c r="H130" s="13">
        <v>1234193246</v>
      </c>
      <c r="I130" s="13">
        <v>764552039</v>
      </c>
      <c r="J130" s="7">
        <v>84556033</v>
      </c>
      <c r="K130" s="13">
        <v>87652548</v>
      </c>
      <c r="L130" s="13">
        <v>85325108</v>
      </c>
      <c r="M130" s="16">
        <v>-1074402760</v>
      </c>
      <c r="N130" s="16">
        <v>-395563161</v>
      </c>
      <c r="Y130" s="7">
        <v>12076869</v>
      </c>
      <c r="Z130" s="7">
        <v>4237037</v>
      </c>
      <c r="AA130" s="7">
        <v>1471274</v>
      </c>
      <c r="AB130" s="39"/>
      <c r="AC130" s="39"/>
      <c r="AD130" s="9">
        <v>20452176844</v>
      </c>
      <c r="AE130" s="9">
        <v>20452176844</v>
      </c>
      <c r="AF130" s="9">
        <v>20452176844</v>
      </c>
      <c r="AG130" s="9">
        <v>20452176844</v>
      </c>
      <c r="AH130" s="9">
        <v>20452176844</v>
      </c>
    </row>
    <row r="131" spans="1:34" x14ac:dyDescent="0.25">
      <c r="A131" s="5">
        <v>129</v>
      </c>
      <c r="B131" s="5" t="s">
        <v>268</v>
      </c>
      <c r="C131" s="5" t="s">
        <v>269</v>
      </c>
      <c r="D131" s="6">
        <v>35662</v>
      </c>
      <c r="E131" s="7">
        <v>562174180897</v>
      </c>
      <c r="F131" s="7">
        <v>514765731890</v>
      </c>
      <c r="G131" s="7">
        <v>482065294095</v>
      </c>
      <c r="H131" s="7">
        <v>471128491654</v>
      </c>
      <c r="I131" s="7">
        <v>442106656917</v>
      </c>
      <c r="J131" s="7">
        <v>1112037917</v>
      </c>
      <c r="K131" s="16">
        <v>-16266732177</v>
      </c>
      <c r="L131" s="16">
        <v>-15354377443</v>
      </c>
      <c r="M131" s="7">
        <v>56749821815</v>
      </c>
      <c r="N131" s="7">
        <v>-6044861775</v>
      </c>
      <c r="Y131" s="38"/>
      <c r="Z131" s="38"/>
      <c r="AA131" s="38"/>
      <c r="AB131" s="39"/>
      <c r="AC131" s="39"/>
      <c r="AD131" s="9">
        <v>1170909181</v>
      </c>
      <c r="AE131" s="9">
        <v>1170909181</v>
      </c>
      <c r="AF131" s="9">
        <v>1170909181</v>
      </c>
      <c r="AG131" s="9">
        <v>1170909181</v>
      </c>
      <c r="AH131" s="9">
        <v>1170909181</v>
      </c>
    </row>
    <row r="132" spans="1:34" x14ac:dyDescent="0.25">
      <c r="A132" s="5">
        <v>130</v>
      </c>
      <c r="B132" s="5" t="s">
        <v>270</v>
      </c>
      <c r="C132" s="5" t="s">
        <v>271</v>
      </c>
      <c r="D132" s="6">
        <v>40737</v>
      </c>
      <c r="E132" s="7">
        <v>615956006710</v>
      </c>
      <c r="F132" s="7">
        <v>579813156839</v>
      </c>
      <c r="G132" s="7">
        <v>497557497473</v>
      </c>
      <c r="H132" s="17">
        <v>508447134690</v>
      </c>
      <c r="I132" s="17">
        <v>509387241941</v>
      </c>
      <c r="J132" s="7">
        <v>173591040</v>
      </c>
      <c r="K132" s="7">
        <v>1951111404</v>
      </c>
      <c r="L132" s="7">
        <v>5808171411</v>
      </c>
      <c r="M132" s="17">
        <v>10513086262</v>
      </c>
      <c r="N132" s="17">
        <v>1749860911</v>
      </c>
      <c r="Y132" s="38"/>
      <c r="Z132" s="38"/>
      <c r="AA132" s="38"/>
      <c r="AB132" s="39"/>
      <c r="AC132" s="39"/>
      <c r="AD132" s="9">
        <v>4800000602</v>
      </c>
      <c r="AE132" s="9">
        <v>4800000602</v>
      </c>
      <c r="AF132" s="9">
        <v>4800000602</v>
      </c>
      <c r="AG132" s="9">
        <v>4800000602</v>
      </c>
      <c r="AH132" s="9">
        <v>4800000602</v>
      </c>
    </row>
    <row r="133" spans="1:34" x14ac:dyDescent="0.25">
      <c r="A133" s="5">
        <v>131</v>
      </c>
      <c r="B133" s="5" t="s">
        <v>272</v>
      </c>
      <c r="C133" s="5" t="s">
        <v>273</v>
      </c>
      <c r="D133" s="6">
        <v>29277</v>
      </c>
      <c r="E133" s="13">
        <v>321852867</v>
      </c>
      <c r="F133" s="13">
        <v>313569276</v>
      </c>
      <c r="G133" s="14">
        <v>317722871</v>
      </c>
      <c r="H133" s="40">
        <v>334578949</v>
      </c>
      <c r="I133" s="24">
        <v>334102307</v>
      </c>
      <c r="J133" s="16">
        <v>-494963</v>
      </c>
      <c r="K133" s="16">
        <v>-5258349</v>
      </c>
      <c r="L133" s="22">
        <v>-857539</v>
      </c>
      <c r="M133" s="24">
        <v>13557986</v>
      </c>
      <c r="N133" s="24">
        <v>3415772</v>
      </c>
      <c r="Y133" s="38"/>
      <c r="Z133" s="38"/>
      <c r="AA133" s="39"/>
      <c r="AB133" s="39"/>
      <c r="AC133" s="39"/>
      <c r="AD133" s="9">
        <v>4823076400</v>
      </c>
      <c r="AE133" s="9">
        <v>4823076400</v>
      </c>
      <c r="AF133" s="9">
        <v>4823076400</v>
      </c>
      <c r="AG133" s="9">
        <v>4823076400</v>
      </c>
      <c r="AH133" s="9">
        <v>4823076400</v>
      </c>
    </row>
    <row r="134" spans="1:34" x14ac:dyDescent="0.25">
      <c r="A134" s="5">
        <v>132</v>
      </c>
      <c r="B134" s="5" t="s">
        <v>274</v>
      </c>
      <c r="C134" s="5" t="s">
        <v>275</v>
      </c>
      <c r="D134" s="6">
        <v>41088</v>
      </c>
      <c r="E134" s="7">
        <v>633014281325</v>
      </c>
      <c r="F134" s="7">
        <v>1147246311331</v>
      </c>
      <c r="G134" s="7">
        <v>1068940700530</v>
      </c>
      <c r="H134" s="17">
        <v>1060742742644</v>
      </c>
      <c r="I134" s="17">
        <v>1177807599498</v>
      </c>
      <c r="J134" s="7">
        <v>19665074694</v>
      </c>
      <c r="K134" s="7">
        <v>41484677098</v>
      </c>
      <c r="L134" s="16">
        <v>-3987303838</v>
      </c>
      <c r="M134" s="17">
        <v>18024581177</v>
      </c>
      <c r="N134" s="17">
        <v>64521509302</v>
      </c>
      <c r="Y134" s="7">
        <v>5234640010</v>
      </c>
      <c r="Z134" s="7">
        <v>5838086004</v>
      </c>
      <c r="AA134" s="7">
        <v>11397562481</v>
      </c>
      <c r="AB134" s="9">
        <v>4904062114</v>
      </c>
      <c r="AC134" s="9">
        <v>5490705161</v>
      </c>
      <c r="AD134" s="9">
        <v>1047587802</v>
      </c>
      <c r="AE134" s="9">
        <v>3141443806</v>
      </c>
      <c r="AF134" s="9">
        <v>3141443806</v>
      </c>
      <c r="AG134" s="10">
        <v>3141443806</v>
      </c>
      <c r="AH134" s="17">
        <v>3141443831</v>
      </c>
    </row>
    <row r="135" spans="1:34" x14ac:dyDescent="0.25">
      <c r="A135" s="5">
        <v>133</v>
      </c>
      <c r="B135" s="5" t="s">
        <v>276</v>
      </c>
      <c r="C135" s="5" t="s">
        <v>277</v>
      </c>
      <c r="D135" s="6">
        <v>43819</v>
      </c>
      <c r="E135" s="26"/>
      <c r="F135" s="7">
        <v>8316053000000</v>
      </c>
      <c r="G135" s="7">
        <v>7644451000000</v>
      </c>
      <c r="H135" s="17">
        <v>7777887000000</v>
      </c>
      <c r="I135" s="17">
        <v>8382538000000</v>
      </c>
      <c r="J135" s="26"/>
      <c r="K135" s="7">
        <v>398704000000</v>
      </c>
      <c r="L135" s="7">
        <v>311682000000</v>
      </c>
      <c r="M135" s="17">
        <v>480060000000</v>
      </c>
      <c r="N135" s="17">
        <v>313648000000</v>
      </c>
      <c r="Y135" s="26"/>
      <c r="Z135" s="21"/>
      <c r="AA135" s="7">
        <v>99741000000</v>
      </c>
      <c r="AB135" s="7">
        <v>62336000000</v>
      </c>
      <c r="AC135" s="9">
        <v>95017000000</v>
      </c>
      <c r="AD135" s="26"/>
      <c r="AE135" s="10">
        <v>4156572300</v>
      </c>
      <c r="AF135" s="10">
        <v>4156572300</v>
      </c>
      <c r="AG135" s="10">
        <v>4156572300</v>
      </c>
      <c r="AH135" s="17">
        <v>4156572300</v>
      </c>
    </row>
    <row r="136" spans="1:34" x14ac:dyDescent="0.25">
      <c r="A136" s="5">
        <v>134</v>
      </c>
      <c r="B136" s="5" t="s">
        <v>278</v>
      </c>
      <c r="C136" s="5" t="s">
        <v>279</v>
      </c>
      <c r="D136" s="6">
        <v>37364</v>
      </c>
      <c r="E136" s="7">
        <v>116281017000000</v>
      </c>
      <c r="F136" s="7">
        <v>111713375000000</v>
      </c>
      <c r="G136" s="29"/>
      <c r="H136" s="29"/>
      <c r="I136" s="29"/>
      <c r="J136" s="7">
        <v>11498409000000</v>
      </c>
      <c r="K136" s="7">
        <v>11134641000000</v>
      </c>
      <c r="L136" s="29"/>
      <c r="M136" s="29"/>
      <c r="N136" s="29"/>
      <c r="Y136" s="7">
        <v>3883845000000</v>
      </c>
      <c r="Z136" s="7">
        <v>4900419000000</v>
      </c>
      <c r="AA136" s="7">
        <v>3838759000000</v>
      </c>
      <c r="AB136" s="39"/>
      <c r="AC136" s="27"/>
      <c r="AD136" s="9">
        <v>3730135136</v>
      </c>
      <c r="AE136" s="9">
        <v>3730135136</v>
      </c>
      <c r="AF136" s="27"/>
      <c r="AG136" s="27"/>
      <c r="AH136" s="27"/>
    </row>
    <row r="137" spans="1:34" x14ac:dyDescent="0.25">
      <c r="A137" s="5">
        <v>135</v>
      </c>
      <c r="B137" s="5" t="s">
        <v>280</v>
      </c>
      <c r="C137" s="5" t="s">
        <v>281</v>
      </c>
      <c r="D137" s="6">
        <v>43446</v>
      </c>
      <c r="E137" s="7">
        <v>398437984462</v>
      </c>
      <c r="F137" s="7">
        <v>538644833986</v>
      </c>
      <c r="G137" s="7">
        <v>563628549785</v>
      </c>
      <c r="H137" s="8">
        <v>562739101102</v>
      </c>
      <c r="I137" s="8">
        <v>651781230958</v>
      </c>
      <c r="J137" s="7">
        <v>41027946306</v>
      </c>
      <c r="K137" s="7">
        <v>51222668919</v>
      </c>
      <c r="L137" s="16">
        <v>-37620281385</v>
      </c>
      <c r="M137" s="8">
        <v>30781262235</v>
      </c>
      <c r="N137" s="8">
        <v>72940513980</v>
      </c>
      <c r="Y137" s="7">
        <v>80151111110</v>
      </c>
      <c r="Z137" s="38"/>
      <c r="AA137" s="38"/>
      <c r="AB137" s="39"/>
      <c r="AC137" s="9">
        <v>9267326241</v>
      </c>
      <c r="AD137" s="10">
        <v>797000000</v>
      </c>
      <c r="AE137" s="10">
        <v>870171478</v>
      </c>
      <c r="AF137" s="10">
        <v>870171478</v>
      </c>
      <c r="AG137" s="10">
        <v>870171478</v>
      </c>
      <c r="AH137" s="10">
        <v>870171478</v>
      </c>
    </row>
    <row r="138" spans="1:34" x14ac:dyDescent="0.25">
      <c r="A138" s="5">
        <v>136</v>
      </c>
      <c r="B138" s="5" t="s">
        <v>282</v>
      </c>
      <c r="C138" s="5" t="s">
        <v>283</v>
      </c>
      <c r="D138" s="6">
        <v>30034</v>
      </c>
      <c r="E138" s="7">
        <v>876856225000</v>
      </c>
      <c r="F138" s="7">
        <v>863146554000</v>
      </c>
      <c r="G138" s="7">
        <v>775324937000</v>
      </c>
      <c r="H138" s="8">
        <v>652742235000</v>
      </c>
      <c r="I138" s="8">
        <v>724073958000</v>
      </c>
      <c r="J138" s="7">
        <v>67944867000</v>
      </c>
      <c r="K138" s="7">
        <v>23441338000</v>
      </c>
      <c r="L138" s="16">
        <v>-177761030000</v>
      </c>
      <c r="M138" s="18">
        <v>-51233663000</v>
      </c>
      <c r="N138" s="18">
        <v>-106123023000</v>
      </c>
      <c r="Y138" s="7">
        <v>18538000000</v>
      </c>
      <c r="Z138" s="7">
        <v>11401000000</v>
      </c>
      <c r="AA138" s="38"/>
      <c r="AB138" s="39"/>
      <c r="AC138" s="39"/>
      <c r="AD138" s="9">
        <v>1300000000</v>
      </c>
      <c r="AE138" s="9">
        <v>1300000000</v>
      </c>
      <c r="AF138" s="9">
        <v>1300000000</v>
      </c>
      <c r="AG138" s="9">
        <v>1300000000</v>
      </c>
      <c r="AH138" s="9">
        <v>1300000000</v>
      </c>
    </row>
    <row r="139" spans="1:34" x14ac:dyDescent="0.25">
      <c r="A139" s="5">
        <v>137</v>
      </c>
      <c r="B139" s="5" t="s">
        <v>284</v>
      </c>
      <c r="C139" s="5" t="s">
        <v>285</v>
      </c>
      <c r="D139" s="6">
        <v>34576</v>
      </c>
      <c r="E139" s="7">
        <v>98190640839</v>
      </c>
      <c r="F139" s="7">
        <v>246536771775</v>
      </c>
      <c r="G139" s="7">
        <v>223781482859</v>
      </c>
      <c r="H139" s="8">
        <v>218663866293</v>
      </c>
      <c r="I139" s="8">
        <v>310462822260</v>
      </c>
      <c r="J139" s="7">
        <v>2349855961</v>
      </c>
      <c r="K139" s="7">
        <v>3048600900</v>
      </c>
      <c r="L139" s="16">
        <v>-31519632982</v>
      </c>
      <c r="M139" s="18">
        <v>-20265774760</v>
      </c>
      <c r="N139" s="8">
        <v>-2369378400</v>
      </c>
      <c r="Y139" s="38"/>
      <c r="Z139" s="38"/>
      <c r="AA139" s="38"/>
      <c r="AB139" s="39"/>
      <c r="AC139" s="39"/>
      <c r="AD139" s="9">
        <f>436175716+172000000</f>
        <v>608175716</v>
      </c>
      <c r="AE139" s="9">
        <v>608175716</v>
      </c>
      <c r="AF139" s="9">
        <v>608175716</v>
      </c>
      <c r="AG139" s="9">
        <v>608175716</v>
      </c>
      <c r="AH139" s="9">
        <v>608175716</v>
      </c>
    </row>
    <row r="140" spans="1:34" x14ac:dyDescent="0.25">
      <c r="A140" s="5">
        <v>138</v>
      </c>
      <c r="B140" s="5" t="s">
        <v>286</v>
      </c>
      <c r="C140" s="5" t="s">
        <v>287</v>
      </c>
      <c r="D140" s="6">
        <v>43634</v>
      </c>
      <c r="E140" s="26"/>
      <c r="F140" s="7">
        <v>451906621000</v>
      </c>
      <c r="G140" s="7">
        <v>500778546000</v>
      </c>
      <c r="H140" s="8">
        <v>523443664000</v>
      </c>
      <c r="I140" s="8">
        <v>795180378000</v>
      </c>
      <c r="J140" s="26"/>
      <c r="K140" s="7">
        <v>55521996000</v>
      </c>
      <c r="L140" s="7">
        <v>28523152000</v>
      </c>
      <c r="M140" s="8">
        <v>38733792000</v>
      </c>
      <c r="N140" s="8">
        <v>50129821000</v>
      </c>
      <c r="Y140" s="26"/>
      <c r="Z140" s="38"/>
      <c r="AA140" s="7">
        <v>7500000000</v>
      </c>
      <c r="AB140" s="9">
        <v>7500000000</v>
      </c>
      <c r="AC140" s="8">
        <v>9000000</v>
      </c>
      <c r="AD140" s="26"/>
      <c r="AE140" s="10">
        <v>1000000000</v>
      </c>
      <c r="AF140" s="10">
        <v>1000000000</v>
      </c>
      <c r="AG140" s="10">
        <v>1199999998</v>
      </c>
      <c r="AH140" s="10">
        <v>1199999998</v>
      </c>
    </row>
    <row r="141" spans="1:34" x14ac:dyDescent="0.25">
      <c r="A141" s="5">
        <v>139</v>
      </c>
      <c r="B141" s="5" t="s">
        <v>288</v>
      </c>
      <c r="C141" s="5" t="s">
        <v>289</v>
      </c>
      <c r="D141" s="6">
        <v>33259</v>
      </c>
      <c r="E141" s="13">
        <v>81407029</v>
      </c>
      <c r="F141" s="43">
        <v>91730054</v>
      </c>
      <c r="G141" s="43">
        <v>94808906</v>
      </c>
      <c r="H141" s="29"/>
      <c r="I141" s="27"/>
      <c r="J141" s="7">
        <v>1233587</v>
      </c>
      <c r="K141" s="43">
        <v>2346766</v>
      </c>
      <c r="L141" s="16">
        <v>-1299041</v>
      </c>
      <c r="M141" s="29"/>
      <c r="N141" s="27"/>
      <c r="Y141" s="7">
        <v>411264</v>
      </c>
      <c r="Z141" s="43">
        <v>773568</v>
      </c>
      <c r="AA141" s="43">
        <v>87516</v>
      </c>
      <c r="AB141" s="29"/>
      <c r="AC141" s="27"/>
      <c r="AD141" s="9">
        <v>1224000000</v>
      </c>
      <c r="AE141" s="9">
        <v>1224000000</v>
      </c>
      <c r="AF141" s="9">
        <v>1224000000</v>
      </c>
      <c r="AG141" s="30"/>
      <c r="AH141" s="27"/>
    </row>
    <row r="142" spans="1:34" x14ac:dyDescent="0.25">
      <c r="A142" s="5">
        <v>140</v>
      </c>
      <c r="B142" s="5" t="s">
        <v>290</v>
      </c>
      <c r="C142" s="5" t="s">
        <v>291</v>
      </c>
      <c r="D142" s="6">
        <v>33926</v>
      </c>
      <c r="E142" s="7">
        <v>2081620993000</v>
      </c>
      <c r="F142" s="7">
        <v>1888753850000</v>
      </c>
      <c r="G142" s="7">
        <v>1513949141000</v>
      </c>
      <c r="H142" s="8">
        <v>1736977382000</v>
      </c>
      <c r="I142" s="8">
        <v>2199797641000</v>
      </c>
      <c r="J142" s="7">
        <v>88428879000</v>
      </c>
      <c r="K142" s="7">
        <v>102517868000</v>
      </c>
      <c r="L142" s="7">
        <v>11924112000</v>
      </c>
      <c r="M142" s="18">
        <v>-47179855000</v>
      </c>
      <c r="N142" s="8">
        <v>57625088000</v>
      </c>
      <c r="Y142" s="7">
        <v>30240000000</v>
      </c>
      <c r="Z142" s="7">
        <v>45360000000</v>
      </c>
      <c r="AA142" s="38"/>
      <c r="AB142" s="39"/>
      <c r="AC142" s="39"/>
      <c r="AD142" s="9">
        <v>151200000</v>
      </c>
      <c r="AE142" s="9">
        <v>151200000</v>
      </c>
      <c r="AF142" s="9">
        <v>151200000</v>
      </c>
      <c r="AG142" s="9">
        <v>151200000</v>
      </c>
      <c r="AH142" s="9">
        <v>151200000</v>
      </c>
    </row>
    <row r="143" spans="1:34" x14ac:dyDescent="0.25">
      <c r="A143" s="5">
        <v>141</v>
      </c>
      <c r="B143" s="5" t="s">
        <v>292</v>
      </c>
      <c r="C143" s="5" t="s">
        <v>293</v>
      </c>
      <c r="D143" s="6">
        <v>33791</v>
      </c>
      <c r="E143" s="7">
        <v>3244821647076</v>
      </c>
      <c r="F143" s="7">
        <v>3556474711037</v>
      </c>
      <c r="G143" s="7">
        <v>3009724379484</v>
      </c>
      <c r="H143" s="8">
        <v>2725242711423</v>
      </c>
      <c r="I143" s="8">
        <v>2797005026270</v>
      </c>
      <c r="J143" s="7">
        <v>235651063203</v>
      </c>
      <c r="K143" s="7">
        <v>394950161188</v>
      </c>
      <c r="L143" s="16">
        <v>-73694555905</v>
      </c>
      <c r="M143" s="8">
        <v>93371439103</v>
      </c>
      <c r="N143" s="8">
        <v>59961666687</v>
      </c>
      <c r="Y143" s="7">
        <v>40072351070</v>
      </c>
      <c r="Z143" s="7">
        <v>32057880856</v>
      </c>
      <c r="AA143" s="7">
        <v>32057880856</v>
      </c>
      <c r="AB143" s="39"/>
      <c r="AC143" s="9">
        <v>16028940428</v>
      </c>
      <c r="AD143" s="9">
        <v>4007235107</v>
      </c>
      <c r="AE143" s="9">
        <v>4007235107</v>
      </c>
      <c r="AF143" s="9">
        <v>4007235107</v>
      </c>
      <c r="AG143" s="9">
        <v>4007235107</v>
      </c>
      <c r="AH143" s="9">
        <v>4007235107</v>
      </c>
    </row>
    <row r="144" spans="1:34" x14ac:dyDescent="0.25">
      <c r="A144" s="5">
        <v>142</v>
      </c>
      <c r="B144" s="5" t="s">
        <v>294</v>
      </c>
      <c r="C144" s="5" t="s">
        <v>295</v>
      </c>
      <c r="D144" s="6">
        <v>33604</v>
      </c>
      <c r="E144" s="7">
        <v>1298358478375</v>
      </c>
      <c r="F144" s="7">
        <v>1284437358420</v>
      </c>
      <c r="G144" s="7">
        <v>1026762882496</v>
      </c>
      <c r="H144" s="8">
        <v>1497181021456</v>
      </c>
      <c r="I144" s="8">
        <v>1508596356369</v>
      </c>
      <c r="J144" s="7">
        <v>40675096628</v>
      </c>
      <c r="K144" s="7">
        <v>38648269147</v>
      </c>
      <c r="L144" s="7">
        <v>6563771460</v>
      </c>
      <c r="M144" s="18">
        <v>-12999702678</v>
      </c>
      <c r="N144" s="8">
        <v>30497463746</v>
      </c>
      <c r="Y144" s="7">
        <v>11200000000</v>
      </c>
      <c r="Z144" s="7">
        <v>11200000000</v>
      </c>
      <c r="AA144" s="7">
        <v>11200000000</v>
      </c>
      <c r="AB144" s="39"/>
      <c r="AC144" s="39"/>
      <c r="AD144" s="9">
        <v>1120000000</v>
      </c>
      <c r="AE144" s="9">
        <v>1120000000</v>
      </c>
      <c r="AF144" s="9">
        <v>1120000000</v>
      </c>
      <c r="AG144" s="9">
        <v>1120000000</v>
      </c>
      <c r="AH144" s="9">
        <v>1120000000</v>
      </c>
    </row>
    <row r="145" spans="1:34" x14ac:dyDescent="0.25">
      <c r="A145" s="5">
        <v>143</v>
      </c>
      <c r="B145" s="5" t="s">
        <v>296</v>
      </c>
      <c r="C145" s="5" t="s">
        <v>297</v>
      </c>
      <c r="D145" s="6">
        <v>30152</v>
      </c>
      <c r="E145" s="7">
        <v>4165196478857</v>
      </c>
      <c r="F145" s="7">
        <v>4400655628146</v>
      </c>
      <c r="G145" s="7">
        <v>3743659818718</v>
      </c>
      <c r="H145" s="8">
        <v>4698864127234</v>
      </c>
      <c r="I145" s="8">
        <v>5128133329237</v>
      </c>
      <c r="J145" s="7">
        <v>253995332656</v>
      </c>
      <c r="K145" s="7">
        <v>303593922331</v>
      </c>
      <c r="L145" s="7">
        <v>238152486485</v>
      </c>
      <c r="M145" s="8">
        <v>140694706122</v>
      </c>
      <c r="N145" s="8">
        <v>106708261439</v>
      </c>
      <c r="Y145" s="7">
        <v>72038190000</v>
      </c>
      <c r="Z145" s="7">
        <v>72374190000</v>
      </c>
      <c r="AA145" s="7">
        <v>102861700000</v>
      </c>
      <c r="AB145" s="9">
        <v>61755020000</v>
      </c>
      <c r="AC145" s="9">
        <v>41165680000</v>
      </c>
      <c r="AD145" s="9">
        <v>205583400</v>
      </c>
      <c r="AE145" s="9">
        <v>205583400</v>
      </c>
      <c r="AF145" s="9">
        <v>205583400</v>
      </c>
      <c r="AG145" s="9">
        <v>205583400</v>
      </c>
      <c r="AH145" s="9">
        <v>205583400</v>
      </c>
    </row>
    <row r="146" spans="1:34" x14ac:dyDescent="0.25">
      <c r="A146" s="5">
        <v>144</v>
      </c>
      <c r="B146" s="5" t="s">
        <v>298</v>
      </c>
      <c r="C146" s="5" t="s">
        <v>299</v>
      </c>
      <c r="D146" s="6">
        <v>33227</v>
      </c>
      <c r="E146" s="7">
        <v>2485382578010</v>
      </c>
      <c r="F146" s="7">
        <v>3027942155357</v>
      </c>
      <c r="G146" s="7">
        <v>2915635059892</v>
      </c>
      <c r="H146" s="8">
        <v>2893167569270</v>
      </c>
      <c r="I146" s="8">
        <v>2665946796991</v>
      </c>
      <c r="J146" s="7">
        <v>105468744587</v>
      </c>
      <c r="K146" s="7">
        <v>208249125401</v>
      </c>
      <c r="L146" s="7">
        <v>2783763185</v>
      </c>
      <c r="M146" s="18">
        <v>-210822267539</v>
      </c>
      <c r="N146" s="18">
        <v>-191040268841</v>
      </c>
      <c r="Y146" s="38"/>
      <c r="Z146" s="7">
        <v>20778012975</v>
      </c>
      <c r="AA146" s="38"/>
      <c r="AB146" s="39"/>
      <c r="AC146" s="39"/>
      <c r="AD146" s="9">
        <v>4155602595</v>
      </c>
      <c r="AE146" s="9">
        <v>4155602595</v>
      </c>
      <c r="AF146" s="9">
        <v>4155602595</v>
      </c>
      <c r="AG146" s="9">
        <v>4155602595</v>
      </c>
      <c r="AH146" s="9">
        <v>4155602595</v>
      </c>
    </row>
    <row r="147" spans="1:34" x14ac:dyDescent="0.25">
      <c r="A147" s="5">
        <v>145</v>
      </c>
      <c r="B147" s="5" t="s">
        <v>300</v>
      </c>
      <c r="C147" s="5" t="s">
        <v>301</v>
      </c>
      <c r="D147" s="6">
        <v>39394</v>
      </c>
      <c r="E147" s="13">
        <v>287576140</v>
      </c>
      <c r="F147" s="13">
        <v>161249768</v>
      </c>
      <c r="G147" s="13">
        <v>129626970</v>
      </c>
      <c r="H147" s="24">
        <v>173199932</v>
      </c>
      <c r="I147" s="24">
        <v>147616234</v>
      </c>
      <c r="J147" s="7">
        <v>12000369</v>
      </c>
      <c r="K147" s="13">
        <v>901196</v>
      </c>
      <c r="L147" s="13">
        <v>4834180</v>
      </c>
      <c r="M147" s="24">
        <v>5820485</v>
      </c>
      <c r="N147" s="24">
        <v>9925108</v>
      </c>
      <c r="Y147" s="38"/>
      <c r="Z147" s="38"/>
      <c r="AA147" s="38"/>
      <c r="AB147" s="39"/>
      <c r="AC147" s="39"/>
      <c r="AD147" s="9">
        <v>1771448000</v>
      </c>
      <c r="AE147" s="9">
        <v>5314344000</v>
      </c>
      <c r="AF147" s="9">
        <v>5314344000</v>
      </c>
      <c r="AG147" s="9">
        <v>5314344000</v>
      </c>
      <c r="AH147" s="9">
        <v>5314344000</v>
      </c>
    </row>
    <row r="148" spans="1:34" x14ac:dyDescent="0.25">
      <c r="A148" s="5">
        <v>146</v>
      </c>
      <c r="B148" s="5" t="s">
        <v>302</v>
      </c>
      <c r="C148" s="5" t="s">
        <v>303</v>
      </c>
      <c r="D148" s="6">
        <v>43187</v>
      </c>
      <c r="E148" s="7">
        <v>567956245715</v>
      </c>
      <c r="F148" s="7">
        <v>542056619997</v>
      </c>
      <c r="G148" s="9">
        <v>495492401031</v>
      </c>
      <c r="H148" s="41"/>
      <c r="I148" s="41"/>
      <c r="J148" s="7">
        <v>23702405812</v>
      </c>
      <c r="K148" s="7">
        <v>17348754579</v>
      </c>
      <c r="L148" s="9">
        <v>6975576464</v>
      </c>
      <c r="M148" s="41"/>
      <c r="N148" s="41"/>
      <c r="Y148" s="21"/>
      <c r="Z148" s="21"/>
      <c r="AA148" s="15"/>
      <c r="AB148" s="29"/>
      <c r="AC148" s="27"/>
      <c r="AD148" s="10">
        <v>1016270000</v>
      </c>
      <c r="AE148" s="10">
        <v>2032540000</v>
      </c>
      <c r="AF148" s="10">
        <v>2032540000</v>
      </c>
      <c r="AG148" s="41"/>
      <c r="AH148" s="27"/>
    </row>
    <row r="149" spans="1:34" x14ac:dyDescent="0.25">
      <c r="A149" s="5">
        <v>147</v>
      </c>
      <c r="B149" s="5" t="s">
        <v>304</v>
      </c>
      <c r="C149" s="5" t="s">
        <v>305</v>
      </c>
      <c r="D149" s="6">
        <v>44081</v>
      </c>
      <c r="E149" s="20"/>
      <c r="F149" s="20"/>
      <c r="G149" s="9">
        <v>465425972956</v>
      </c>
      <c r="H149" s="8">
        <v>535415794488</v>
      </c>
      <c r="I149" s="17">
        <v>482237445446</v>
      </c>
      <c r="J149" s="20"/>
      <c r="K149" s="20"/>
      <c r="L149" s="22">
        <v>-18968687903</v>
      </c>
      <c r="M149" s="23">
        <v>-7161193244</v>
      </c>
      <c r="N149" s="23">
        <v>-5152294743</v>
      </c>
      <c r="Y149" s="26"/>
      <c r="Z149" s="26"/>
      <c r="AA149" s="15"/>
      <c r="AB149" s="39"/>
      <c r="AC149" s="39"/>
      <c r="AD149" s="20"/>
      <c r="AE149" s="20"/>
      <c r="AF149" s="9">
        <v>2500000000</v>
      </c>
      <c r="AG149" s="9">
        <v>2500000000</v>
      </c>
      <c r="AH149" s="17">
        <v>2500000000</v>
      </c>
    </row>
    <row r="150" spans="1:34" x14ac:dyDescent="0.25">
      <c r="A150" s="5">
        <v>148</v>
      </c>
      <c r="B150" s="5" t="s">
        <v>306</v>
      </c>
      <c r="C150" s="5" t="s">
        <v>307</v>
      </c>
      <c r="D150" s="6">
        <v>43745</v>
      </c>
      <c r="E150" s="26"/>
      <c r="F150" s="7">
        <v>345998452997</v>
      </c>
      <c r="G150" s="9">
        <v>383601312705</v>
      </c>
      <c r="H150" s="8">
        <v>395546064266</v>
      </c>
      <c r="I150" s="8">
        <v>446032517908</v>
      </c>
      <c r="J150" s="26"/>
      <c r="K150" s="7">
        <v>29514868296</v>
      </c>
      <c r="L150" s="9">
        <v>26496991950</v>
      </c>
      <c r="M150" s="8">
        <v>25245714649</v>
      </c>
      <c r="N150" s="8">
        <v>42340305141</v>
      </c>
      <c r="Y150" s="26"/>
      <c r="Z150" s="21"/>
      <c r="AA150" s="9">
        <v>1500000000</v>
      </c>
      <c r="AB150" s="39"/>
      <c r="AC150" s="39"/>
      <c r="AD150" s="26"/>
      <c r="AE150" s="10">
        <v>2000000000</v>
      </c>
      <c r="AF150" s="10">
        <v>2000000000</v>
      </c>
      <c r="AG150" s="10">
        <v>2000000000</v>
      </c>
      <c r="AH150" s="10">
        <v>2000000000</v>
      </c>
    </row>
    <row r="151" spans="1:34" x14ac:dyDescent="0.25">
      <c r="A151" s="5">
        <v>149</v>
      </c>
      <c r="B151" s="5" t="s">
        <v>308</v>
      </c>
      <c r="C151" s="5" t="s">
        <v>309</v>
      </c>
      <c r="D151" s="49">
        <v>34498</v>
      </c>
      <c r="E151" s="7">
        <v>881275000000</v>
      </c>
      <c r="F151" s="7">
        <v>822375000000</v>
      </c>
      <c r="G151" s="9">
        <v>958791000000</v>
      </c>
      <c r="H151" s="8">
        <v>1304108000000</v>
      </c>
      <c r="I151" s="8">
        <v>1645582000000</v>
      </c>
      <c r="J151" s="7">
        <v>52958000000</v>
      </c>
      <c r="K151" s="7">
        <v>83885000000</v>
      </c>
      <c r="L151" s="9">
        <v>135789000000</v>
      </c>
      <c r="M151" s="8">
        <v>265758000000</v>
      </c>
      <c r="N151" s="8">
        <v>364972000000</v>
      </c>
      <c r="Y151" s="38"/>
      <c r="Z151" s="38"/>
      <c r="AA151" s="39"/>
      <c r="AB151" s="39"/>
      <c r="AC151" s="39"/>
      <c r="AD151" s="9">
        <v>589896800</v>
      </c>
      <c r="AE151" s="10">
        <v>589896800</v>
      </c>
      <c r="AF151" s="9">
        <v>589896800</v>
      </c>
      <c r="AG151" s="9">
        <v>589896800</v>
      </c>
      <c r="AH151" s="9">
        <v>589896800</v>
      </c>
    </row>
    <row r="152" spans="1:34" x14ac:dyDescent="0.25">
      <c r="A152" s="5">
        <v>150</v>
      </c>
      <c r="B152" s="5" t="s">
        <v>310</v>
      </c>
      <c r="C152" s="5" t="s">
        <v>311</v>
      </c>
      <c r="D152" s="6">
        <v>35622</v>
      </c>
      <c r="E152" s="7">
        <v>1816406000000</v>
      </c>
      <c r="F152" s="7">
        <v>1868966000000</v>
      </c>
      <c r="G152" s="7">
        <v>2011557000000</v>
      </c>
      <c r="H152" s="8">
        <v>1761634000000</v>
      </c>
      <c r="I152" s="8">
        <v>1826350000000</v>
      </c>
      <c r="J152" s="16">
        <v>-123513000000</v>
      </c>
      <c r="K152" s="7">
        <v>1134776000000</v>
      </c>
      <c r="L152" s="7">
        <v>1204972000000</v>
      </c>
      <c r="M152" s="8">
        <v>5762000000</v>
      </c>
      <c r="N152" s="8">
        <v>-62359000000</v>
      </c>
      <c r="Y152" s="38"/>
      <c r="Z152" s="38"/>
      <c r="AA152" s="38"/>
      <c r="AB152" s="39"/>
      <c r="AC152" s="39"/>
      <c r="AD152" s="9">
        <v>3218600000</v>
      </c>
      <c r="AE152" s="9">
        <v>3218600000</v>
      </c>
      <c r="AF152" s="9">
        <v>9311800000</v>
      </c>
      <c r="AG152" s="9">
        <v>9311800000</v>
      </c>
      <c r="AH152" s="9">
        <v>9311800000</v>
      </c>
    </row>
    <row r="153" spans="1:34" x14ac:dyDescent="0.25">
      <c r="A153" s="5">
        <v>151</v>
      </c>
      <c r="B153" s="5" t="s">
        <v>312</v>
      </c>
      <c r="C153" s="5" t="s">
        <v>313</v>
      </c>
      <c r="D153" s="6">
        <v>41100</v>
      </c>
      <c r="E153" s="7">
        <v>1109843522344</v>
      </c>
      <c r="F153" s="7">
        <v>1103450087164</v>
      </c>
      <c r="G153" s="7">
        <v>1105874415256</v>
      </c>
      <c r="H153" s="8">
        <v>1089208965375</v>
      </c>
      <c r="I153" s="8">
        <v>1023323308935</v>
      </c>
      <c r="J153" s="16">
        <v>-33021220862</v>
      </c>
      <c r="K153" s="16">
        <v>-7383289239</v>
      </c>
      <c r="L153" s="16">
        <v>-10506939189</v>
      </c>
      <c r="M153" s="18">
        <v>-8932197718</v>
      </c>
      <c r="N153" s="18">
        <v>-16129026748</v>
      </c>
      <c r="Y153" s="38"/>
      <c r="Z153" s="38"/>
      <c r="AA153" s="38"/>
      <c r="AB153" s="39"/>
      <c r="AC153" s="39"/>
      <c r="AD153" s="9">
        <v>2191870558</v>
      </c>
      <c r="AE153" s="9">
        <v>2191870558</v>
      </c>
      <c r="AF153" s="9">
        <v>2191870558</v>
      </c>
      <c r="AG153" s="9">
        <v>2191870558</v>
      </c>
      <c r="AH153" s="9">
        <v>2191870558</v>
      </c>
    </row>
    <row r="154" spans="1:34" x14ac:dyDescent="0.25">
      <c r="A154" s="5">
        <v>152</v>
      </c>
      <c r="B154" s="5" t="s">
        <v>314</v>
      </c>
      <c r="C154" s="5" t="s">
        <v>315</v>
      </c>
      <c r="D154" s="6">
        <v>38121</v>
      </c>
      <c r="E154" s="7">
        <v>5165236468705</v>
      </c>
      <c r="F154" s="7">
        <v>4975248130342</v>
      </c>
      <c r="G154" s="7">
        <v>4223727970626</v>
      </c>
      <c r="H154" s="8">
        <v>4173043810054</v>
      </c>
      <c r="I154" s="8">
        <v>4142039803861</v>
      </c>
      <c r="J154" s="7">
        <v>76001730866</v>
      </c>
      <c r="K154" s="16">
        <v>-83843800594</v>
      </c>
      <c r="L154" s="16">
        <v>-509507890912</v>
      </c>
      <c r="M154" s="18">
        <v>-106511989327</v>
      </c>
      <c r="N154" s="18">
        <v>-133469253051</v>
      </c>
      <c r="Y154" s="38"/>
      <c r="Z154" s="38"/>
      <c r="AA154" s="38"/>
      <c r="AB154" s="39"/>
      <c r="AC154" s="39"/>
      <c r="AD154" s="9">
        <v>46277496376</v>
      </c>
      <c r="AE154" s="9">
        <v>46277496376</v>
      </c>
      <c r="AF154" s="9">
        <v>46277496376</v>
      </c>
      <c r="AG154" s="9">
        <v>46277496376</v>
      </c>
      <c r="AH154" s="9">
        <v>46277496376</v>
      </c>
    </row>
    <row r="155" spans="1:34" x14ac:dyDescent="0.25">
      <c r="A155" s="5">
        <v>153</v>
      </c>
      <c r="B155" s="5" t="s">
        <v>316</v>
      </c>
      <c r="C155" s="50" t="s">
        <v>317</v>
      </c>
      <c r="D155" s="6">
        <v>34827</v>
      </c>
      <c r="E155" s="7">
        <v>3392980000000</v>
      </c>
      <c r="F155" s="7">
        <v>2999767000000</v>
      </c>
      <c r="G155" s="7">
        <v>2963007000000</v>
      </c>
      <c r="H155" s="17">
        <v>2993218000000</v>
      </c>
      <c r="I155" s="17">
        <v>3173651000000</v>
      </c>
      <c r="J155" s="7">
        <v>50467000000</v>
      </c>
      <c r="K155" s="7">
        <v>64021000000</v>
      </c>
      <c r="L155" s="7">
        <v>67093000000</v>
      </c>
      <c r="M155" s="17">
        <v>91723000000</v>
      </c>
      <c r="N155" s="17">
        <v>93065000000</v>
      </c>
      <c r="Y155" s="7">
        <v>17996000000</v>
      </c>
      <c r="Z155" s="7">
        <v>22495000000</v>
      </c>
      <c r="AA155" s="7">
        <v>26994000000</v>
      </c>
      <c r="AB155" s="7">
        <v>26994000000</v>
      </c>
      <c r="AC155" s="9">
        <v>35992000000</v>
      </c>
      <c r="AD155" s="10">
        <v>4498997362</v>
      </c>
      <c r="AE155" s="10">
        <v>4498997362</v>
      </c>
      <c r="AF155" s="10">
        <v>4498997362</v>
      </c>
      <c r="AG155" s="10">
        <v>4498997362</v>
      </c>
      <c r="AH155" s="10">
        <v>4498997362</v>
      </c>
    </row>
    <row r="156" spans="1:34" x14ac:dyDescent="0.25">
      <c r="A156" s="5">
        <v>154</v>
      </c>
      <c r="B156" s="5" t="s">
        <v>318</v>
      </c>
      <c r="C156" s="5" t="s">
        <v>319</v>
      </c>
      <c r="D156" s="6">
        <v>43088</v>
      </c>
      <c r="E156" s="7">
        <v>1004275813783</v>
      </c>
      <c r="F156" s="7">
        <v>1057529235986</v>
      </c>
      <c r="G156" s="7">
        <v>1086873666641</v>
      </c>
      <c r="H156" s="8">
        <v>1146235578463</v>
      </c>
      <c r="I156" s="8">
        <v>1074777460412</v>
      </c>
      <c r="J156" s="7">
        <v>61947295689</v>
      </c>
      <c r="K156" s="7">
        <v>76758829457</v>
      </c>
      <c r="L156" s="7">
        <v>44045828312</v>
      </c>
      <c r="M156" s="8">
        <v>99278807290</v>
      </c>
      <c r="N156" s="8">
        <v>121257336904</v>
      </c>
      <c r="Y156" s="7">
        <v>17665000000</v>
      </c>
      <c r="Z156" s="7">
        <v>25011250011</v>
      </c>
      <c r="AA156" s="38"/>
      <c r="AB156" s="9">
        <v>41195000000</v>
      </c>
      <c r="AC156" s="9">
        <v>205975000000</v>
      </c>
      <c r="AD156" s="10">
        <v>5885000000</v>
      </c>
      <c r="AE156" s="10">
        <v>5885000000</v>
      </c>
      <c r="AF156" s="10">
        <v>5885000000</v>
      </c>
      <c r="AG156" s="10">
        <v>5885000000</v>
      </c>
      <c r="AH156" s="10">
        <v>5885000000</v>
      </c>
    </row>
    <row r="157" spans="1:34" x14ac:dyDescent="0.25">
      <c r="A157" s="5">
        <v>155</v>
      </c>
      <c r="B157" s="5" t="s">
        <v>320</v>
      </c>
      <c r="C157" s="5" t="s">
        <v>321</v>
      </c>
      <c r="D157" s="6">
        <v>35255</v>
      </c>
      <c r="E157" s="7">
        <v>1168956042706</v>
      </c>
      <c r="F157" s="7">
        <v>1393079542074</v>
      </c>
      <c r="G157" s="7">
        <v>1566673828068</v>
      </c>
      <c r="H157" s="8">
        <v>1697387196209</v>
      </c>
      <c r="I157" s="8">
        <v>1718287453575</v>
      </c>
      <c r="J157" s="7">
        <v>92649656775</v>
      </c>
      <c r="K157" s="7">
        <v>215459200242</v>
      </c>
      <c r="L157" s="7">
        <v>181812593992</v>
      </c>
      <c r="M157" s="8">
        <v>187066990085</v>
      </c>
      <c r="N157" s="8">
        <v>220704543072</v>
      </c>
      <c r="Y157" s="7">
        <v>26775000000</v>
      </c>
      <c r="Z157" s="7">
        <v>59500000000</v>
      </c>
      <c r="AA157" s="7">
        <v>59500000000</v>
      </c>
      <c r="AB157" s="9">
        <v>59500000000</v>
      </c>
      <c r="AC157" s="8">
        <v>59500000000</v>
      </c>
      <c r="AD157" s="9">
        <v>595000000</v>
      </c>
      <c r="AE157" s="9">
        <v>595000000</v>
      </c>
      <c r="AF157" s="9">
        <v>595000000</v>
      </c>
      <c r="AG157" s="9">
        <v>595000000</v>
      </c>
      <c r="AH157" s="8">
        <v>595000000</v>
      </c>
    </row>
    <row r="158" spans="1:34" x14ac:dyDescent="0.25">
      <c r="A158" s="5">
        <v>156</v>
      </c>
      <c r="B158" s="5" t="s">
        <v>322</v>
      </c>
      <c r="C158" s="5" t="s">
        <v>323</v>
      </c>
      <c r="D158" s="6">
        <v>42860</v>
      </c>
      <c r="E158" s="7">
        <v>833933861594</v>
      </c>
      <c r="F158" s="7">
        <v>1245144303719</v>
      </c>
      <c r="G158" s="7">
        <v>1310940121622</v>
      </c>
      <c r="H158" s="8">
        <v>1348181576913</v>
      </c>
      <c r="I158" s="8">
        <v>1693523611414</v>
      </c>
      <c r="J158" s="7">
        <v>63261752474</v>
      </c>
      <c r="K158" s="7">
        <v>130756461708</v>
      </c>
      <c r="L158" s="7">
        <v>132772234495</v>
      </c>
      <c r="M158" s="8">
        <v>180711667020</v>
      </c>
      <c r="N158" s="8">
        <v>195598848689</v>
      </c>
      <c r="Y158" s="38"/>
      <c r="Z158" s="38"/>
      <c r="AA158" s="38"/>
      <c r="AB158" s="9">
        <v>59883719000</v>
      </c>
      <c r="AC158" s="9">
        <v>11959987600</v>
      </c>
      <c r="AD158" s="10">
        <v>12000000000</v>
      </c>
      <c r="AE158" s="10">
        <v>12000000000</v>
      </c>
      <c r="AF158" s="10">
        <v>12000000000</v>
      </c>
      <c r="AG158" s="10">
        <v>12000000000</v>
      </c>
      <c r="AH158" s="8">
        <v>12000000000</v>
      </c>
    </row>
    <row r="159" spans="1:34" x14ac:dyDescent="0.25">
      <c r="A159" s="5">
        <v>157</v>
      </c>
      <c r="B159" s="11" t="s">
        <v>324</v>
      </c>
      <c r="C159" s="11" t="s">
        <v>325</v>
      </c>
      <c r="D159" s="6">
        <v>44536</v>
      </c>
      <c r="E159" s="26"/>
      <c r="F159" s="26"/>
      <c r="G159" s="26"/>
      <c r="H159" s="17">
        <v>5603779000000</v>
      </c>
      <c r="I159" s="17">
        <v>6223251000000</v>
      </c>
      <c r="J159" s="26"/>
      <c r="K159" s="26"/>
      <c r="L159" s="26"/>
      <c r="M159" s="17">
        <v>790229000000</v>
      </c>
      <c r="N159" s="17">
        <v>1060582000000</v>
      </c>
      <c r="Y159" s="26"/>
      <c r="Z159" s="26"/>
      <c r="AA159" s="26"/>
      <c r="AB159" s="9">
        <v>400013000000</v>
      </c>
      <c r="AC159" s="17">
        <v>500007000000</v>
      </c>
      <c r="AD159" s="20"/>
      <c r="AE159" s="20"/>
      <c r="AF159" s="26"/>
      <c r="AG159" s="9">
        <v>7934683000</v>
      </c>
      <c r="AH159" s="17">
        <v>7934683000</v>
      </c>
    </row>
    <row r="160" spans="1:34" ht="30" x14ac:dyDescent="0.25">
      <c r="A160" s="5">
        <v>158</v>
      </c>
      <c r="B160" s="5" t="s">
        <v>326</v>
      </c>
      <c r="C160" s="5" t="s">
        <v>327</v>
      </c>
      <c r="D160" s="6">
        <v>43544</v>
      </c>
      <c r="E160" s="26"/>
      <c r="F160" s="7">
        <v>250442587742</v>
      </c>
      <c r="G160" s="7">
        <v>263754414443</v>
      </c>
      <c r="H160" s="8">
        <v>370684311428</v>
      </c>
      <c r="I160" s="8">
        <v>485054412584</v>
      </c>
      <c r="J160" s="7">
        <v>338129985000</v>
      </c>
      <c r="K160" s="7">
        <v>317815177000</v>
      </c>
      <c r="L160" s="7">
        <v>2738128648</v>
      </c>
      <c r="M160" s="8">
        <v>8532631708</v>
      </c>
      <c r="N160" s="8">
        <v>6620432696</v>
      </c>
      <c r="Y160" s="26"/>
      <c r="Z160" s="21"/>
      <c r="AA160" s="21"/>
      <c r="AB160" s="39"/>
      <c r="AC160" s="39"/>
      <c r="AD160" s="26"/>
      <c r="AE160" s="10">
        <v>560242105</v>
      </c>
      <c r="AF160" s="10">
        <v>560284938</v>
      </c>
      <c r="AG160" s="10">
        <v>889863981</v>
      </c>
      <c r="AH160" s="8">
        <v>889863981</v>
      </c>
    </row>
    <row r="161" spans="1:34" ht="18" x14ac:dyDescent="0.35">
      <c r="A161" s="5">
        <v>159</v>
      </c>
      <c r="B161" s="11" t="s">
        <v>328</v>
      </c>
      <c r="C161" s="11" t="s">
        <v>329</v>
      </c>
      <c r="D161" s="51">
        <v>44783</v>
      </c>
      <c r="E161" s="26"/>
      <c r="F161" s="26"/>
      <c r="G161" s="26"/>
      <c r="H161" s="26"/>
      <c r="I161" s="9">
        <v>316483653347</v>
      </c>
      <c r="J161" s="26"/>
      <c r="K161" s="26"/>
      <c r="L161" s="26"/>
      <c r="M161" s="26"/>
      <c r="N161" s="9">
        <v>10397731280</v>
      </c>
      <c r="Y161" s="26"/>
      <c r="Z161" s="26"/>
      <c r="AA161" s="26"/>
      <c r="AB161" s="26"/>
      <c r="AC161" s="39"/>
      <c r="AD161" s="26"/>
      <c r="AE161" s="26"/>
      <c r="AF161" s="26"/>
      <c r="AG161" s="26"/>
      <c r="AH161" s="8">
        <v>1950000000</v>
      </c>
    </row>
    <row r="162" spans="1:34" x14ac:dyDescent="0.25">
      <c r="A162" s="5">
        <v>160</v>
      </c>
      <c r="B162" s="5" t="s">
        <v>330</v>
      </c>
      <c r="C162" s="5" t="s">
        <v>331</v>
      </c>
      <c r="D162" s="6">
        <v>30724</v>
      </c>
      <c r="E162" s="7">
        <v>1523517170000</v>
      </c>
      <c r="F162" s="7">
        <v>1425983722000</v>
      </c>
      <c r="G162" s="7">
        <v>1225580913000</v>
      </c>
      <c r="H162" s="7">
        <v>1308722065000</v>
      </c>
      <c r="I162" s="7">
        <v>1307186367000</v>
      </c>
      <c r="J162" s="7">
        <v>338129985000</v>
      </c>
      <c r="K162" s="7">
        <v>317815177000</v>
      </c>
      <c r="L162" s="7">
        <v>123465762000</v>
      </c>
      <c r="M162" s="7">
        <v>187992998000</v>
      </c>
      <c r="N162" s="7">
        <v>230065807000</v>
      </c>
      <c r="Y162" s="52">
        <v>208171353000</v>
      </c>
      <c r="Z162" s="7">
        <v>382715026000</v>
      </c>
      <c r="AA162" s="7">
        <v>312257030000</v>
      </c>
      <c r="AB162" s="9">
        <v>200164763000</v>
      </c>
      <c r="AC162" s="9">
        <v>240197715000</v>
      </c>
      <c r="AD162" s="9">
        <v>800659050</v>
      </c>
      <c r="AE162" s="9">
        <v>800659050</v>
      </c>
      <c r="AF162" s="9">
        <v>800659050</v>
      </c>
      <c r="AG162" s="10">
        <v>800659050</v>
      </c>
      <c r="AH162" s="10">
        <v>800659050</v>
      </c>
    </row>
    <row r="163" spans="1:34" x14ac:dyDescent="0.25">
      <c r="A163" s="5">
        <v>161</v>
      </c>
      <c r="B163" s="5" t="s">
        <v>332</v>
      </c>
      <c r="C163" s="5" t="s">
        <v>333</v>
      </c>
      <c r="D163" s="6">
        <v>43852</v>
      </c>
      <c r="E163" s="26"/>
      <c r="F163" s="26"/>
      <c r="G163" s="9">
        <v>5680638000000</v>
      </c>
      <c r="H163" s="8">
        <v>6297287000000</v>
      </c>
      <c r="I163" s="8">
        <v>6878297000000</v>
      </c>
      <c r="J163" s="26"/>
      <c r="K163" s="26"/>
      <c r="L163" s="9">
        <v>205589000000</v>
      </c>
      <c r="M163" s="8">
        <v>351470000000</v>
      </c>
      <c r="N163" s="8">
        <v>382105000000</v>
      </c>
      <c r="Y163" s="26"/>
      <c r="Z163" s="26"/>
      <c r="AA163" s="15"/>
      <c r="AB163" s="9">
        <v>8000000</v>
      </c>
      <c r="AC163" s="39"/>
      <c r="AD163" s="20"/>
      <c r="AE163" s="20"/>
      <c r="AF163" s="10">
        <v>9468359000</v>
      </c>
      <c r="AG163" s="10">
        <v>9468359000</v>
      </c>
      <c r="AH163" s="10">
        <v>9468359000</v>
      </c>
    </row>
    <row r="164" spans="1:34" x14ac:dyDescent="0.25">
      <c r="A164" s="5">
        <v>162</v>
      </c>
      <c r="B164" s="5" t="s">
        <v>334</v>
      </c>
      <c r="C164" s="5" t="s">
        <v>335</v>
      </c>
      <c r="D164" s="6">
        <v>44088</v>
      </c>
      <c r="E164" s="26"/>
      <c r="F164" s="26"/>
      <c r="G164" s="7">
        <v>271189553490</v>
      </c>
      <c r="H164" s="7">
        <v>294416024814</v>
      </c>
      <c r="I164" s="7">
        <v>313331422003</v>
      </c>
      <c r="J164" s="26"/>
      <c r="K164" s="26"/>
      <c r="L164" s="7">
        <v>1196922419</v>
      </c>
      <c r="M164" s="7">
        <v>10191676313</v>
      </c>
      <c r="N164" s="7">
        <v>2144541371</v>
      </c>
      <c r="Y164" s="26"/>
      <c r="Z164" s="26"/>
      <c r="AA164" s="21"/>
      <c r="AB164" s="39"/>
      <c r="AC164" s="39"/>
      <c r="AD164" s="20"/>
      <c r="AE164" s="20"/>
      <c r="AF164" s="10">
        <v>2162543000</v>
      </c>
      <c r="AG164" s="10">
        <v>2162543000</v>
      </c>
      <c r="AH164" s="10">
        <v>2162543000</v>
      </c>
    </row>
    <row r="165" spans="1:34" x14ac:dyDescent="0.25">
      <c r="A165" s="5">
        <v>163</v>
      </c>
      <c r="B165" s="5" t="s">
        <v>336</v>
      </c>
      <c r="C165" s="5" t="s">
        <v>337</v>
      </c>
      <c r="D165" s="6">
        <v>43473</v>
      </c>
      <c r="E165" s="26"/>
      <c r="F165" s="7">
        <v>118586648946</v>
      </c>
      <c r="G165" s="7">
        <v>113192236191</v>
      </c>
      <c r="H165" s="8">
        <v>106495352963</v>
      </c>
      <c r="I165" s="8">
        <v>102297196494</v>
      </c>
      <c r="J165" s="26"/>
      <c r="K165" s="7">
        <v>1827667171</v>
      </c>
      <c r="L165" s="16">
        <v>-17398564059</v>
      </c>
      <c r="M165" s="18">
        <v>-14658771261</v>
      </c>
      <c r="N165" s="8">
        <v>-22068477089</v>
      </c>
      <c r="Y165" s="26"/>
      <c r="Z165" s="21"/>
      <c r="AA165" s="21"/>
      <c r="AB165" s="39"/>
      <c r="AC165" s="39"/>
      <c r="AD165" s="26"/>
      <c r="AE165" s="10">
        <v>650000000</v>
      </c>
      <c r="AF165" s="10">
        <v>650000000</v>
      </c>
      <c r="AG165" s="10">
        <v>650000000</v>
      </c>
      <c r="AH165" s="10">
        <v>650000000</v>
      </c>
    </row>
    <row r="166" spans="1:34" x14ac:dyDescent="0.25">
      <c r="A166" s="5">
        <v>164</v>
      </c>
      <c r="B166" s="5" t="s">
        <v>338</v>
      </c>
      <c r="C166" s="5" t="s">
        <v>339</v>
      </c>
      <c r="D166" s="6">
        <v>43383</v>
      </c>
      <c r="E166" s="9">
        <v>4212408305683</v>
      </c>
      <c r="F166" s="7">
        <v>5063067672414</v>
      </c>
      <c r="G166" s="9">
        <v>6570969641033</v>
      </c>
      <c r="H166" s="17">
        <v>6766602280143</v>
      </c>
      <c r="I166" s="17">
        <v>7327371934290</v>
      </c>
      <c r="J166" s="9">
        <v>425481597110</v>
      </c>
      <c r="K166" s="7">
        <v>435766359480</v>
      </c>
      <c r="L166" s="9">
        <v>245103761907</v>
      </c>
      <c r="M166" s="8">
        <v>492637672186</v>
      </c>
      <c r="N166" s="8">
        <v>521714035585</v>
      </c>
      <c r="Y166" s="9">
        <v>183082141237</v>
      </c>
      <c r="Z166" s="7">
        <v>132379748022</v>
      </c>
      <c r="AA166" s="9">
        <v>213786027326</v>
      </c>
      <c r="AB166" s="9">
        <v>131923972638</v>
      </c>
      <c r="AC166" s="17">
        <v>221508548952</v>
      </c>
      <c r="AD166" s="10">
        <v>7379580291</v>
      </c>
      <c r="AE166" s="10">
        <v>7379580291</v>
      </c>
      <c r="AF166" s="10">
        <v>7379580291</v>
      </c>
      <c r="AG166" s="10">
        <v>36897901455</v>
      </c>
      <c r="AH166" s="17">
        <v>36897901455</v>
      </c>
    </row>
    <row r="167" spans="1:34" x14ac:dyDescent="0.25">
      <c r="A167" s="5">
        <v>165</v>
      </c>
      <c r="B167" s="5" t="s">
        <v>340</v>
      </c>
      <c r="C167" s="5" t="s">
        <v>341</v>
      </c>
      <c r="D167" s="6">
        <v>42908</v>
      </c>
      <c r="E167" s="7">
        <v>758846556031</v>
      </c>
      <c r="F167" s="7">
        <v>848676035300</v>
      </c>
      <c r="G167" s="7">
        <v>906924214166</v>
      </c>
      <c r="H167" s="8">
        <v>987563580363</v>
      </c>
      <c r="I167" s="8">
        <v>811603660216</v>
      </c>
      <c r="J167" s="7">
        <v>90195136265</v>
      </c>
      <c r="K167" s="7">
        <v>103723133972</v>
      </c>
      <c r="L167" s="7">
        <v>38038419405</v>
      </c>
      <c r="M167" s="8">
        <v>11844682161</v>
      </c>
      <c r="N167" s="8">
        <v>90572477</v>
      </c>
      <c r="Y167" s="7">
        <v>14200138260</v>
      </c>
      <c r="Z167" s="7">
        <v>26140929100</v>
      </c>
      <c r="AA167" s="7">
        <v>28635668400</v>
      </c>
      <c r="AB167" s="9">
        <v>9677752680</v>
      </c>
      <c r="AC167" s="17">
        <v>9677752680</v>
      </c>
      <c r="AD167" s="10">
        <v>2374834620</v>
      </c>
      <c r="AE167" s="10">
        <v>2378405500</v>
      </c>
      <c r="AF167" s="10">
        <v>2419438170</v>
      </c>
      <c r="AG167" s="10">
        <v>9677752680</v>
      </c>
      <c r="AH167" s="17">
        <v>9677752680</v>
      </c>
    </row>
    <row r="168" spans="1:34" ht="16.5" x14ac:dyDescent="0.3">
      <c r="A168" s="5">
        <v>166</v>
      </c>
      <c r="B168" s="5" t="s">
        <v>342</v>
      </c>
      <c r="C168" s="45" t="s">
        <v>343</v>
      </c>
      <c r="D168" s="6">
        <v>44676</v>
      </c>
      <c r="E168" s="26"/>
      <c r="F168" s="26"/>
      <c r="G168" s="26"/>
      <c r="H168" s="26"/>
      <c r="I168" s="9">
        <v>368303424177</v>
      </c>
      <c r="J168" s="26"/>
      <c r="K168" s="26"/>
      <c r="L168" s="26"/>
      <c r="M168" s="26"/>
      <c r="N168" s="9">
        <v>7175353546</v>
      </c>
      <c r="Y168" s="26"/>
      <c r="Z168" s="26"/>
      <c r="AA168" s="26"/>
      <c r="AB168" s="26"/>
      <c r="AC168" s="39"/>
      <c r="AD168" s="26"/>
      <c r="AE168" s="26"/>
      <c r="AF168" s="26"/>
      <c r="AG168" s="26"/>
      <c r="AH168" s="17">
        <v>8036817278</v>
      </c>
    </row>
    <row r="169" spans="1:34" x14ac:dyDescent="0.25">
      <c r="A169" s="5">
        <v>167</v>
      </c>
      <c r="B169" s="5" t="s">
        <v>344</v>
      </c>
      <c r="C169" s="5" t="s">
        <v>345</v>
      </c>
      <c r="D169" s="6">
        <v>40458</v>
      </c>
      <c r="E169" s="7">
        <v>34367153000000</v>
      </c>
      <c r="F169" s="7">
        <v>38709314000000</v>
      </c>
      <c r="G169" s="9">
        <v>103588325000000</v>
      </c>
      <c r="H169" s="8">
        <v>118015311000000</v>
      </c>
      <c r="I169" s="8">
        <v>115305536000000</v>
      </c>
      <c r="J169" s="7">
        <v>4658781000000</v>
      </c>
      <c r="K169" s="7">
        <v>5360029000000</v>
      </c>
      <c r="L169" s="9">
        <v>7418574000000</v>
      </c>
      <c r="M169" s="8">
        <v>7911943000000</v>
      </c>
      <c r="N169" s="8">
        <v>5722194000000</v>
      </c>
      <c r="Y169" s="7">
        <v>2689873000000</v>
      </c>
      <c r="Z169" s="7">
        <v>1682890000000</v>
      </c>
      <c r="AA169" s="9">
        <v>2915985000000</v>
      </c>
      <c r="AB169" s="9">
        <v>3629968000000</v>
      </c>
      <c r="AC169" s="9">
        <v>3532886000000</v>
      </c>
      <c r="AD169" s="9">
        <v>11661908000</v>
      </c>
      <c r="AE169" s="9">
        <v>11661908000</v>
      </c>
      <c r="AF169" s="9">
        <v>11661908000</v>
      </c>
      <c r="AG169" s="9">
        <v>11661908000</v>
      </c>
      <c r="AH169" s="9">
        <v>11661908000</v>
      </c>
    </row>
    <row r="170" spans="1:34" x14ac:dyDescent="0.25">
      <c r="A170" s="5">
        <v>168</v>
      </c>
      <c r="B170" s="53" t="s">
        <v>346</v>
      </c>
      <c r="C170" s="54" t="s">
        <v>347</v>
      </c>
      <c r="D170" s="6">
        <v>37543</v>
      </c>
      <c r="E170" s="9">
        <v>298090648072</v>
      </c>
      <c r="F170" s="7">
        <v>384481206140</v>
      </c>
      <c r="G170" s="9">
        <v>343139482249</v>
      </c>
      <c r="H170" s="8">
        <v>299295229177</v>
      </c>
      <c r="I170" s="8">
        <v>251669253000</v>
      </c>
      <c r="J170" s="22">
        <v>-15074081977</v>
      </c>
      <c r="K170" s="7">
        <v>85544158340</v>
      </c>
      <c r="L170" s="22">
        <v>-41519336887</v>
      </c>
      <c r="M170" s="8">
        <v>-43537325070</v>
      </c>
      <c r="N170" s="8">
        <v>-47999640044</v>
      </c>
      <c r="Y170" s="39"/>
      <c r="Z170" s="38"/>
      <c r="AA170" s="39"/>
      <c r="AB170" s="29"/>
      <c r="AC170" s="39"/>
      <c r="AD170" s="9">
        <v>33600000000</v>
      </c>
      <c r="AE170" s="9">
        <v>33600000000</v>
      </c>
      <c r="AF170" s="9">
        <v>33600000000</v>
      </c>
      <c r="AG170" s="9">
        <v>33600000000</v>
      </c>
      <c r="AH170" s="9">
        <v>33600000000</v>
      </c>
    </row>
    <row r="171" spans="1:34" x14ac:dyDescent="0.25">
      <c r="A171" s="5">
        <v>169</v>
      </c>
      <c r="B171" s="5" t="s">
        <v>348</v>
      </c>
      <c r="C171" s="5" t="s">
        <v>349</v>
      </c>
      <c r="D171" s="6">
        <v>43873</v>
      </c>
      <c r="E171" s="26"/>
      <c r="F171" s="26"/>
      <c r="G171" s="9">
        <v>132538615751</v>
      </c>
      <c r="H171" s="17">
        <v>129081871589</v>
      </c>
      <c r="I171" s="17">
        <v>125635186707</v>
      </c>
      <c r="J171" s="20"/>
      <c r="K171" s="20"/>
      <c r="L171" s="22">
        <v>-1087117567</v>
      </c>
      <c r="M171" s="17">
        <v>1599675921</v>
      </c>
      <c r="N171" s="17">
        <v>2035931112</v>
      </c>
      <c r="Y171" s="26"/>
      <c r="Z171" s="26"/>
      <c r="AA171" s="15"/>
      <c r="AB171" s="39"/>
      <c r="AC171" s="39"/>
      <c r="AD171" s="20"/>
      <c r="AE171" s="20"/>
      <c r="AF171" s="10">
        <v>833333000</v>
      </c>
      <c r="AG171" s="10">
        <v>833333000</v>
      </c>
      <c r="AH171" s="10">
        <v>833333000</v>
      </c>
    </row>
    <row r="172" spans="1:34" x14ac:dyDescent="0.25">
      <c r="A172" s="5">
        <v>170</v>
      </c>
      <c r="B172" s="5" t="s">
        <v>350</v>
      </c>
      <c r="C172" s="5" t="s">
        <v>351</v>
      </c>
      <c r="D172" s="6">
        <v>34529</v>
      </c>
      <c r="E172" s="9">
        <v>96537796000000</v>
      </c>
      <c r="F172" s="7">
        <v>96198559000000</v>
      </c>
      <c r="G172" s="9">
        <v>163136516000000</v>
      </c>
      <c r="H172" s="8">
        <v>179271840000000</v>
      </c>
      <c r="I172" s="8">
        <v>180433300000000</v>
      </c>
      <c r="J172" s="9">
        <v>4961851000000</v>
      </c>
      <c r="K172" s="7">
        <v>5902729000000</v>
      </c>
      <c r="L172" s="9">
        <v>8752066000000</v>
      </c>
      <c r="M172" s="8">
        <v>11229695000000</v>
      </c>
      <c r="N172" s="8">
        <v>9192569000000</v>
      </c>
      <c r="Y172" s="9">
        <v>3484931000000</v>
      </c>
      <c r="Z172" s="7">
        <v>1974386000000</v>
      </c>
      <c r="AA172" s="9">
        <v>3371943000000</v>
      </c>
      <c r="AB172" s="9">
        <v>4126638000000</v>
      </c>
      <c r="AC172" s="9">
        <v>4201345000000</v>
      </c>
      <c r="AD172" s="9">
        <v>8780426500</v>
      </c>
      <c r="AE172" s="9">
        <v>8780426500</v>
      </c>
      <c r="AF172" s="9">
        <v>8780426500</v>
      </c>
      <c r="AG172" s="9">
        <v>8780426500</v>
      </c>
      <c r="AH172" s="9">
        <v>8780426500</v>
      </c>
    </row>
    <row r="173" spans="1:34" x14ac:dyDescent="0.25">
      <c r="A173" s="5">
        <v>171</v>
      </c>
      <c r="B173" s="11" t="s">
        <v>352</v>
      </c>
      <c r="C173" s="11" t="s">
        <v>353</v>
      </c>
      <c r="D173" s="6">
        <v>44539</v>
      </c>
      <c r="E173" s="26"/>
      <c r="F173" s="26"/>
      <c r="G173" s="26"/>
      <c r="H173" s="9">
        <v>284301347000</v>
      </c>
      <c r="I173" s="9">
        <v>290584130000</v>
      </c>
      <c r="J173" s="26"/>
      <c r="K173" s="26"/>
      <c r="L173" s="26"/>
      <c r="M173" s="9">
        <v>2915091000</v>
      </c>
      <c r="N173" s="9">
        <v>3564619000</v>
      </c>
      <c r="Y173" s="26"/>
      <c r="Z173" s="26"/>
      <c r="AA173" s="26"/>
      <c r="AB173" s="26"/>
      <c r="AC173" s="39"/>
      <c r="AD173" s="20"/>
      <c r="AE173" s="20"/>
      <c r="AF173" s="20"/>
      <c r="AG173" s="20"/>
      <c r="AH173" s="55">
        <v>4600000000</v>
      </c>
    </row>
    <row r="174" spans="1:34" x14ac:dyDescent="0.25">
      <c r="A174" s="5">
        <v>172</v>
      </c>
      <c r="B174" s="5" t="s">
        <v>354</v>
      </c>
      <c r="C174" s="5" t="s">
        <v>355</v>
      </c>
      <c r="D174" s="6">
        <v>43794</v>
      </c>
      <c r="E174" s="26"/>
      <c r="F174" s="7">
        <v>666313386673</v>
      </c>
      <c r="G174" s="7">
        <v>674806910037</v>
      </c>
      <c r="H174" s="8">
        <v>767726284113</v>
      </c>
      <c r="I174" s="8">
        <v>860100358989</v>
      </c>
      <c r="J174" s="26"/>
      <c r="K174" s="7">
        <v>98047666143</v>
      </c>
      <c r="L174" s="7">
        <v>121000016429</v>
      </c>
      <c r="M174" s="8">
        <v>144700268968</v>
      </c>
      <c r="N174" s="8">
        <v>117370750383</v>
      </c>
      <c r="Y174" s="26"/>
      <c r="Z174" s="7">
        <v>257277777778</v>
      </c>
      <c r="AA174" s="7">
        <v>120000000000</v>
      </c>
      <c r="AB174" s="39"/>
      <c r="AC174" s="39"/>
      <c r="AD174" s="26"/>
      <c r="AE174" s="10">
        <v>1500000000</v>
      </c>
      <c r="AF174" s="10">
        <v>1500000000</v>
      </c>
      <c r="AG174" s="10">
        <v>1500000000</v>
      </c>
      <c r="AH174" s="8">
        <v>1500000000</v>
      </c>
    </row>
    <row r="175" spans="1:34" x14ac:dyDescent="0.25">
      <c r="A175" s="5">
        <v>173</v>
      </c>
      <c r="B175" s="5" t="s">
        <v>356</v>
      </c>
      <c r="C175" s="5" t="s">
        <v>357</v>
      </c>
      <c r="D175" s="6">
        <v>41828</v>
      </c>
      <c r="E175" s="7">
        <v>204476568540</v>
      </c>
      <c r="F175" s="7">
        <v>88838496383</v>
      </c>
      <c r="G175" s="7">
        <v>6805984418</v>
      </c>
      <c r="H175" s="8">
        <v>139772224977</v>
      </c>
      <c r="I175" s="8">
        <v>136631700935</v>
      </c>
      <c r="J175" s="16">
        <v>-36887821525</v>
      </c>
      <c r="K175" s="16">
        <v>-121648352901</v>
      </c>
      <c r="L175" s="7">
        <v>56505757661</v>
      </c>
      <c r="M175" s="8">
        <v>-25934090712</v>
      </c>
      <c r="N175" s="23">
        <v>-11779760852</v>
      </c>
      <c r="Y175" s="38"/>
      <c r="Z175" s="38"/>
      <c r="AA175" s="38"/>
      <c r="AB175" s="29"/>
      <c r="AC175" s="39"/>
      <c r="AD175" s="9">
        <v>1003080977</v>
      </c>
      <c r="AE175" s="9">
        <v>1003080977</v>
      </c>
      <c r="AF175" s="9">
        <v>1003080977</v>
      </c>
      <c r="AG175" s="9">
        <v>1003080977</v>
      </c>
      <c r="AH175" s="9">
        <v>3410475322</v>
      </c>
    </row>
    <row r="176" spans="1:34" x14ac:dyDescent="0.25">
      <c r="A176" s="5">
        <v>174</v>
      </c>
      <c r="B176" s="5" t="s">
        <v>358</v>
      </c>
      <c r="C176" s="5" t="s">
        <v>359</v>
      </c>
      <c r="D176" s="6">
        <v>34351</v>
      </c>
      <c r="E176" s="7">
        <v>2889501000000</v>
      </c>
      <c r="F176" s="7">
        <v>2896950000000</v>
      </c>
      <c r="G176" s="9">
        <v>2907425000000</v>
      </c>
      <c r="H176" s="17">
        <v>2922017000000</v>
      </c>
      <c r="I176" s="17">
        <v>3374502000000</v>
      </c>
      <c r="J176" s="7">
        <v>1224807000000</v>
      </c>
      <c r="K176" s="7">
        <v>1206059000000</v>
      </c>
      <c r="L176" s="9">
        <v>285617000000</v>
      </c>
      <c r="M176" s="17">
        <v>665850000000</v>
      </c>
      <c r="N176" s="17">
        <v>924906000000</v>
      </c>
      <c r="Y176" s="7">
        <f>1125138000000+272000000</f>
        <v>1125410000000</v>
      </c>
      <c r="Z176" s="7">
        <v>1228603000000</v>
      </c>
      <c r="AA176" s="39"/>
      <c r="AB176" s="9">
        <v>1000913000000</v>
      </c>
      <c r="AC176" s="9">
        <f>951205000000+27000000</f>
        <v>951232000000</v>
      </c>
      <c r="AD176" s="9">
        <v>2107000000</v>
      </c>
      <c r="AE176" s="9">
        <v>2107000000</v>
      </c>
      <c r="AF176" s="9">
        <v>2107000000</v>
      </c>
      <c r="AG176" s="9">
        <v>2107000000</v>
      </c>
      <c r="AH176" s="17">
        <v>2107000000</v>
      </c>
    </row>
    <row r="177" spans="1:34" x14ac:dyDescent="0.25">
      <c r="A177" s="5">
        <v>175</v>
      </c>
      <c r="B177" s="5" t="s">
        <v>360</v>
      </c>
      <c r="C177" s="5" t="s">
        <v>361</v>
      </c>
      <c r="D177" s="6">
        <v>33058</v>
      </c>
      <c r="E177" s="7">
        <v>17591706426634</v>
      </c>
      <c r="F177" s="7">
        <v>19037918806473</v>
      </c>
      <c r="G177" s="7">
        <v>19777500514550</v>
      </c>
      <c r="H177" s="8">
        <v>19917653265528</v>
      </c>
      <c r="I177" s="8">
        <v>22276160695411</v>
      </c>
      <c r="J177" s="7">
        <v>1760434280304</v>
      </c>
      <c r="K177" s="7">
        <v>2051404206764</v>
      </c>
      <c r="L177" s="7">
        <v>2098168514645</v>
      </c>
      <c r="M177" s="17">
        <v>1211052647953</v>
      </c>
      <c r="N177" s="8">
        <v>1970064538149</v>
      </c>
      <c r="Y177" s="7">
        <f>603684892575+12865125000</f>
        <v>616550017575</v>
      </c>
      <c r="Z177" s="7">
        <v>662654792025</v>
      </c>
      <c r="AA177" s="7">
        <v>685013491750</v>
      </c>
      <c r="AB177" s="9">
        <f>1162652385700+44109000000</f>
        <v>1206761385700</v>
      </c>
      <c r="AC177" s="9">
        <f>469532694225+63568812500</f>
        <v>533101506725</v>
      </c>
      <c r="AD177" s="9">
        <v>22358699725</v>
      </c>
      <c r="AE177" s="9">
        <v>22358699725</v>
      </c>
      <c r="AF177" s="9">
        <v>22358699725</v>
      </c>
      <c r="AG177" s="9">
        <v>22358699725</v>
      </c>
      <c r="AH177" s="9">
        <v>22358699725</v>
      </c>
    </row>
    <row r="178" spans="1:34" x14ac:dyDescent="0.25">
      <c r="A178" s="5">
        <v>176</v>
      </c>
      <c r="B178" s="50" t="s">
        <v>362</v>
      </c>
      <c r="C178" s="50" t="s">
        <v>363</v>
      </c>
      <c r="D178" s="6">
        <v>44543</v>
      </c>
      <c r="E178" s="26"/>
      <c r="F178" s="26"/>
      <c r="G178" s="26"/>
      <c r="H178" s="8">
        <v>67761107871</v>
      </c>
      <c r="I178" s="8">
        <v>70220263356</v>
      </c>
      <c r="J178" s="26"/>
      <c r="K178" s="26"/>
      <c r="L178" s="26"/>
      <c r="M178" s="9">
        <v>532665673</v>
      </c>
      <c r="N178" s="7">
        <v>1032151378</v>
      </c>
      <c r="Y178" s="26"/>
      <c r="Z178" s="26"/>
      <c r="AA178" s="26"/>
      <c r="AB178" s="21"/>
      <c r="AC178" s="26"/>
      <c r="AD178" s="26"/>
      <c r="AE178" s="26"/>
      <c r="AF178" s="26"/>
      <c r="AG178" s="26"/>
      <c r="AH178" s="55">
        <v>807400000</v>
      </c>
    </row>
    <row r="179" spans="1:34" x14ac:dyDescent="0.25">
      <c r="A179" s="5">
        <v>177</v>
      </c>
      <c r="B179" s="5" t="s">
        <v>364</v>
      </c>
      <c r="C179" s="5" t="s">
        <v>365</v>
      </c>
      <c r="D179" s="6">
        <v>43361</v>
      </c>
      <c r="E179" s="7">
        <v>149593161546</v>
      </c>
      <c r="F179" s="7">
        <v>119708955785</v>
      </c>
      <c r="G179" s="7">
        <v>112591210595</v>
      </c>
      <c r="H179" s="7">
        <v>13296259876000</v>
      </c>
      <c r="I179" s="7">
        <v>15938444031000</v>
      </c>
      <c r="J179" s="7">
        <v>1175166829</v>
      </c>
      <c r="K179" s="16">
        <v>-727591568</v>
      </c>
      <c r="L179" s="16">
        <v>-539926618</v>
      </c>
      <c r="M179" s="7">
        <v>1680076000</v>
      </c>
      <c r="N179" s="7">
        <v>288311135000</v>
      </c>
      <c r="Y179" s="21"/>
      <c r="Z179" s="21"/>
      <c r="AA179" s="21"/>
      <c r="AB179" s="39"/>
      <c r="AC179" s="39"/>
      <c r="AD179" s="10">
        <v>410000000</v>
      </c>
      <c r="AE179" s="10">
        <v>410000000</v>
      </c>
      <c r="AF179" s="10">
        <v>410000000</v>
      </c>
      <c r="AG179" s="10">
        <v>410000000</v>
      </c>
      <c r="AH179" s="17">
        <v>13530000000</v>
      </c>
    </row>
    <row r="180" spans="1:34" x14ac:dyDescent="0.25">
      <c r="A180" s="5">
        <v>178</v>
      </c>
      <c r="B180" s="5" t="s">
        <v>366</v>
      </c>
      <c r="C180" s="5" t="s">
        <v>367</v>
      </c>
      <c r="D180" s="6">
        <v>43098</v>
      </c>
      <c r="E180" s="7">
        <v>117423511774</v>
      </c>
      <c r="F180" s="7">
        <v>124735506556</v>
      </c>
      <c r="G180" s="7">
        <v>103351122210</v>
      </c>
      <c r="H180" s="7">
        <v>100382982900</v>
      </c>
      <c r="I180" s="7">
        <v>102809758188</v>
      </c>
      <c r="J180" s="16">
        <v>-8385167515</v>
      </c>
      <c r="K180" s="16">
        <v>-10257599104</v>
      </c>
      <c r="L180" s="16">
        <v>-15957991606</v>
      </c>
      <c r="M180" s="7">
        <v>1278943528</v>
      </c>
      <c r="N180" s="7">
        <v>4932754628</v>
      </c>
      <c r="Y180" s="21"/>
      <c r="Z180" s="21"/>
      <c r="AA180" s="21"/>
      <c r="AB180" s="39"/>
      <c r="AC180" s="39"/>
      <c r="AD180" s="10">
        <v>1166666700</v>
      </c>
      <c r="AE180" s="10">
        <v>1166666700</v>
      </c>
      <c r="AF180" s="10">
        <v>1166666700</v>
      </c>
      <c r="AG180" s="10">
        <v>1166666700</v>
      </c>
      <c r="AH180" s="10">
        <v>1166666700</v>
      </c>
    </row>
    <row r="181" spans="1:34" ht="28.5" x14ac:dyDescent="0.25">
      <c r="A181" s="5">
        <v>179</v>
      </c>
      <c r="B181" s="53" t="s">
        <v>368</v>
      </c>
      <c r="C181" s="54" t="s">
        <v>369</v>
      </c>
      <c r="D181" s="6">
        <v>44183</v>
      </c>
      <c r="E181" s="20"/>
      <c r="F181" s="20"/>
      <c r="G181" s="13">
        <v>248134573</v>
      </c>
      <c r="H181" s="24">
        <v>268577438</v>
      </c>
      <c r="I181" s="24">
        <v>297508053</v>
      </c>
      <c r="J181" s="20"/>
      <c r="K181" s="20"/>
      <c r="L181" s="13">
        <v>10249473</v>
      </c>
      <c r="M181" s="24">
        <v>9294368</v>
      </c>
      <c r="N181" s="24">
        <v>7543323</v>
      </c>
      <c r="Y181" s="26"/>
      <c r="Z181" s="26"/>
      <c r="AA181" s="21"/>
      <c r="AB181" s="9">
        <v>491837</v>
      </c>
      <c r="AC181" s="39"/>
      <c r="AD181" s="20"/>
      <c r="AE181" s="20"/>
      <c r="AF181" s="10">
        <v>2353000000</v>
      </c>
      <c r="AG181" s="10">
        <v>2353000000</v>
      </c>
      <c r="AH181" s="10">
        <v>2353000000</v>
      </c>
    </row>
    <row r="182" spans="1:34" x14ac:dyDescent="0.25">
      <c r="A182" s="5">
        <v>180</v>
      </c>
      <c r="B182" s="5" t="s">
        <v>370</v>
      </c>
      <c r="C182" s="5" t="s">
        <v>371</v>
      </c>
      <c r="D182" s="6">
        <v>34625</v>
      </c>
      <c r="E182" s="7">
        <v>697657400651</v>
      </c>
      <c r="F182" s="7">
        <v>763492320252</v>
      </c>
      <c r="G182" s="7">
        <v>765375539783</v>
      </c>
      <c r="H182" s="8">
        <v>707396790275</v>
      </c>
      <c r="I182" s="8">
        <v>705620167464</v>
      </c>
      <c r="J182" s="16">
        <v>-46599426588</v>
      </c>
      <c r="K182" s="16">
        <v>-25762573884</v>
      </c>
      <c r="L182" s="16">
        <v>-52304824027</v>
      </c>
      <c r="M182" s="18">
        <v>-82495584993</v>
      </c>
      <c r="N182" s="18">
        <v>-25834965122</v>
      </c>
      <c r="Y182" s="7">
        <v>15358564525</v>
      </c>
      <c r="Z182" s="7">
        <v>38561559075</v>
      </c>
      <c r="AA182" s="21"/>
      <c r="AB182" s="39"/>
      <c r="AC182" s="39"/>
      <c r="AD182" s="9">
        <v>1440000000</v>
      </c>
      <c r="AE182" s="9">
        <v>1440000000</v>
      </c>
      <c r="AF182" s="9">
        <v>1440000000</v>
      </c>
      <c r="AG182" s="9">
        <v>1440000000</v>
      </c>
      <c r="AH182" s="9">
        <v>1440000000</v>
      </c>
    </row>
    <row r="183" spans="1:34" x14ac:dyDescent="0.25">
      <c r="A183" s="5">
        <v>181</v>
      </c>
      <c r="B183" s="5" t="s">
        <v>372</v>
      </c>
      <c r="C183" s="5" t="s">
        <v>373</v>
      </c>
      <c r="D183" s="6">
        <v>43794</v>
      </c>
      <c r="E183" s="26"/>
      <c r="F183" s="7">
        <v>3255607109573</v>
      </c>
      <c r="G183" s="7">
        <v>3401723398441</v>
      </c>
      <c r="H183" s="8">
        <v>3731907652769</v>
      </c>
      <c r="I183" s="8">
        <v>4140857067187</v>
      </c>
      <c r="J183" s="26"/>
      <c r="K183" s="16">
        <v>-160987619452</v>
      </c>
      <c r="L183" s="7">
        <v>26500634368</v>
      </c>
      <c r="M183" s="8">
        <v>213841959820</v>
      </c>
      <c r="N183" s="8">
        <v>257682130697</v>
      </c>
      <c r="Y183" s="26"/>
      <c r="Z183" s="21"/>
      <c r="AA183" s="21"/>
      <c r="AB183" s="39"/>
      <c r="AC183" s="39"/>
      <c r="AD183" s="26"/>
      <c r="AE183" s="10">
        <v>18850000000</v>
      </c>
      <c r="AF183" s="10">
        <v>18850000000</v>
      </c>
      <c r="AG183" s="10">
        <v>18850000000</v>
      </c>
      <c r="AH183" s="10">
        <v>18850000000</v>
      </c>
    </row>
    <row r="184" spans="1:34" x14ac:dyDescent="0.25">
      <c r="A184" s="5">
        <v>182</v>
      </c>
      <c r="B184" s="5" t="s">
        <v>374</v>
      </c>
      <c r="C184" s="5" t="s">
        <v>375</v>
      </c>
      <c r="D184" s="6">
        <v>40357</v>
      </c>
      <c r="E184" s="7">
        <v>4393810380883</v>
      </c>
      <c r="F184" s="7">
        <v>4682083844951</v>
      </c>
      <c r="G184" s="9">
        <v>4452166671985</v>
      </c>
      <c r="H184" s="17">
        <v>4191284422677</v>
      </c>
      <c r="I184" s="17">
        <v>4130321616083</v>
      </c>
      <c r="J184" s="7">
        <v>127171436363</v>
      </c>
      <c r="K184" s="7">
        <v>236518557420</v>
      </c>
      <c r="L184" s="9">
        <v>168610282478</v>
      </c>
      <c r="M184" s="17">
        <v>283602993676</v>
      </c>
      <c r="N184" s="8">
        <v>432247722254</v>
      </c>
      <c r="Y184" s="7">
        <v>36005365328</v>
      </c>
      <c r="Z184" s="7">
        <v>59724779679</v>
      </c>
      <c r="AA184" s="9">
        <v>149528741987</v>
      </c>
      <c r="AB184" s="9">
        <v>297289648543</v>
      </c>
      <c r="AC184" s="9">
        <v>346139578657</v>
      </c>
      <c r="AD184" s="9">
        <v>6186488888</v>
      </c>
      <c r="AE184" s="9">
        <v>6186488888</v>
      </c>
      <c r="AF184" s="9">
        <v>6186488888</v>
      </c>
      <c r="AG184" s="10">
        <v>6186488888</v>
      </c>
      <c r="AH184" s="10">
        <v>6186488888</v>
      </c>
    </row>
    <row r="185" spans="1:34" x14ac:dyDescent="0.25">
      <c r="A185" s="5">
        <v>183</v>
      </c>
      <c r="B185" s="5" t="s">
        <v>376</v>
      </c>
      <c r="C185" s="5" t="s">
        <v>377</v>
      </c>
      <c r="D185" s="6">
        <v>41180</v>
      </c>
      <c r="E185" s="7">
        <v>1771365972009</v>
      </c>
      <c r="F185" s="7">
        <v>1820383352811</v>
      </c>
      <c r="G185" s="7">
        <v>1768660546754</v>
      </c>
      <c r="H185" s="8">
        <v>1970428120056</v>
      </c>
      <c r="I185" s="8">
        <v>2042199577083</v>
      </c>
      <c r="J185" s="7">
        <v>15954632472</v>
      </c>
      <c r="K185" s="7">
        <v>957169058</v>
      </c>
      <c r="L185" s="7">
        <v>5415741808</v>
      </c>
      <c r="M185" s="8">
        <v>29707421605</v>
      </c>
      <c r="N185" s="8">
        <v>86635603936</v>
      </c>
      <c r="Y185" s="38"/>
      <c r="Z185" s="38"/>
      <c r="AA185" s="38"/>
      <c r="AB185" s="9">
        <v>2076123860</v>
      </c>
      <c r="AC185" s="8">
        <v>2076123860</v>
      </c>
      <c r="AD185" s="9">
        <v>1726003217</v>
      </c>
      <c r="AE185" s="9">
        <v>1726003217</v>
      </c>
      <c r="AF185" s="9">
        <v>1726003217</v>
      </c>
      <c r="AG185" s="10">
        <v>1726003217</v>
      </c>
      <c r="AH185" s="8">
        <v>1730103217</v>
      </c>
    </row>
    <row r="186" spans="1:34" x14ac:dyDescent="0.25">
      <c r="A186" s="5">
        <v>184</v>
      </c>
      <c r="B186" s="5" t="s">
        <v>378</v>
      </c>
      <c r="C186" s="5" t="s">
        <v>379</v>
      </c>
      <c r="D186" s="6">
        <v>34220</v>
      </c>
      <c r="E186" s="7">
        <v>747293725435</v>
      </c>
      <c r="F186" s="7">
        <v>790845543826</v>
      </c>
      <c r="G186" s="7">
        <v>773863042440</v>
      </c>
      <c r="H186" s="17">
        <v>889125250792</v>
      </c>
      <c r="I186" s="17">
        <v>1033289474829</v>
      </c>
      <c r="J186" s="7">
        <v>31954131252</v>
      </c>
      <c r="K186" s="7">
        <v>44943627900</v>
      </c>
      <c r="L186" s="7">
        <v>42520246722</v>
      </c>
      <c r="M186" s="17">
        <v>84524160228</v>
      </c>
      <c r="N186" s="17">
        <v>74865302076</v>
      </c>
      <c r="Y186" s="7">
        <v>4351665150</v>
      </c>
      <c r="Z186" s="7">
        <v>5594998050</v>
      </c>
      <c r="AA186" s="7">
        <v>9324996750</v>
      </c>
      <c r="AB186" s="9">
        <v>9324996750</v>
      </c>
      <c r="AC186" s="17">
        <v>29841405600</v>
      </c>
      <c r="AD186" s="9">
        <v>690740500</v>
      </c>
      <c r="AE186" s="9">
        <v>690740500</v>
      </c>
      <c r="AF186" s="17">
        <v>690740500</v>
      </c>
      <c r="AG186" s="9">
        <v>690740500</v>
      </c>
      <c r="AH186" s="9">
        <v>690740500</v>
      </c>
    </row>
    <row r="187" spans="1:34" x14ac:dyDescent="0.25">
      <c r="A187" s="5">
        <v>185</v>
      </c>
      <c r="B187" s="5" t="s">
        <v>380</v>
      </c>
      <c r="C187" s="5" t="s">
        <v>381</v>
      </c>
      <c r="D187" s="6">
        <v>35415</v>
      </c>
      <c r="E187" s="7">
        <v>2631189810030</v>
      </c>
      <c r="F187" s="7">
        <v>2881563083954</v>
      </c>
      <c r="G187" s="7">
        <v>3448995059882</v>
      </c>
      <c r="H187" s="7">
        <v>3919243683748</v>
      </c>
      <c r="I187" s="7">
        <v>4590737849889</v>
      </c>
      <c r="J187" s="7">
        <v>255088886019</v>
      </c>
      <c r="K187" s="7">
        <v>482590522840</v>
      </c>
      <c r="L187" s="7">
        <v>628628879549</v>
      </c>
      <c r="M187" s="7">
        <v>617573766863</v>
      </c>
      <c r="N187" s="7">
        <v>624524005786</v>
      </c>
      <c r="Y187" s="38"/>
      <c r="Z187" s="38"/>
      <c r="AA187" s="7">
        <v>100005400000</v>
      </c>
      <c r="AB187" s="39"/>
      <c r="AC187" s="39"/>
      <c r="AD187" s="9">
        <v>1310000000</v>
      </c>
      <c r="AE187" s="9">
        <v>1310000000</v>
      </c>
      <c r="AF187" s="9">
        <v>1310000000</v>
      </c>
      <c r="AG187" s="9">
        <v>1310000000</v>
      </c>
      <c r="AH187" s="9">
        <v>1310000000</v>
      </c>
    </row>
    <row r="188" spans="1:34" x14ac:dyDescent="0.25">
      <c r="A188" s="5">
        <v>186</v>
      </c>
      <c r="B188" s="50" t="s">
        <v>382</v>
      </c>
      <c r="C188" s="50" t="s">
        <v>383</v>
      </c>
      <c r="D188" s="6">
        <v>44536</v>
      </c>
      <c r="E188" s="26"/>
      <c r="F188" s="26"/>
      <c r="G188" s="26"/>
      <c r="H188" s="7">
        <v>377422657739</v>
      </c>
      <c r="I188" s="7">
        <v>407707959296</v>
      </c>
      <c r="J188" s="26"/>
      <c r="K188" s="26"/>
      <c r="L188" s="26"/>
      <c r="M188" s="9">
        <v>4911439431</v>
      </c>
      <c r="N188" s="9">
        <v>7732743618</v>
      </c>
      <c r="Y188" s="26"/>
      <c r="Z188" s="26"/>
      <c r="AA188" s="26"/>
      <c r="AB188" s="39"/>
      <c r="AC188" s="39"/>
      <c r="AD188" s="26"/>
      <c r="AE188" s="26"/>
      <c r="AF188" s="26"/>
      <c r="AG188" s="9">
        <v>1098920000</v>
      </c>
      <c r="AH188" s="9">
        <v>1098920000</v>
      </c>
    </row>
    <row r="189" spans="1:34" x14ac:dyDescent="0.25">
      <c r="A189" s="5">
        <v>187</v>
      </c>
      <c r="B189" s="11" t="s">
        <v>384</v>
      </c>
      <c r="C189" s="11" t="s">
        <v>385</v>
      </c>
      <c r="D189" s="6" t="s">
        <v>86</v>
      </c>
      <c r="E189" s="26"/>
      <c r="F189" s="26"/>
      <c r="G189" s="12"/>
      <c r="H189" s="12"/>
      <c r="I189" s="7">
        <v>3527440735311</v>
      </c>
      <c r="J189" s="26"/>
      <c r="K189" s="26"/>
      <c r="L189" s="12"/>
      <c r="M189" s="12"/>
      <c r="N189" s="7">
        <v>49687918287</v>
      </c>
      <c r="Y189" s="26"/>
      <c r="Z189" s="26"/>
      <c r="AA189" s="26"/>
      <c r="AB189" s="26"/>
      <c r="AC189" s="39"/>
      <c r="AD189" s="26"/>
      <c r="AE189" s="26"/>
      <c r="AF189" s="26"/>
      <c r="AG189" s="26"/>
      <c r="AH189" s="9">
        <v>7945412700</v>
      </c>
    </row>
    <row r="190" spans="1:34" x14ac:dyDescent="0.25">
      <c r="A190" s="5">
        <v>188</v>
      </c>
      <c r="B190" s="5" t="s">
        <v>386</v>
      </c>
      <c r="C190" s="5" t="s">
        <v>387</v>
      </c>
      <c r="D190" s="6">
        <v>33056</v>
      </c>
      <c r="E190" s="7">
        <v>5555871000000</v>
      </c>
      <c r="F190" s="7">
        <v>6608422000000</v>
      </c>
      <c r="G190" s="9">
        <v>8754116000000</v>
      </c>
      <c r="H190" s="17">
        <v>7406856000000</v>
      </c>
      <c r="I190" s="8">
        <v>7376375000000</v>
      </c>
      <c r="J190" s="7">
        <v>701607000000</v>
      </c>
      <c r="K190" s="7">
        <v>1035865000000</v>
      </c>
      <c r="L190" s="9">
        <v>1109666000000</v>
      </c>
      <c r="M190" s="17">
        <v>1276793000000</v>
      </c>
      <c r="N190" s="8">
        <v>965486000000</v>
      </c>
      <c r="Y190" s="7">
        <v>1251000000</v>
      </c>
      <c r="Z190" s="7">
        <v>150042000000</v>
      </c>
      <c r="AA190" s="7">
        <v>136678000000</v>
      </c>
      <c r="AB190" s="9">
        <v>894810000000</v>
      </c>
      <c r="AC190" s="8">
        <v>271804000000</v>
      </c>
      <c r="AD190" s="9">
        <v>11553528000</v>
      </c>
      <c r="AE190" s="9">
        <v>11553528000</v>
      </c>
      <c r="AF190" s="9">
        <v>11553528000</v>
      </c>
      <c r="AG190" s="9">
        <v>11553528000</v>
      </c>
      <c r="AH190" s="9">
        <v>11553528000</v>
      </c>
    </row>
    <row r="191" spans="1:34" x14ac:dyDescent="0.25">
      <c r="A191" s="5">
        <v>189</v>
      </c>
      <c r="B191" s="50" t="s">
        <v>388</v>
      </c>
      <c r="C191" s="50" t="s">
        <v>389</v>
      </c>
      <c r="D191" s="6">
        <v>44536</v>
      </c>
      <c r="E191" s="26"/>
      <c r="F191" s="26"/>
      <c r="G191" s="26"/>
      <c r="H191" s="9">
        <v>5656783727367</v>
      </c>
      <c r="I191" s="9">
        <v>6070418948982</v>
      </c>
      <c r="J191" s="26"/>
      <c r="K191" s="26"/>
      <c r="L191" s="26"/>
      <c r="M191" s="9">
        <v>301834684569</v>
      </c>
      <c r="N191" s="16">
        <v>-317071200358</v>
      </c>
      <c r="Y191" s="26"/>
      <c r="Z191" s="26"/>
      <c r="AA191" s="26"/>
      <c r="AB191" s="39"/>
      <c r="AC191" s="8">
        <v>4926551196</v>
      </c>
      <c r="AD191" s="26"/>
      <c r="AE191" s="26"/>
      <c r="AF191" s="26"/>
      <c r="AG191" s="9">
        <v>29419000000</v>
      </c>
      <c r="AH191" s="9">
        <v>29419000000</v>
      </c>
    </row>
    <row r="192" spans="1:34" x14ac:dyDescent="0.25">
      <c r="A192" s="5">
        <v>190</v>
      </c>
      <c r="B192" s="50" t="s">
        <v>390</v>
      </c>
      <c r="C192" s="50" t="s">
        <v>391</v>
      </c>
      <c r="D192" s="6">
        <v>44229</v>
      </c>
      <c r="E192" s="26"/>
      <c r="F192" s="26"/>
      <c r="G192" s="26"/>
      <c r="H192" s="17">
        <v>2313131077756</v>
      </c>
      <c r="I192" s="17">
        <v>2710571959100</v>
      </c>
      <c r="J192" s="26"/>
      <c r="K192" s="26"/>
      <c r="L192" s="26"/>
      <c r="M192" s="17">
        <v>209828001383</v>
      </c>
      <c r="N192" s="18">
        <v>-9631554707</v>
      </c>
      <c r="Y192" s="26"/>
      <c r="Z192" s="26"/>
      <c r="AA192" s="26"/>
      <c r="AB192" s="39"/>
      <c r="AC192" s="9">
        <v>20964047651</v>
      </c>
      <c r="AD192" s="20"/>
      <c r="AE192" s="20"/>
      <c r="AF192" s="56"/>
      <c r="AG192" s="9">
        <v>11000000000</v>
      </c>
      <c r="AH192" s="9">
        <v>11000000000</v>
      </c>
    </row>
    <row r="193" spans="1:34" x14ac:dyDescent="0.25">
      <c r="A193" s="5">
        <v>191</v>
      </c>
      <c r="B193" s="5" t="s">
        <v>392</v>
      </c>
      <c r="C193" s="5" t="s">
        <v>393</v>
      </c>
      <c r="D193" s="6">
        <v>33112</v>
      </c>
      <c r="E193" s="7">
        <v>69097219000000</v>
      </c>
      <c r="F193" s="7">
        <v>78647274000000</v>
      </c>
      <c r="G193" s="7">
        <v>78191409000000</v>
      </c>
      <c r="H193" s="8">
        <v>89964369000000</v>
      </c>
      <c r="I193" s="8">
        <v>88562617000000</v>
      </c>
      <c r="J193" s="7">
        <v>7793068000000</v>
      </c>
      <c r="K193" s="7">
        <v>10880704000000</v>
      </c>
      <c r="L193" s="7">
        <v>7647729000000</v>
      </c>
      <c r="M193" s="8">
        <v>5605321000000</v>
      </c>
      <c r="N193" s="8">
        <v>2779742000000</v>
      </c>
      <c r="Y193" s="7">
        <v>5015990000000</v>
      </c>
      <c r="Z193" s="7">
        <v>5002629000000</v>
      </c>
      <c r="AA193" s="38"/>
      <c r="AB193" s="7">
        <v>5002629000000</v>
      </c>
      <c r="AC193" s="9">
        <v>4329198000000</v>
      </c>
      <c r="AD193" s="9">
        <v>1924088000</v>
      </c>
      <c r="AE193" s="9">
        <v>1924088000</v>
      </c>
      <c r="AF193" s="9">
        <v>1924088000</v>
      </c>
      <c r="AG193" s="9">
        <v>1924088000</v>
      </c>
      <c r="AH193" s="9">
        <v>1924088000</v>
      </c>
    </row>
    <row r="194" spans="1:34" x14ac:dyDescent="0.25">
      <c r="A194" s="5">
        <v>192</v>
      </c>
      <c r="B194" s="5" t="s">
        <v>394</v>
      </c>
      <c r="C194" s="5" t="s">
        <v>395</v>
      </c>
      <c r="D194" s="6">
        <v>33100</v>
      </c>
      <c r="E194" s="7">
        <v>46602420000000</v>
      </c>
      <c r="F194" s="7">
        <v>50902806000000</v>
      </c>
      <c r="G194" s="9">
        <v>49674030000000</v>
      </c>
      <c r="H194" s="17">
        <v>53090428000000</v>
      </c>
      <c r="I194" s="17">
        <v>54786992000000</v>
      </c>
      <c r="J194" s="7">
        <v>13538418000000</v>
      </c>
      <c r="K194" s="7">
        <v>13721513000000</v>
      </c>
      <c r="L194" s="9">
        <v>8581378000000</v>
      </c>
      <c r="M194" s="17">
        <v>7137097000000</v>
      </c>
      <c r="N194" s="17">
        <v>6323744000000</v>
      </c>
      <c r="Y194" s="7">
        <v>12480930000000</v>
      </c>
      <c r="Z194" s="7">
        <v>13632478000000</v>
      </c>
      <c r="AA194" s="9">
        <v>13934906000000</v>
      </c>
      <c r="AB194" s="9">
        <v>8467956000000</v>
      </c>
      <c r="AC194" s="9">
        <v>7362934000000</v>
      </c>
      <c r="AD194" s="9">
        <v>116318076900</v>
      </c>
      <c r="AE194" s="9">
        <v>116318076900</v>
      </c>
      <c r="AF194" s="9">
        <v>116318076900</v>
      </c>
      <c r="AG194" s="10">
        <v>116318076900</v>
      </c>
      <c r="AH194" s="17">
        <v>116318076900</v>
      </c>
    </row>
    <row r="195" spans="1:34" x14ac:dyDescent="0.25">
      <c r="A195" s="5">
        <v>193</v>
      </c>
      <c r="B195" s="5" t="s">
        <v>396</v>
      </c>
      <c r="C195" s="5" t="s">
        <v>397</v>
      </c>
      <c r="D195" s="6">
        <v>43650</v>
      </c>
      <c r="E195" s="26"/>
      <c r="F195" s="7">
        <v>447811735070</v>
      </c>
      <c r="G195" s="7">
        <v>505077168839</v>
      </c>
      <c r="H195" s="8">
        <v>526704173504</v>
      </c>
      <c r="I195" s="8">
        <v>553207312282</v>
      </c>
      <c r="J195" s="26"/>
      <c r="K195" s="16">
        <v>-7000145820</v>
      </c>
      <c r="L195" s="7">
        <v>6120040212</v>
      </c>
      <c r="M195" s="8">
        <v>18368616642</v>
      </c>
      <c r="N195" s="8">
        <v>23952323176</v>
      </c>
      <c r="Y195" s="26"/>
      <c r="Z195" s="21"/>
      <c r="AA195" s="21"/>
      <c r="AB195" s="39"/>
      <c r="AC195" s="39"/>
      <c r="AD195" s="26"/>
      <c r="AE195" s="10">
        <v>940720000</v>
      </c>
      <c r="AF195" s="10">
        <v>940720000</v>
      </c>
      <c r="AG195" s="10">
        <v>940720000</v>
      </c>
      <c r="AH195" s="10">
        <v>940720000</v>
      </c>
    </row>
    <row r="196" spans="1:34" x14ac:dyDescent="0.25">
      <c r="A196" s="5">
        <v>194</v>
      </c>
      <c r="B196" s="5" t="s">
        <v>398</v>
      </c>
      <c r="C196" s="5" t="s">
        <v>399</v>
      </c>
      <c r="D196" s="6">
        <v>41261</v>
      </c>
      <c r="E196" s="7">
        <v>1255573914558</v>
      </c>
      <c r="F196" s="7">
        <v>1299521608556</v>
      </c>
      <c r="G196" s="7">
        <v>1614442007528</v>
      </c>
      <c r="H196" s="8">
        <v>1891169731202</v>
      </c>
      <c r="I196" s="8">
        <v>2168793843296</v>
      </c>
      <c r="J196" s="7">
        <v>51142850919</v>
      </c>
      <c r="K196" s="7">
        <v>27328091481</v>
      </c>
      <c r="L196" s="7">
        <v>172506562986</v>
      </c>
      <c r="M196" s="8">
        <v>176877010231</v>
      </c>
      <c r="N196" s="8">
        <v>249644129079</v>
      </c>
      <c r="Y196" s="21"/>
      <c r="Z196" s="7">
        <v>5262051350</v>
      </c>
      <c r="AA196" s="7">
        <v>7396640460</v>
      </c>
      <c r="AB196" s="9">
        <v>43107835060</v>
      </c>
      <c r="AC196" s="8">
        <v>45442956384</v>
      </c>
      <c r="AD196" s="9">
        <v>2099873760</v>
      </c>
      <c r="AE196" s="9">
        <v>2099873760</v>
      </c>
      <c r="AF196" s="9">
        <v>2099873760</v>
      </c>
      <c r="AG196" s="10">
        <v>2099873760</v>
      </c>
      <c r="AH196" s="8">
        <v>2099873760</v>
      </c>
    </row>
    <row r="197" spans="1:34" x14ac:dyDescent="0.25">
      <c r="A197" s="5">
        <v>195</v>
      </c>
      <c r="B197" s="5" t="s">
        <v>400</v>
      </c>
      <c r="C197" s="5" t="s">
        <v>401</v>
      </c>
      <c r="D197" s="6">
        <v>34649</v>
      </c>
      <c r="E197" s="7">
        <v>1682821739000</v>
      </c>
      <c r="F197" s="7">
        <v>1829960714000</v>
      </c>
      <c r="G197" s="9">
        <v>1986711872000</v>
      </c>
      <c r="H197" s="8">
        <v>2082911322000</v>
      </c>
      <c r="I197" s="8">
        <v>2009139485000</v>
      </c>
      <c r="J197" s="7">
        <v>200651968000</v>
      </c>
      <c r="K197" s="7">
        <v>221783249000</v>
      </c>
      <c r="L197" s="9">
        <v>162072984000</v>
      </c>
      <c r="M197" s="8">
        <v>146505337000</v>
      </c>
      <c r="N197" s="8">
        <v>149375011000</v>
      </c>
      <c r="Y197" s="7">
        <v>119406233000</v>
      </c>
      <c r="Z197" s="7">
        <v>119618582000</v>
      </c>
      <c r="AA197" s="9">
        <v>119840000000</v>
      </c>
      <c r="AB197" s="9">
        <v>125440000000</v>
      </c>
      <c r="AC197" s="9">
        <v>125440000000</v>
      </c>
      <c r="AD197" s="9">
        <v>1120000000</v>
      </c>
      <c r="AE197" s="9">
        <v>1120000000</v>
      </c>
      <c r="AF197" s="9">
        <v>1120000000</v>
      </c>
      <c r="AG197" s="10">
        <v>1120000000</v>
      </c>
      <c r="AH197" s="8">
        <v>1120000000</v>
      </c>
    </row>
    <row r="198" spans="1:34" x14ac:dyDescent="0.25">
      <c r="A198" s="5">
        <v>196</v>
      </c>
      <c r="B198" s="5" t="s">
        <v>402</v>
      </c>
      <c r="C198" s="5" t="s">
        <v>403</v>
      </c>
      <c r="D198" s="6">
        <v>36998</v>
      </c>
      <c r="E198" s="7">
        <v>1442350608575</v>
      </c>
      <c r="F198" s="7">
        <v>1383935194386</v>
      </c>
      <c r="G198" s="7">
        <v>1713334658849</v>
      </c>
      <c r="H198" s="8">
        <v>2011879396142</v>
      </c>
      <c r="I198" s="8">
        <v>1534000446508</v>
      </c>
      <c r="J198" s="16">
        <v>-32736482313</v>
      </c>
      <c r="K198" s="7">
        <v>7961966026</v>
      </c>
      <c r="L198" s="7">
        <v>30020709</v>
      </c>
      <c r="M198" s="18">
        <v>-37571241226</v>
      </c>
      <c r="N198" s="18">
        <v>-428487671595</v>
      </c>
      <c r="Y198" s="21"/>
      <c r="Z198" s="21"/>
      <c r="AA198" s="21"/>
      <c r="AB198" s="39"/>
      <c r="AC198" s="39"/>
      <c r="AD198" s="9">
        <v>3099267500</v>
      </c>
      <c r="AE198" s="9">
        <v>3099267500</v>
      </c>
      <c r="AF198" s="9">
        <v>3099267500</v>
      </c>
      <c r="AG198" s="10">
        <v>3099267500</v>
      </c>
      <c r="AH198" s="10">
        <v>3099267500</v>
      </c>
    </row>
    <row r="199" spans="1:34" x14ac:dyDescent="0.25">
      <c r="A199" s="5">
        <v>197</v>
      </c>
      <c r="B199" s="5" t="s">
        <v>404</v>
      </c>
      <c r="C199" s="5" t="s">
        <v>405</v>
      </c>
      <c r="D199" s="6">
        <v>37076</v>
      </c>
      <c r="E199" s="7">
        <v>9460427317681</v>
      </c>
      <c r="F199" s="7">
        <v>18352877132000</v>
      </c>
      <c r="G199" s="7">
        <v>17562816674000</v>
      </c>
      <c r="H199" s="8">
        <v>17760195040000</v>
      </c>
      <c r="I199" s="8">
        <v>20353992893000</v>
      </c>
      <c r="J199" s="7">
        <v>401792808948</v>
      </c>
      <c r="K199" s="7">
        <v>15890439000</v>
      </c>
      <c r="L199" s="7">
        <v>20425756000</v>
      </c>
      <c r="M199" s="8">
        <v>289888789000</v>
      </c>
      <c r="N199" s="18">
        <v>-109782957000</v>
      </c>
      <c r="Y199" s="7">
        <v>98083640000</v>
      </c>
      <c r="Z199" s="7">
        <v>83198920000</v>
      </c>
      <c r="AA199" s="7">
        <v>32322987000</v>
      </c>
      <c r="AB199" s="9">
        <v>17528119000</v>
      </c>
      <c r="AC199" s="9">
        <v>90682089000</v>
      </c>
      <c r="AD199" s="9">
        <v>5554000000</v>
      </c>
      <c r="AE199" s="9">
        <v>5554000000</v>
      </c>
      <c r="AF199" s="9">
        <v>5554000000</v>
      </c>
      <c r="AG199" s="9">
        <v>5554000000</v>
      </c>
      <c r="AH199" s="9">
        <v>5554000000</v>
      </c>
    </row>
    <row r="200" spans="1:34" x14ac:dyDescent="0.25">
      <c r="A200" s="5">
        <v>198</v>
      </c>
      <c r="B200" s="5" t="s">
        <v>406</v>
      </c>
      <c r="C200" s="5" t="s">
        <v>407</v>
      </c>
      <c r="D200" s="6">
        <v>33449</v>
      </c>
      <c r="E200" s="7">
        <v>18146206145369</v>
      </c>
      <c r="F200" s="7">
        <v>20264726862584</v>
      </c>
      <c r="G200" s="9">
        <v>22564300317374</v>
      </c>
      <c r="H200" s="8">
        <v>25666635156271</v>
      </c>
      <c r="I200" s="8">
        <v>27241313025674</v>
      </c>
      <c r="J200" s="7">
        <v>2497261964757</v>
      </c>
      <c r="K200" s="7">
        <v>2537601823645</v>
      </c>
      <c r="L200" s="9">
        <v>2799622515814</v>
      </c>
      <c r="M200" s="8">
        <v>3232007683281</v>
      </c>
      <c r="N200" s="8">
        <v>3450083412291</v>
      </c>
      <c r="Y200" s="7">
        <v>1190617265850</v>
      </c>
      <c r="Z200" s="9">
        <v>1252864180779</v>
      </c>
      <c r="AA200" s="9">
        <v>1252278191746</v>
      </c>
      <c r="AB200" s="9">
        <v>1372742724917</v>
      </c>
      <c r="AC200" s="9">
        <v>1696987952180</v>
      </c>
      <c r="AD200" s="9">
        <v>46875122110</v>
      </c>
      <c r="AE200" s="9">
        <v>46875122110</v>
      </c>
      <c r="AF200" s="9">
        <v>46875122110</v>
      </c>
      <c r="AG200" s="9">
        <v>46875122110</v>
      </c>
      <c r="AH200" s="9">
        <v>46875122110</v>
      </c>
    </row>
    <row r="201" spans="1:34" x14ac:dyDescent="0.25">
      <c r="A201" s="5">
        <v>199</v>
      </c>
      <c r="B201" s="5" t="s">
        <v>408</v>
      </c>
      <c r="C201" s="5" t="s">
        <v>409</v>
      </c>
      <c r="D201" s="6">
        <v>29790</v>
      </c>
      <c r="E201" s="7">
        <v>1263113689000</v>
      </c>
      <c r="F201" s="7">
        <v>901060986000</v>
      </c>
      <c r="G201" s="9">
        <v>929901046000</v>
      </c>
      <c r="H201" s="8">
        <v>1026266866000</v>
      </c>
      <c r="I201" s="8">
        <v>1037647240000</v>
      </c>
      <c r="J201" s="7">
        <v>1163324165000</v>
      </c>
      <c r="K201" s="7">
        <v>78256797000</v>
      </c>
      <c r="L201" s="9">
        <v>71902263000</v>
      </c>
      <c r="M201" s="8">
        <v>131660834000</v>
      </c>
      <c r="N201" s="8">
        <v>179837759000</v>
      </c>
      <c r="Y201" s="7">
        <v>1265600000000</v>
      </c>
      <c r="Z201" s="21"/>
      <c r="AA201" s="9">
        <v>58240000000</v>
      </c>
      <c r="AB201" s="39"/>
      <c r="AC201" s="39"/>
      <c r="AD201" s="9">
        <v>448000000</v>
      </c>
      <c r="AE201" s="9">
        <v>448000000</v>
      </c>
      <c r="AF201" s="9">
        <v>448000000</v>
      </c>
      <c r="AG201" s="9">
        <v>448000000</v>
      </c>
      <c r="AH201" s="9">
        <v>448000000</v>
      </c>
    </row>
    <row r="202" spans="1:34" x14ac:dyDescent="0.25">
      <c r="A202" s="5">
        <v>200</v>
      </c>
      <c r="B202" s="5" t="s">
        <v>410</v>
      </c>
      <c r="C202" s="5" t="s">
        <v>411</v>
      </c>
      <c r="D202" s="6">
        <v>43460</v>
      </c>
      <c r="E202" s="7">
        <v>1868663546000</v>
      </c>
      <c r="F202" s="7">
        <v>2096719180000</v>
      </c>
      <c r="G202" s="7">
        <v>1915989375000</v>
      </c>
      <c r="H202" s="8">
        <v>1838539299000</v>
      </c>
      <c r="I202" s="8">
        <v>1806280965000</v>
      </c>
      <c r="J202" s="7">
        <v>133292514000</v>
      </c>
      <c r="K202" s="7">
        <v>102310124000</v>
      </c>
      <c r="L202" s="7">
        <v>48665149000</v>
      </c>
      <c r="M202" s="8">
        <v>11296951000</v>
      </c>
      <c r="N202" s="8">
        <v>27395254000</v>
      </c>
      <c r="Y202" s="7">
        <v>87686243000</v>
      </c>
      <c r="Z202" s="7">
        <v>92716852000</v>
      </c>
      <c r="AA202" s="7">
        <v>71447083000</v>
      </c>
      <c r="AB202" s="9">
        <v>19395150000</v>
      </c>
      <c r="AC202" s="8">
        <v>6644400000</v>
      </c>
      <c r="AD202" s="10">
        <v>840000000</v>
      </c>
      <c r="AE202" s="10">
        <v>840000000</v>
      </c>
      <c r="AF202" s="9">
        <v>840000000</v>
      </c>
      <c r="AG202" s="9">
        <v>840000000</v>
      </c>
      <c r="AH202" s="9">
        <v>840000000</v>
      </c>
    </row>
    <row r="203" spans="1:34" x14ac:dyDescent="0.25">
      <c r="A203" s="5">
        <v>201</v>
      </c>
      <c r="B203" s="5" t="s">
        <v>412</v>
      </c>
      <c r="C203" s="5" t="s">
        <v>413</v>
      </c>
      <c r="D203" s="6">
        <v>37180</v>
      </c>
      <c r="E203" s="7">
        <v>187057163854</v>
      </c>
      <c r="F203" s="7">
        <v>190786208250</v>
      </c>
      <c r="G203" s="9">
        <v>228575380866</v>
      </c>
      <c r="H203" s="17">
        <v>806221575272</v>
      </c>
      <c r="I203" s="17">
        <v>1520568653644</v>
      </c>
      <c r="J203" s="7">
        <v>8447447988</v>
      </c>
      <c r="K203" s="7">
        <v>9342718039</v>
      </c>
      <c r="L203" s="9">
        <v>22104364267</v>
      </c>
      <c r="M203" s="17">
        <v>5478952440</v>
      </c>
      <c r="N203" s="17">
        <v>275472011358</v>
      </c>
      <c r="Y203" s="21"/>
      <c r="Z203" s="7">
        <v>2140320000</v>
      </c>
      <c r="AA203" s="15"/>
      <c r="AB203" s="39"/>
      <c r="AC203" s="39"/>
      <c r="AD203" s="10">
        <v>535080000</v>
      </c>
      <c r="AE203" s="10">
        <v>535080000</v>
      </c>
      <c r="AF203" s="9">
        <v>535080000</v>
      </c>
      <c r="AG203" s="9">
        <v>535080000</v>
      </c>
      <c r="AH203" s="9">
        <v>535080000</v>
      </c>
    </row>
    <row r="204" spans="1:34" x14ac:dyDescent="0.25">
      <c r="A204" s="5">
        <v>202</v>
      </c>
      <c r="B204" s="5" t="s">
        <v>414</v>
      </c>
      <c r="C204" s="5" t="s">
        <v>415</v>
      </c>
      <c r="D204" s="6">
        <v>33032</v>
      </c>
      <c r="E204" s="7">
        <v>1635702779000</v>
      </c>
      <c r="F204" s="7">
        <v>1417704185000</v>
      </c>
      <c r="G204" s="7">
        <v>1598281523000</v>
      </c>
      <c r="H204" s="17">
        <v>1212160543000</v>
      </c>
      <c r="I204" s="17">
        <v>1361427269000</v>
      </c>
      <c r="J204" s="7">
        <v>127091642000</v>
      </c>
      <c r="K204" s="7">
        <v>112652526000</v>
      </c>
      <c r="L204" s="7">
        <v>218362874000</v>
      </c>
      <c r="M204" s="17">
        <v>118691582000</v>
      </c>
      <c r="N204" s="17">
        <v>174782102000</v>
      </c>
      <c r="Y204" s="21"/>
      <c r="Z204" s="21"/>
      <c r="AA204" s="21"/>
      <c r="AB204" s="39"/>
      <c r="AC204" s="9">
        <v>162000000</v>
      </c>
      <c r="AD204" s="10">
        <v>3600000</v>
      </c>
      <c r="AE204" s="10">
        <v>3600000</v>
      </c>
      <c r="AF204" s="9">
        <v>3600000</v>
      </c>
      <c r="AG204" s="9">
        <v>3600000</v>
      </c>
      <c r="AH204" s="9">
        <v>3600000</v>
      </c>
    </row>
    <row r="205" spans="1:34" x14ac:dyDescent="0.25">
      <c r="A205" s="5">
        <v>203</v>
      </c>
      <c r="B205" s="5" t="s">
        <v>416</v>
      </c>
      <c r="C205" s="5" t="s">
        <v>417</v>
      </c>
      <c r="D205" s="6">
        <v>41626</v>
      </c>
      <c r="E205" s="7">
        <v>3337628000000</v>
      </c>
      <c r="F205" s="7">
        <v>3529557000000</v>
      </c>
      <c r="G205" s="7">
        <v>3849516000000</v>
      </c>
      <c r="H205" s="17">
        <v>4068970000000</v>
      </c>
      <c r="I205" s="17">
        <v>4081442000000</v>
      </c>
      <c r="J205" s="7">
        <v>663849000000</v>
      </c>
      <c r="K205" s="7">
        <v>807689000000</v>
      </c>
      <c r="L205" s="7">
        <v>934016000000</v>
      </c>
      <c r="M205" s="17">
        <v>1260898000000</v>
      </c>
      <c r="N205" s="17">
        <v>1104714000000</v>
      </c>
      <c r="Y205" s="7">
        <v>654882000000</v>
      </c>
      <c r="Z205" s="7">
        <v>640028000000</v>
      </c>
      <c r="AA205" s="7">
        <v>773988000000</v>
      </c>
      <c r="AB205" s="9">
        <v>1018142000000</v>
      </c>
      <c r="AC205" s="9">
        <v>1086000000000</v>
      </c>
      <c r="AD205" s="10">
        <v>15000000000</v>
      </c>
      <c r="AE205" s="10">
        <v>15000000000</v>
      </c>
      <c r="AF205" s="9">
        <v>30000000000</v>
      </c>
      <c r="AG205" s="9">
        <v>30000000000</v>
      </c>
      <c r="AH205" s="9">
        <v>30000000000</v>
      </c>
    </row>
    <row r="206" spans="1:34" ht="28.5" x14ac:dyDescent="0.25">
      <c r="A206" s="5">
        <v>204</v>
      </c>
      <c r="B206" s="53" t="s">
        <v>418</v>
      </c>
      <c r="C206" s="54" t="s">
        <v>419</v>
      </c>
      <c r="D206" s="6">
        <v>44081</v>
      </c>
      <c r="E206" s="26"/>
      <c r="F206" s="26"/>
      <c r="G206" s="9">
        <v>4180243000000</v>
      </c>
      <c r="H206" s="17">
        <v>4021919000000</v>
      </c>
      <c r="I206" s="17">
        <v>4474599000000</v>
      </c>
      <c r="J206" s="26"/>
      <c r="K206" s="26"/>
      <c r="L206" s="9">
        <v>172200000000</v>
      </c>
      <c r="M206" s="17">
        <v>551091000000</v>
      </c>
      <c r="N206" s="17">
        <v>357015000000</v>
      </c>
      <c r="Y206" s="26"/>
      <c r="Z206" s="26"/>
      <c r="AA206" s="9">
        <v>13271000000</v>
      </c>
      <c r="AB206" s="9">
        <v>551521000000</v>
      </c>
      <c r="AC206" s="17">
        <v>149762000000</v>
      </c>
      <c r="AD206" s="26"/>
      <c r="AE206" s="26"/>
      <c r="AF206" s="9">
        <v>1269168239</v>
      </c>
      <c r="AG206" s="9">
        <v>1269168239</v>
      </c>
      <c r="AH206" s="9">
        <v>1269168239</v>
      </c>
    </row>
    <row r="207" spans="1:34" x14ac:dyDescent="0.25">
      <c r="A207" s="5">
        <v>205</v>
      </c>
      <c r="B207" s="5" t="s">
        <v>420</v>
      </c>
      <c r="C207" s="5" t="s">
        <v>421</v>
      </c>
      <c r="D207" s="6">
        <v>34351</v>
      </c>
      <c r="E207" s="7">
        <v>7869975060326</v>
      </c>
      <c r="F207" s="7">
        <v>8372769580743</v>
      </c>
      <c r="G207" s="7">
        <v>9104657533366</v>
      </c>
      <c r="H207" s="17">
        <v>9644326662784</v>
      </c>
      <c r="I207" s="17">
        <v>11328974079150</v>
      </c>
      <c r="J207" s="7">
        <v>540378145887</v>
      </c>
      <c r="K207" s="7">
        <v>595154912874</v>
      </c>
      <c r="L207" s="7">
        <v>834369751682</v>
      </c>
      <c r="M207" s="17">
        <v>877817637643</v>
      </c>
      <c r="N207" s="17">
        <v>1037527882044</v>
      </c>
      <c r="Y207" s="7">
        <v>180000000000</v>
      </c>
      <c r="Z207" s="7">
        <v>180000000000</v>
      </c>
      <c r="AA207" s="7">
        <v>225000000000</v>
      </c>
      <c r="AB207" s="9">
        <v>360197286000</v>
      </c>
      <c r="AC207" s="9">
        <v>338239822500</v>
      </c>
      <c r="AD207" s="10">
        <v>4500000000</v>
      </c>
      <c r="AE207" s="10">
        <v>4500000000</v>
      </c>
      <c r="AF207" s="9">
        <v>4500000000</v>
      </c>
      <c r="AG207" s="9">
        <v>4509864300</v>
      </c>
      <c r="AH207" s="9">
        <v>4509864300</v>
      </c>
    </row>
    <row r="208" spans="1:34" x14ac:dyDescent="0.25">
      <c r="A208" s="5">
        <v>206</v>
      </c>
      <c r="B208" s="11" t="s">
        <v>422</v>
      </c>
      <c r="C208" s="11" t="s">
        <v>423</v>
      </c>
      <c r="D208" s="6">
        <v>44781</v>
      </c>
      <c r="E208" s="12"/>
      <c r="F208" s="12"/>
      <c r="G208" s="12"/>
      <c r="H208" s="12"/>
      <c r="I208" s="7">
        <v>60613787000</v>
      </c>
      <c r="J208" s="12"/>
      <c r="K208" s="12"/>
      <c r="L208" s="12"/>
      <c r="M208" s="12"/>
      <c r="N208" s="7">
        <v>5881498000</v>
      </c>
      <c r="Y208" s="12"/>
      <c r="Z208" s="12"/>
      <c r="AA208" s="12"/>
      <c r="AB208" s="12"/>
      <c r="AC208" s="39"/>
      <c r="AD208" s="26"/>
      <c r="AE208" s="26"/>
      <c r="AF208" s="26"/>
      <c r="AG208" s="26"/>
      <c r="AH208" s="9">
        <v>2500000000</v>
      </c>
    </row>
    <row r="209" spans="1:34" x14ac:dyDescent="0.25">
      <c r="A209" s="5">
        <v>207</v>
      </c>
      <c r="B209" s="19" t="s">
        <v>80</v>
      </c>
      <c r="C209" s="19" t="s">
        <v>81</v>
      </c>
      <c r="D209" s="6">
        <v>44538</v>
      </c>
      <c r="E209" s="12"/>
      <c r="F209" s="12"/>
      <c r="G209" s="26"/>
      <c r="H209" s="9">
        <v>10873760236580</v>
      </c>
      <c r="I209" s="9">
        <v>10792122000000</v>
      </c>
      <c r="J209" s="12"/>
      <c r="K209" s="12"/>
      <c r="L209" s="26"/>
      <c r="M209" s="9">
        <v>1434551222696</v>
      </c>
      <c r="N209" s="9">
        <v>1400365000000</v>
      </c>
      <c r="Y209" s="12"/>
      <c r="Z209" s="12"/>
      <c r="AA209" s="12"/>
      <c r="AB209" s="25">
        <v>2350001000000</v>
      </c>
      <c r="AC209" s="25">
        <v>1115164000000</v>
      </c>
      <c r="AD209" s="26"/>
      <c r="AE209" s="26"/>
      <c r="AF209" s="26"/>
      <c r="AG209" s="25">
        <v>61953555600</v>
      </c>
      <c r="AH209" s="9">
        <v>61953555600</v>
      </c>
    </row>
    <row r="210" spans="1:34" x14ac:dyDescent="0.25">
      <c r="A210" s="5">
        <v>208</v>
      </c>
      <c r="B210" s="19" t="s">
        <v>424</v>
      </c>
      <c r="C210" s="19" t="s">
        <v>425</v>
      </c>
      <c r="D210" s="6">
        <v>43003</v>
      </c>
      <c r="E210" s="7">
        <v>914065000000</v>
      </c>
      <c r="F210" s="7">
        <v>923795000000</v>
      </c>
      <c r="G210" s="7">
        <v>973684000000</v>
      </c>
      <c r="H210" s="8">
        <v>985400000000</v>
      </c>
      <c r="I210" s="8">
        <v>1045929000000</v>
      </c>
      <c r="J210" s="7">
        <v>914065000000</v>
      </c>
      <c r="K210" s="7">
        <v>923795000000</v>
      </c>
      <c r="L210" s="7">
        <v>40085000000</v>
      </c>
      <c r="M210" s="8">
        <v>38851000000</v>
      </c>
      <c r="N210" s="8">
        <v>38417000000</v>
      </c>
      <c r="Y210" s="52">
        <v>30723000000</v>
      </c>
      <c r="Z210" s="52">
        <v>30362000000</v>
      </c>
      <c r="AA210" s="52">
        <v>22771000000</v>
      </c>
      <c r="AB210" s="52">
        <v>30362000000</v>
      </c>
      <c r="AC210" s="9">
        <v>25302000000</v>
      </c>
      <c r="AD210" s="10">
        <v>2131776780</v>
      </c>
      <c r="AE210" s="10">
        <v>2530150002</v>
      </c>
      <c r="AF210" s="10">
        <v>2530150002</v>
      </c>
      <c r="AG210" s="10">
        <v>2530150002</v>
      </c>
      <c r="AH210" s="10">
        <v>2530150002</v>
      </c>
    </row>
    <row r="211" spans="1:34" x14ac:dyDescent="0.25">
      <c r="A211" s="5">
        <v>209</v>
      </c>
      <c r="B211" s="5" t="s">
        <v>426</v>
      </c>
      <c r="C211" s="5" t="s">
        <v>427</v>
      </c>
      <c r="D211" s="6">
        <v>42349</v>
      </c>
      <c r="E211" s="7">
        <v>3592164205408</v>
      </c>
      <c r="F211" s="7">
        <v>4695764958883</v>
      </c>
      <c r="G211" s="7">
        <v>5255359155031</v>
      </c>
      <c r="H211" s="8">
        <v>5346062152770</v>
      </c>
      <c r="I211" s="8">
        <v>4676372045095</v>
      </c>
      <c r="J211" s="7">
        <v>150116045042</v>
      </c>
      <c r="K211" s="7">
        <v>515603339649</v>
      </c>
      <c r="L211" s="7">
        <v>113665219638</v>
      </c>
      <c r="M211" s="8">
        <v>97819911970</v>
      </c>
      <c r="N211" s="18">
        <v>-950288973938</v>
      </c>
      <c r="Y211" s="7">
        <v>38571430500</v>
      </c>
      <c r="Z211" s="7">
        <v>81428575500</v>
      </c>
      <c r="AA211" s="7">
        <v>147142864500</v>
      </c>
      <c r="AB211" s="39"/>
      <c r="AC211" s="9">
        <v>14452611445</v>
      </c>
      <c r="AD211" s="10">
        <v>1428571500</v>
      </c>
      <c r="AE211" s="10">
        <v>1428571500</v>
      </c>
      <c r="AF211" s="9">
        <v>1428571500</v>
      </c>
      <c r="AG211" s="9">
        <v>1428571500</v>
      </c>
      <c r="AH211" s="9">
        <v>1378818900</v>
      </c>
    </row>
    <row r="212" spans="1:34" x14ac:dyDescent="0.25">
      <c r="A212" s="5">
        <v>210</v>
      </c>
      <c r="B212" s="5" t="s">
        <v>428</v>
      </c>
      <c r="C212" s="5" t="s">
        <v>429</v>
      </c>
      <c r="D212" s="6">
        <v>43378</v>
      </c>
      <c r="E212" s="7">
        <v>230724365283</v>
      </c>
      <c r="F212" s="7">
        <v>255330406694</v>
      </c>
      <c r="G212" s="7">
        <v>254725484771</v>
      </c>
      <c r="H212" s="29"/>
      <c r="I212" s="29"/>
      <c r="J212" s="7">
        <v>800146691</v>
      </c>
      <c r="K212" s="7">
        <v>556268538</v>
      </c>
      <c r="L212" s="16">
        <v>-4925365603</v>
      </c>
      <c r="M212" s="29"/>
      <c r="N212" s="29"/>
      <c r="Y212" s="21"/>
      <c r="Z212" s="21"/>
      <c r="AA212" s="21"/>
      <c r="AB212" s="29"/>
      <c r="AC212" s="27"/>
      <c r="AD212" s="10">
        <v>768000000</v>
      </c>
      <c r="AE212" s="10">
        <v>768042882</v>
      </c>
      <c r="AF212" s="10">
        <v>768042882</v>
      </c>
      <c r="AG212" s="30"/>
      <c r="AH212" s="27"/>
    </row>
    <row r="213" spans="1:34" x14ac:dyDescent="0.25">
      <c r="A213" s="5">
        <v>211</v>
      </c>
      <c r="B213" s="5" t="s">
        <v>430</v>
      </c>
      <c r="C213" s="5" t="s">
        <v>431</v>
      </c>
      <c r="D213" s="6">
        <v>40556</v>
      </c>
      <c r="E213" s="7">
        <v>648016880325</v>
      </c>
      <c r="F213" s="7">
        <v>591063928037</v>
      </c>
      <c r="G213" s="7">
        <v>982882686217</v>
      </c>
      <c r="H213" s="8">
        <v>713520658807</v>
      </c>
      <c r="I213" s="8">
        <v>721703608823</v>
      </c>
      <c r="J213" s="16">
        <v>-114131026847</v>
      </c>
      <c r="K213" s="16">
        <v>-66945894110</v>
      </c>
      <c r="L213" s="16">
        <v>-203214931752</v>
      </c>
      <c r="M213" s="18">
        <v>-149735541904</v>
      </c>
      <c r="N213" s="18">
        <v>-42426805953</v>
      </c>
      <c r="Y213" s="21"/>
      <c r="Z213" s="21"/>
      <c r="AA213" s="21"/>
      <c r="AB213" s="39"/>
      <c r="AC213" s="39"/>
      <c r="AD213" s="10">
        <v>107000000</v>
      </c>
      <c r="AE213" s="10">
        <v>1070000000</v>
      </c>
      <c r="AF213" s="9">
        <v>1070000000</v>
      </c>
      <c r="AG213" s="9">
        <v>1070000000</v>
      </c>
      <c r="AH213" s="9">
        <v>1070000000</v>
      </c>
    </row>
    <row r="214" spans="1:34" x14ac:dyDescent="0.25">
      <c r="A214" s="5">
        <v>212</v>
      </c>
      <c r="B214" s="5" t="s">
        <v>432</v>
      </c>
      <c r="C214" s="5" t="s">
        <v>433</v>
      </c>
      <c r="D214" s="6">
        <v>34907</v>
      </c>
      <c r="E214" s="7">
        <v>511887783867</v>
      </c>
      <c r="F214" s="7">
        <v>532762947995</v>
      </c>
      <c r="G214" s="7">
        <v>559795937451</v>
      </c>
      <c r="H214" s="7">
        <v>578260975588</v>
      </c>
      <c r="I214" s="7">
        <v>694780597799</v>
      </c>
      <c r="J214" s="16">
        <v>-2256476497</v>
      </c>
      <c r="K214" s="7">
        <v>131836668</v>
      </c>
      <c r="L214" s="16">
        <v>-6766719891</v>
      </c>
      <c r="M214" s="7">
        <v>357509551</v>
      </c>
      <c r="N214" s="7">
        <v>67812034137</v>
      </c>
      <c r="Y214" s="21"/>
      <c r="Z214" s="21"/>
      <c r="AA214" s="21"/>
      <c r="AB214" s="39"/>
      <c r="AC214" s="39"/>
      <c r="AD214" s="10">
        <v>428000000</v>
      </c>
      <c r="AE214" s="10">
        <v>428000000</v>
      </c>
      <c r="AF214" s="9">
        <v>428000000</v>
      </c>
      <c r="AG214" s="9">
        <v>428000000</v>
      </c>
      <c r="AH214" s="9">
        <v>428000000</v>
      </c>
    </row>
    <row r="215" spans="1:34" x14ac:dyDescent="0.25">
      <c r="A215" s="5">
        <v>213</v>
      </c>
      <c r="B215" s="5" t="s">
        <v>434</v>
      </c>
      <c r="C215" s="5" t="s">
        <v>435</v>
      </c>
      <c r="D215" s="6">
        <v>44630</v>
      </c>
      <c r="E215" s="26"/>
      <c r="F215" s="26"/>
      <c r="G215" s="26"/>
      <c r="H215" s="26"/>
      <c r="I215" s="9">
        <v>177769224634</v>
      </c>
      <c r="J215" s="26"/>
      <c r="K215" s="26"/>
      <c r="L215" s="26"/>
      <c r="M215" s="26"/>
      <c r="N215" s="9">
        <v>1740384582</v>
      </c>
      <c r="Y215" s="20"/>
      <c r="Z215" s="20"/>
      <c r="AA215" s="20"/>
      <c r="AB215" s="20"/>
      <c r="AC215" s="39"/>
      <c r="AD215" s="20"/>
      <c r="AE215" s="20"/>
      <c r="AF215" s="20"/>
      <c r="AG215" s="20"/>
      <c r="AH215" s="28">
        <v>4285102352</v>
      </c>
    </row>
    <row r="216" spans="1:34" x14ac:dyDescent="0.25">
      <c r="A216" s="5">
        <v>214</v>
      </c>
      <c r="B216" s="5" t="s">
        <v>436</v>
      </c>
      <c r="C216" s="5" t="s">
        <v>437</v>
      </c>
      <c r="D216" s="6">
        <v>34235</v>
      </c>
      <c r="E216" s="7">
        <v>2445143511801</v>
      </c>
      <c r="F216" s="7">
        <v>2551192620939</v>
      </c>
      <c r="G216" s="7">
        <v>2314790056002</v>
      </c>
      <c r="H216" s="8">
        <v>2300804864960</v>
      </c>
      <c r="I216" s="17">
        <v>2380657918106</v>
      </c>
      <c r="J216" s="7">
        <v>173049442756</v>
      </c>
      <c r="K216" s="7">
        <v>145149344561</v>
      </c>
      <c r="L216" s="16">
        <v>-54776587213</v>
      </c>
      <c r="M216" s="18">
        <v>-76507618777</v>
      </c>
      <c r="N216" s="17">
        <v>18109470352</v>
      </c>
      <c r="Y216" s="7">
        <v>82437333470</v>
      </c>
      <c r="Z216" s="7">
        <v>84448000140</v>
      </c>
      <c r="AA216" s="7">
        <v>84448000140</v>
      </c>
      <c r="AB216" s="39"/>
      <c r="AC216" s="39"/>
      <c r="AD216" s="10">
        <v>201066667</v>
      </c>
      <c r="AE216" s="10">
        <v>201066667</v>
      </c>
      <c r="AF216" s="9">
        <v>201066667</v>
      </c>
      <c r="AG216" s="9">
        <v>201066667</v>
      </c>
      <c r="AH216" s="9">
        <v>201066667</v>
      </c>
    </row>
    <row r="217" spans="1:34" x14ac:dyDescent="0.25">
      <c r="A217" s="5">
        <v>215</v>
      </c>
      <c r="B217" s="5" t="s">
        <v>438</v>
      </c>
      <c r="C217" s="5" t="s">
        <v>439</v>
      </c>
      <c r="D217" s="6">
        <v>29962</v>
      </c>
      <c r="E217" s="7">
        <v>19522970000000</v>
      </c>
      <c r="F217" s="7">
        <v>20649371000000</v>
      </c>
      <c r="G217" s="9">
        <v>20534632000000</v>
      </c>
      <c r="H217" s="17">
        <v>19068532000000</v>
      </c>
      <c r="I217" s="17">
        <v>18318114000000</v>
      </c>
      <c r="J217" s="7">
        <v>9109445000000</v>
      </c>
      <c r="K217" s="7">
        <v>7392837000000</v>
      </c>
      <c r="L217" s="9">
        <v>7163536000000</v>
      </c>
      <c r="M217" s="17">
        <v>5758148000000</v>
      </c>
      <c r="N217" s="17">
        <v>5364761000000</v>
      </c>
      <c r="Y217" s="7">
        <v>6981450000000</v>
      </c>
      <c r="Z217" s="7">
        <v>9191962000000</v>
      </c>
      <c r="AA217" s="9">
        <v>7401100000000</v>
      </c>
      <c r="AB217" s="9">
        <v>6332900000000</v>
      </c>
      <c r="AC217" s="9">
        <v>5836950000000</v>
      </c>
      <c r="AD217" s="10">
        <v>7630000000</v>
      </c>
      <c r="AE217" s="10">
        <v>7630000000</v>
      </c>
      <c r="AF217" s="9">
        <v>38150000000</v>
      </c>
      <c r="AG217" s="9">
        <v>38150000000</v>
      </c>
      <c r="AH217" s="9">
        <v>38150000000</v>
      </c>
    </row>
    <row r="218" spans="1:34" x14ac:dyDescent="0.25">
      <c r="A218" s="5">
        <v>216</v>
      </c>
      <c r="B218" s="5" t="s">
        <v>440</v>
      </c>
      <c r="C218" s="5" t="s">
        <v>441</v>
      </c>
      <c r="D218" s="6">
        <v>44182</v>
      </c>
      <c r="E218" s="26"/>
      <c r="F218" s="26"/>
      <c r="G218" s="9">
        <v>959769030280</v>
      </c>
      <c r="H218" s="17">
        <v>997797006411</v>
      </c>
      <c r="I218" s="17">
        <v>1150904222886</v>
      </c>
      <c r="J218" s="20"/>
      <c r="K218" s="20"/>
      <c r="L218" s="9">
        <v>148365915585</v>
      </c>
      <c r="M218" s="17">
        <v>177275878389</v>
      </c>
      <c r="N218" s="17">
        <v>97639053688</v>
      </c>
      <c r="Y218" s="26"/>
      <c r="Z218" s="26"/>
      <c r="AA218" s="9">
        <v>25000000000</v>
      </c>
      <c r="AB218" s="9">
        <v>57018000000</v>
      </c>
      <c r="AC218" s="9">
        <v>46956000000</v>
      </c>
      <c r="AD218" s="20"/>
      <c r="AE218" s="20"/>
      <c r="AF218" s="9">
        <v>6708000000</v>
      </c>
      <c r="AG218" s="9">
        <v>6708000000</v>
      </c>
      <c r="AH218" s="9">
        <v>6708000000</v>
      </c>
    </row>
    <row r="219" spans="1:34" x14ac:dyDescent="0.25">
      <c r="A219" s="5">
        <v>217</v>
      </c>
      <c r="B219" s="5" t="s">
        <v>442</v>
      </c>
      <c r="C219" s="5" t="s">
        <v>443</v>
      </c>
      <c r="D219" s="6">
        <v>43930</v>
      </c>
      <c r="E219" s="26"/>
      <c r="F219" s="26"/>
      <c r="G219" s="7">
        <v>344228909175</v>
      </c>
      <c r="H219" s="17">
        <v>354869039524</v>
      </c>
      <c r="I219" s="17">
        <v>365809492326</v>
      </c>
      <c r="J219" s="20"/>
      <c r="K219" s="20"/>
      <c r="L219" s="7">
        <v>5286152369</v>
      </c>
      <c r="M219" s="17">
        <v>1470491082</v>
      </c>
      <c r="N219" s="23">
        <v>-1587435109</v>
      </c>
      <c r="Y219" s="26"/>
      <c r="Z219" s="26"/>
      <c r="AA219" s="39"/>
      <c r="AB219" s="39"/>
      <c r="AC219" s="39"/>
      <c r="AD219" s="20"/>
      <c r="AE219" s="20"/>
      <c r="AF219" s="9">
        <v>1875000000</v>
      </c>
      <c r="AG219" s="9">
        <v>1875000000</v>
      </c>
      <c r="AH219" s="9">
        <v>1875000000</v>
      </c>
    </row>
    <row r="220" spans="1:34" x14ac:dyDescent="0.25">
      <c r="A220" s="5">
        <v>218</v>
      </c>
      <c r="B220" s="5" t="s">
        <v>444</v>
      </c>
      <c r="C220" s="5" t="s">
        <v>445</v>
      </c>
      <c r="D220" s="6">
        <v>41817</v>
      </c>
      <c r="E220" s="7">
        <v>491382035136</v>
      </c>
      <c r="F220" s="7">
        <v>521493784876</v>
      </c>
      <c r="G220" s="7">
        <v>498020612974</v>
      </c>
      <c r="H220" s="8">
        <v>492697209711</v>
      </c>
      <c r="I220" s="8">
        <v>492056440058</v>
      </c>
      <c r="J220" s="7">
        <v>13554152161</v>
      </c>
      <c r="K220" s="7">
        <v>7221065916</v>
      </c>
      <c r="L220" s="7">
        <v>249076655</v>
      </c>
      <c r="M220" s="23">
        <v>-98210943293</v>
      </c>
      <c r="N220" s="23">
        <v>-7529603579</v>
      </c>
      <c r="Y220" s="7">
        <v>8768550000</v>
      </c>
      <c r="Z220" s="7">
        <v>3870200000</v>
      </c>
      <c r="AA220" s="7">
        <v>2900000000</v>
      </c>
      <c r="AB220" s="39"/>
      <c r="AC220" s="9">
        <v>1000000000</v>
      </c>
      <c r="AD220" s="10">
        <v>1000000000</v>
      </c>
      <c r="AE220" s="10">
        <v>1000000000</v>
      </c>
      <c r="AF220" s="9">
        <v>1000000000</v>
      </c>
      <c r="AG220" s="9">
        <v>1000000000</v>
      </c>
      <c r="AH220" s="9">
        <v>1000000000</v>
      </c>
    </row>
    <row r="221" spans="1:34" x14ac:dyDescent="0.25">
      <c r="A221" s="5">
        <v>219</v>
      </c>
      <c r="B221" s="5" t="s">
        <v>446</v>
      </c>
      <c r="C221" s="5" t="s">
        <v>447</v>
      </c>
      <c r="D221" s="6">
        <v>44385</v>
      </c>
      <c r="E221" s="26"/>
      <c r="F221" s="26"/>
      <c r="G221" s="26"/>
      <c r="H221" s="29"/>
      <c r="I221" s="29"/>
      <c r="J221" s="26"/>
      <c r="K221" s="26"/>
      <c r="L221" s="26"/>
      <c r="M221" s="29"/>
      <c r="N221" s="29"/>
      <c r="Y221" s="20"/>
      <c r="Z221" s="20"/>
      <c r="AA221" s="20"/>
      <c r="AB221" s="27"/>
      <c r="AC221" s="27"/>
      <c r="AD221" s="20"/>
      <c r="AE221" s="20"/>
      <c r="AF221" s="20"/>
      <c r="AG221" s="27"/>
      <c r="AH221" s="27"/>
    </row>
    <row r="222" spans="1:34" x14ac:dyDescent="0.25">
      <c r="A222" s="5">
        <v>220</v>
      </c>
      <c r="B222" s="5" t="s">
        <v>448</v>
      </c>
      <c r="C222" s="5" t="s">
        <v>449</v>
      </c>
      <c r="D222" s="6">
        <v>34270</v>
      </c>
      <c r="E222" s="7">
        <v>154088747766</v>
      </c>
      <c r="F222" s="7">
        <v>152818996760</v>
      </c>
      <c r="G222" s="7">
        <v>157023139112</v>
      </c>
      <c r="H222" s="8">
        <v>185698138869</v>
      </c>
      <c r="I222" s="8">
        <v>181667554919</v>
      </c>
      <c r="J222" s="16">
        <v>-873742659</v>
      </c>
      <c r="K222" s="16">
        <v>-3172619509</v>
      </c>
      <c r="L222" s="16">
        <v>-10658558</v>
      </c>
      <c r="M222" s="8">
        <v>21701439355</v>
      </c>
      <c r="N222" s="8">
        <v>431268042</v>
      </c>
      <c r="Y222" s="21"/>
      <c r="Z222" s="21"/>
      <c r="AA222" s="21"/>
      <c r="AB222" s="39"/>
      <c r="AC222" s="39"/>
      <c r="AD222" s="10">
        <v>276000000</v>
      </c>
      <c r="AE222" s="10">
        <v>276000000</v>
      </c>
      <c r="AF222" s="9">
        <v>276000000</v>
      </c>
      <c r="AG222" s="9">
        <v>276000000</v>
      </c>
      <c r="AH222" s="9">
        <v>276000000</v>
      </c>
    </row>
    <row r="223" spans="1:34" x14ac:dyDescent="0.25">
      <c r="A223" s="5">
        <v>221</v>
      </c>
      <c r="B223" s="5" t="s">
        <v>450</v>
      </c>
      <c r="C223" s="5" t="s">
        <v>451</v>
      </c>
      <c r="D223" s="6">
        <v>34624</v>
      </c>
      <c r="E223" s="7">
        <v>786704752983</v>
      </c>
      <c r="F223" s="7">
        <v>737642257697</v>
      </c>
      <c r="G223" s="7">
        <v>698252022979</v>
      </c>
      <c r="H223" s="17">
        <v>704070618412</v>
      </c>
      <c r="I223" s="17">
        <v>694287670534</v>
      </c>
      <c r="J223" s="16">
        <v>-46390704290</v>
      </c>
      <c r="K223" s="16">
        <v>-41669593909</v>
      </c>
      <c r="L223" s="16">
        <v>-41331271519</v>
      </c>
      <c r="M223" s="18">
        <v>-14362302768</v>
      </c>
      <c r="N223" s="17">
        <v>-24611113410</v>
      </c>
      <c r="Y223" s="21"/>
      <c r="Z223" s="21"/>
      <c r="AA223" s="21"/>
      <c r="AB223" s="39"/>
      <c r="AC223" s="39"/>
      <c r="AD223" s="10">
        <v>1008517669</v>
      </c>
      <c r="AE223" s="10">
        <v>1008517669</v>
      </c>
      <c r="AF223" s="9">
        <v>1008517669</v>
      </c>
      <c r="AG223" s="9">
        <v>1008517669</v>
      </c>
      <c r="AH223" s="9">
        <v>1008517669</v>
      </c>
    </row>
    <row r="224" spans="1:34" x14ac:dyDescent="0.25">
      <c r="A224" s="5">
        <v>222</v>
      </c>
      <c r="B224" s="5" t="s">
        <v>452</v>
      </c>
      <c r="C224" s="5" t="s">
        <v>453</v>
      </c>
      <c r="D224" s="6">
        <v>44019</v>
      </c>
      <c r="E224" s="26"/>
      <c r="F224" s="26"/>
      <c r="G224" s="7">
        <v>68265043218</v>
      </c>
      <c r="H224" s="17">
        <v>64101498956</v>
      </c>
      <c r="I224" s="17">
        <v>62050290153</v>
      </c>
      <c r="J224" s="20"/>
      <c r="K224" s="20"/>
      <c r="L224" s="7">
        <v>207154739</v>
      </c>
      <c r="M224" s="18">
        <v>-3282844781</v>
      </c>
      <c r="N224" s="17">
        <v>1142467374</v>
      </c>
      <c r="Y224" s="26"/>
      <c r="Z224" s="26"/>
      <c r="AA224" s="21"/>
      <c r="AB224" s="39"/>
      <c r="AC224" s="39"/>
      <c r="AD224" s="26"/>
      <c r="AE224" s="26"/>
      <c r="AF224" s="9">
        <v>1650000000</v>
      </c>
      <c r="AG224" s="9">
        <v>1653574499</v>
      </c>
      <c r="AH224" s="9">
        <v>1653574499</v>
      </c>
    </row>
    <row r="225" spans="1:34" x14ac:dyDescent="0.25">
      <c r="A225" s="5">
        <v>223</v>
      </c>
      <c r="B225" s="11" t="s">
        <v>454</v>
      </c>
      <c r="C225" s="32" t="s">
        <v>455</v>
      </c>
      <c r="D225" s="6">
        <v>44698</v>
      </c>
      <c r="E225" s="26"/>
      <c r="F225" s="26"/>
      <c r="G225" s="26"/>
      <c r="H225" s="26"/>
      <c r="I225" s="9">
        <v>69981050378</v>
      </c>
      <c r="J225" s="20"/>
      <c r="K225" s="20"/>
      <c r="L225" s="26"/>
      <c r="M225" s="26"/>
      <c r="N225" s="9">
        <v>745107046</v>
      </c>
      <c r="Y225" s="20"/>
      <c r="Z225" s="20"/>
      <c r="AA225" s="20"/>
      <c r="AB225" s="20"/>
      <c r="AC225" s="39"/>
      <c r="AD225" s="20"/>
      <c r="AE225" s="20"/>
      <c r="AF225" s="20"/>
      <c r="AG225" s="20"/>
      <c r="AH225" s="9">
        <v>1900010788</v>
      </c>
    </row>
    <row r="226" spans="1:34" ht="30" x14ac:dyDescent="0.25">
      <c r="A226" s="5">
        <v>224</v>
      </c>
      <c r="B226" s="5" t="s">
        <v>456</v>
      </c>
      <c r="C226" s="5" t="s">
        <v>457</v>
      </c>
      <c r="D226" s="6">
        <v>42907</v>
      </c>
      <c r="E226" s="7">
        <v>4588497407410</v>
      </c>
      <c r="F226" s="7">
        <v>5518890225060</v>
      </c>
      <c r="G226" s="7">
        <v>5949006786510</v>
      </c>
      <c r="H226" s="17">
        <v>6801034778630</v>
      </c>
      <c r="I226" s="17">
        <v>6956345266754</v>
      </c>
      <c r="J226" s="7">
        <v>242010106249</v>
      </c>
      <c r="K226" s="7">
        <v>218064313042</v>
      </c>
      <c r="L226" s="7">
        <v>314373402229</v>
      </c>
      <c r="M226" s="17">
        <v>535295612635</v>
      </c>
      <c r="N226" s="17">
        <v>177124125126</v>
      </c>
      <c r="Y226" s="21"/>
      <c r="Z226" s="21"/>
      <c r="AA226" s="21"/>
      <c r="AB226" s="9">
        <v>15906250000</v>
      </c>
      <c r="AC226" s="9">
        <v>15906250000</v>
      </c>
      <c r="AD226" s="10">
        <v>6306250000</v>
      </c>
      <c r="AE226" s="10">
        <v>6306250000</v>
      </c>
      <c r="AF226" s="9">
        <v>6306250000</v>
      </c>
      <c r="AG226" s="9">
        <v>6362500000</v>
      </c>
      <c r="AH226" s="9">
        <v>6437500000</v>
      </c>
    </row>
    <row r="227" spans="1:34" ht="16.5" x14ac:dyDescent="0.3">
      <c r="A227" s="5">
        <v>225</v>
      </c>
      <c r="B227" s="57" t="s">
        <v>458</v>
      </c>
      <c r="C227" s="45" t="s">
        <v>459</v>
      </c>
      <c r="D227" s="6">
        <v>44641</v>
      </c>
      <c r="E227" s="26"/>
      <c r="F227" s="26"/>
      <c r="G227" s="26"/>
      <c r="H227" s="26"/>
      <c r="I227" s="8">
        <v>148576181120</v>
      </c>
      <c r="J227" s="20"/>
      <c r="K227" s="20"/>
      <c r="L227" s="26"/>
      <c r="M227" s="26"/>
      <c r="N227" s="8">
        <v>21219772265</v>
      </c>
      <c r="Y227" s="26"/>
      <c r="Z227" s="26"/>
      <c r="AA227" s="26"/>
      <c r="AB227" s="26"/>
      <c r="AC227" s="8">
        <v>4914669200</v>
      </c>
      <c r="AD227" s="20"/>
      <c r="AE227" s="20"/>
      <c r="AF227" s="58"/>
      <c r="AG227" s="58"/>
      <c r="AH227" s="9">
        <v>1293351809</v>
      </c>
    </row>
    <row r="228" spans="1:34" x14ac:dyDescent="0.25">
      <c r="A228" s="5">
        <v>226</v>
      </c>
      <c r="B228" s="50" t="s">
        <v>460</v>
      </c>
      <c r="C228" s="50" t="s">
        <v>461</v>
      </c>
      <c r="D228" s="6">
        <v>44501</v>
      </c>
      <c r="E228" s="26"/>
      <c r="F228" s="26"/>
      <c r="G228" s="26"/>
      <c r="H228" s="8">
        <v>147435386311</v>
      </c>
      <c r="I228" s="8">
        <v>164088907388</v>
      </c>
      <c r="J228" s="20"/>
      <c r="K228" s="20"/>
      <c r="L228" s="26"/>
      <c r="M228" s="8">
        <v>17466099848</v>
      </c>
      <c r="N228" s="8">
        <v>10738669242</v>
      </c>
      <c r="Y228" s="26"/>
      <c r="Z228" s="26"/>
      <c r="AA228" s="26"/>
      <c r="AB228" s="8">
        <v>3500000000</v>
      </c>
      <c r="AC228" s="8">
        <v>11013141750</v>
      </c>
      <c r="AD228" s="20"/>
      <c r="AE228" s="20"/>
      <c r="AF228" s="26"/>
      <c r="AG228" s="9">
        <v>1155750000</v>
      </c>
      <c r="AH228" s="8">
        <v>1155750000</v>
      </c>
    </row>
    <row r="229" spans="1:34" x14ac:dyDescent="0.25">
      <c r="A229" s="5">
        <v>227</v>
      </c>
      <c r="B229" s="5" t="s">
        <v>462</v>
      </c>
      <c r="C229" s="5" t="s">
        <v>463</v>
      </c>
      <c r="D229" s="6">
        <v>42907</v>
      </c>
      <c r="E229" s="7">
        <v>1537031552479</v>
      </c>
      <c r="F229" s="7">
        <v>2311190054987</v>
      </c>
      <c r="G229" s="7">
        <v>2830686417461</v>
      </c>
      <c r="H229" s="17">
        <v>3478074220547</v>
      </c>
      <c r="I229" s="17">
        <v>3849086552639</v>
      </c>
      <c r="J229" s="7">
        <v>123393863438</v>
      </c>
      <c r="K229" s="7">
        <v>149990636633</v>
      </c>
      <c r="L229" s="7">
        <v>170679197734</v>
      </c>
      <c r="M229" s="17">
        <v>194432397219</v>
      </c>
      <c r="N229" s="17">
        <v>254127589783</v>
      </c>
      <c r="Y229" s="7">
        <v>27631574400</v>
      </c>
      <c r="Z229" s="21"/>
      <c r="AA229" s="21"/>
      <c r="AB229" s="9">
        <v>36842099200</v>
      </c>
      <c r="AC229" s="9">
        <v>46252624000</v>
      </c>
      <c r="AD229" s="10">
        <v>4605262400</v>
      </c>
      <c r="AE229" s="10">
        <v>4605262400</v>
      </c>
      <c r="AF229" s="9">
        <v>4605262400</v>
      </c>
      <c r="AG229" s="9">
        <v>4605262400</v>
      </c>
      <c r="AH229" s="9">
        <v>4605262400</v>
      </c>
    </row>
    <row r="230" spans="1:34" x14ac:dyDescent="0.25">
      <c r="A230" s="5">
        <v>228</v>
      </c>
      <c r="B230" s="5" t="s">
        <v>464</v>
      </c>
      <c r="C230" s="5" t="s">
        <v>465</v>
      </c>
      <c r="D230" s="6">
        <v>44049</v>
      </c>
      <c r="E230" s="26"/>
      <c r="F230" s="26"/>
      <c r="G230" s="7">
        <v>372174373231</v>
      </c>
      <c r="H230" s="17">
        <v>366362122741</v>
      </c>
      <c r="I230" s="17">
        <v>362962760531</v>
      </c>
      <c r="J230" s="20"/>
      <c r="K230" s="20"/>
      <c r="L230" s="7">
        <v>419605009</v>
      </c>
      <c r="M230" s="18">
        <v>-13194253649</v>
      </c>
      <c r="N230" s="17">
        <v>1883385977</v>
      </c>
      <c r="Y230" s="26"/>
      <c r="Z230" s="26"/>
      <c r="AA230" s="21"/>
      <c r="AB230" s="39"/>
      <c r="AC230" s="39"/>
      <c r="AD230" s="20"/>
      <c r="AE230" s="20"/>
      <c r="AF230" s="9">
        <v>1435000000</v>
      </c>
      <c r="AG230" s="9">
        <v>1435000000</v>
      </c>
      <c r="AH230" s="9">
        <v>1435000712</v>
      </c>
    </row>
    <row r="232" spans="1:34" x14ac:dyDescent="0.25">
      <c r="A232" t="s">
        <v>466</v>
      </c>
    </row>
    <row r="234" spans="1:34" x14ac:dyDescent="0.25">
      <c r="A234" s="59"/>
      <c r="B234" s="60" t="s">
        <v>467</v>
      </c>
    </row>
    <row r="235" spans="1:34" x14ac:dyDescent="0.25">
      <c r="A235" s="61"/>
      <c r="B235" s="60" t="s">
        <v>468</v>
      </c>
    </row>
    <row r="236" spans="1:34" x14ac:dyDescent="0.25">
      <c r="A236" s="62"/>
      <c r="B236" s="60" t="s">
        <v>469</v>
      </c>
    </row>
    <row r="237" spans="1:34" x14ac:dyDescent="0.25">
      <c r="A237" s="63"/>
      <c r="B237" s="60" t="s">
        <v>470</v>
      </c>
    </row>
    <row r="238" spans="1:34" x14ac:dyDescent="0.25">
      <c r="A238" s="64"/>
      <c r="B238" s="60" t="s">
        <v>471</v>
      </c>
    </row>
    <row r="239" spans="1:34" x14ac:dyDescent="0.25">
      <c r="A239" s="39"/>
      <c r="B239" s="60" t="s">
        <v>472</v>
      </c>
    </row>
  </sheetData>
  <mergeCells count="7">
    <mergeCell ref="AD1:AH1"/>
    <mergeCell ref="E1:I1"/>
    <mergeCell ref="J1:N1"/>
    <mergeCell ref="O1:Q1"/>
    <mergeCell ref="R1:T1"/>
    <mergeCell ref="U1:W1"/>
    <mergeCell ref="Y1:AC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3A110-8526-45DF-9CB0-1589B8A6CB55}">
  <dimension ref="A3:AC53"/>
  <sheetViews>
    <sheetView workbookViewId="0">
      <selection activeCell="Z7" sqref="Z7"/>
    </sheetView>
  </sheetViews>
  <sheetFormatPr defaultColWidth="9" defaultRowHeight="15" x14ac:dyDescent="0.25"/>
  <cols>
    <col min="1" max="1" width="3.85546875" bestFit="1" customWidth="1"/>
    <col min="2" max="2" width="6.85546875" bestFit="1" customWidth="1"/>
    <col min="3" max="3" width="46.42578125" customWidth="1"/>
    <col min="4" max="4" width="14" customWidth="1"/>
    <col min="5" max="5" width="6.42578125" customWidth="1"/>
    <col min="6" max="7" width="7.85546875" customWidth="1"/>
    <col min="8" max="8" width="6.42578125" customWidth="1"/>
    <col min="9" max="9" width="5.85546875" customWidth="1"/>
    <col min="10" max="10" width="15.5703125" bestFit="1" customWidth="1"/>
    <col min="11" max="12" width="15.42578125" bestFit="1" customWidth="1"/>
    <col min="13" max="13" width="16.5703125" bestFit="1" customWidth="1"/>
    <col min="14" max="14" width="15.42578125" bestFit="1" customWidth="1"/>
    <col min="15" max="15" width="17.140625" bestFit="1" customWidth="1"/>
    <col min="16" max="19" width="18.140625" bestFit="1" customWidth="1"/>
    <col min="20" max="20" width="17.140625" customWidth="1"/>
    <col min="21" max="21" width="16" customWidth="1"/>
    <col min="22" max="24" width="18.140625" customWidth="1"/>
  </cols>
  <sheetData>
    <row r="3" spans="1:29" x14ac:dyDescent="0.25">
      <c r="A3" s="1" t="s">
        <v>0</v>
      </c>
      <c r="B3" s="1" t="s">
        <v>1</v>
      </c>
      <c r="C3" s="2" t="s">
        <v>2</v>
      </c>
      <c r="D3" s="2" t="s">
        <v>3</v>
      </c>
      <c r="E3" s="95" t="s">
        <v>495</v>
      </c>
      <c r="F3" s="95"/>
      <c r="G3" s="95"/>
      <c r="H3" s="95"/>
      <c r="I3" s="95"/>
      <c r="J3" s="93" t="s">
        <v>8</v>
      </c>
      <c r="K3" s="93"/>
      <c r="L3" s="93"/>
      <c r="M3" s="93"/>
      <c r="N3" s="94"/>
      <c r="O3" s="93" t="s">
        <v>496</v>
      </c>
      <c r="P3" s="93"/>
      <c r="Q3" s="93"/>
      <c r="R3" s="93"/>
      <c r="S3" s="94"/>
      <c r="T3" s="95" t="s">
        <v>4</v>
      </c>
      <c r="U3" s="95"/>
      <c r="V3" s="95"/>
      <c r="W3" s="95"/>
      <c r="X3" s="95"/>
      <c r="Y3" s="95" t="s">
        <v>497</v>
      </c>
      <c r="Z3" s="95"/>
      <c r="AA3" s="95"/>
      <c r="AB3" s="95"/>
      <c r="AC3" s="95"/>
    </row>
    <row r="4" spans="1:29" x14ac:dyDescent="0.25">
      <c r="A4" s="3"/>
      <c r="B4" s="3"/>
      <c r="C4" s="3"/>
      <c r="D4" s="3"/>
      <c r="E4" s="3">
        <v>2018</v>
      </c>
      <c r="F4" s="3">
        <v>2019</v>
      </c>
      <c r="G4" s="4">
        <v>2020</v>
      </c>
      <c r="H4" s="4">
        <v>2021</v>
      </c>
      <c r="I4" s="4">
        <v>2022</v>
      </c>
      <c r="J4" s="3">
        <v>2018</v>
      </c>
      <c r="K4" s="3">
        <v>2019</v>
      </c>
      <c r="L4" s="4">
        <v>2020</v>
      </c>
      <c r="M4" s="4">
        <v>2021</v>
      </c>
      <c r="N4" s="4">
        <v>2022</v>
      </c>
      <c r="O4" s="3">
        <v>2018</v>
      </c>
      <c r="P4" s="3">
        <v>2019</v>
      </c>
      <c r="Q4" s="4">
        <v>2020</v>
      </c>
      <c r="R4" s="4">
        <v>2021</v>
      </c>
      <c r="S4" s="4">
        <v>2022</v>
      </c>
      <c r="T4" s="3">
        <v>2018</v>
      </c>
      <c r="U4" s="3">
        <v>2019</v>
      </c>
      <c r="V4" s="4">
        <v>2020</v>
      </c>
      <c r="W4" s="4">
        <v>2021</v>
      </c>
      <c r="X4" s="4">
        <v>2022</v>
      </c>
      <c r="Y4" s="3">
        <v>2018</v>
      </c>
      <c r="Z4" s="3">
        <v>2019</v>
      </c>
      <c r="AA4" s="4">
        <v>2020</v>
      </c>
      <c r="AB4" s="4">
        <v>2021</v>
      </c>
      <c r="AC4" s="4">
        <v>2022</v>
      </c>
    </row>
    <row r="5" spans="1:29" x14ac:dyDescent="0.25">
      <c r="A5" s="5">
        <v>1</v>
      </c>
      <c r="B5" s="5" t="s">
        <v>10</v>
      </c>
      <c r="C5" s="5" t="s">
        <v>11</v>
      </c>
      <c r="D5" s="6">
        <v>32847</v>
      </c>
      <c r="E5" s="9">
        <v>18450</v>
      </c>
      <c r="F5" s="9">
        <v>19025</v>
      </c>
      <c r="G5" s="9">
        <v>14475</v>
      </c>
      <c r="H5" s="9">
        <v>12100</v>
      </c>
      <c r="I5" s="9">
        <v>9900</v>
      </c>
      <c r="J5" s="10">
        <v>3681231699</v>
      </c>
      <c r="K5" s="10">
        <v>3681231699</v>
      </c>
      <c r="L5" s="9">
        <v>3681231699</v>
      </c>
      <c r="M5" s="9">
        <v>3549811099</v>
      </c>
      <c r="N5" s="8">
        <v>3431073399</v>
      </c>
      <c r="O5" s="8">
        <v>4566973000000</v>
      </c>
      <c r="P5" s="8">
        <v>4627488000000</v>
      </c>
      <c r="Q5" s="8">
        <v>5168424000000</v>
      </c>
      <c r="R5" s="8">
        <v>5515150000000</v>
      </c>
      <c r="S5" s="8">
        <v>6139263000000</v>
      </c>
      <c r="T5" s="7">
        <v>27788562000000</v>
      </c>
      <c r="U5" s="7">
        <v>27707749000000</v>
      </c>
      <c r="V5" s="7">
        <v>27344672000000</v>
      </c>
      <c r="W5" s="7">
        <v>26136114000000</v>
      </c>
      <c r="X5" s="8">
        <v>25706169000000</v>
      </c>
      <c r="Y5" s="73">
        <f>((E5*J5)+O5)/T5</f>
        <v>2.6084724300073532</v>
      </c>
      <c r="Z5" s="73">
        <f t="shared" ref="Z5:AC5" si="0">((F5*K5)+P5)/U5</f>
        <v>2.6946584897053527</v>
      </c>
      <c r="AA5" s="73">
        <f t="shared" si="0"/>
        <v>2.1376834523019697</v>
      </c>
      <c r="AB5" s="73">
        <f t="shared" si="0"/>
        <v>1.8544403463307515</v>
      </c>
      <c r="AC5" s="73">
        <f t="shared" si="0"/>
        <v>1.560204853943814</v>
      </c>
    </row>
    <row r="6" spans="1:29" x14ac:dyDescent="0.25">
      <c r="A6" s="5">
        <v>2</v>
      </c>
      <c r="B6" s="5" t="s">
        <v>18</v>
      </c>
      <c r="C6" s="5" t="s">
        <v>19</v>
      </c>
      <c r="D6" s="6">
        <v>33427</v>
      </c>
      <c r="E6" s="9">
        <v>11500</v>
      </c>
      <c r="F6" s="9">
        <v>12000</v>
      </c>
      <c r="G6" s="9">
        <v>12000</v>
      </c>
      <c r="H6" s="9">
        <v>7250</v>
      </c>
      <c r="I6" s="9">
        <v>6575</v>
      </c>
      <c r="J6" s="9">
        <v>5931520000</v>
      </c>
      <c r="K6" s="9">
        <v>5931520000</v>
      </c>
      <c r="L6" s="9">
        <v>5931520000</v>
      </c>
      <c r="M6" s="9">
        <v>5931520000</v>
      </c>
      <c r="N6" s="9">
        <v>6751540089</v>
      </c>
      <c r="O6" s="8">
        <v>18419594705000</v>
      </c>
      <c r="P6" s="8">
        <v>43915143000000</v>
      </c>
      <c r="Q6" s="8">
        <v>40571674000000</v>
      </c>
      <c r="R6" s="8">
        <v>37110080000000</v>
      </c>
      <c r="S6" s="8">
        <v>33270652000000</v>
      </c>
      <c r="T6" s="7">
        <v>51155890227000</v>
      </c>
      <c r="U6" s="7">
        <v>79807067000000</v>
      </c>
      <c r="V6" s="7">
        <v>78006244000000</v>
      </c>
      <c r="W6" s="8">
        <v>81766327000000</v>
      </c>
      <c r="X6" s="8">
        <v>82960012000000</v>
      </c>
      <c r="Y6" s="73">
        <f t="shared" ref="Y6:Y53" si="1">((E6*J6)+O6)/T6</f>
        <v>1.6934916843510568</v>
      </c>
      <c r="Z6" s="73">
        <f t="shared" ref="Z6:Z53" si="2">((F6*K6)+P6)/U6</f>
        <v>1.4421452551313532</v>
      </c>
      <c r="AA6" s="73">
        <f t="shared" ref="AA6:AA53" si="3">((G6*L6)+Q6)/V6</f>
        <v>1.432576525540699</v>
      </c>
      <c r="AB6" s="73">
        <f t="shared" ref="AB6:AB53" si="4">((H6*M6)+R6)/W6</f>
        <v>0.97978719283795146</v>
      </c>
      <c r="AC6" s="73">
        <f t="shared" ref="AC6:AC53" si="5">((I6*N6)+S6)/X6</f>
        <v>0.93613810091029159</v>
      </c>
    </row>
    <row r="7" spans="1:29" x14ac:dyDescent="0.25">
      <c r="A7" s="5">
        <v>3</v>
      </c>
      <c r="B7" s="5" t="s">
        <v>24</v>
      </c>
      <c r="C7" s="5" t="s">
        <v>25</v>
      </c>
      <c r="D7" s="6">
        <v>42633</v>
      </c>
      <c r="E7" s="9">
        <v>376</v>
      </c>
      <c r="F7" s="9">
        <v>450</v>
      </c>
      <c r="G7" s="9">
        <v>386</v>
      </c>
      <c r="H7" s="9">
        <v>246</v>
      </c>
      <c r="I7" s="9">
        <v>191</v>
      </c>
      <c r="J7" s="9">
        <v>8715466600</v>
      </c>
      <c r="K7" s="9">
        <v>8715466600</v>
      </c>
      <c r="L7" s="9">
        <v>8715466600</v>
      </c>
      <c r="M7" s="9">
        <v>8715466600</v>
      </c>
      <c r="N7" s="9">
        <v>8715466600</v>
      </c>
      <c r="O7" s="8">
        <v>5744966289467</v>
      </c>
      <c r="P7" s="8">
        <v>6829449147200</v>
      </c>
      <c r="Q7" s="8">
        <v>5118444300470</v>
      </c>
      <c r="R7" s="8">
        <v>5597700106779</v>
      </c>
      <c r="S7" s="8">
        <v>5809708177850</v>
      </c>
      <c r="T7" s="7">
        <v>8881778299672</v>
      </c>
      <c r="U7" s="7">
        <v>10337895087207</v>
      </c>
      <c r="V7" s="7">
        <v>8509017299594</v>
      </c>
      <c r="W7" s="8">
        <v>9082511044439</v>
      </c>
      <c r="X7" s="17">
        <v>9447528704261</v>
      </c>
      <c r="Y7" s="73">
        <f t="shared" si="1"/>
        <v>1.0157855135159337</v>
      </c>
      <c r="Z7" s="73">
        <f t="shared" si="2"/>
        <v>1.0399998284471583</v>
      </c>
      <c r="AA7" s="73">
        <f t="shared" si="3"/>
        <v>0.99689706923909305</v>
      </c>
      <c r="AB7" s="73">
        <f t="shared" si="4"/>
        <v>0.85237494922938262</v>
      </c>
      <c r="AC7" s="73">
        <f t="shared" si="5"/>
        <v>0.79114470380798441</v>
      </c>
    </row>
    <row r="8" spans="1:29" x14ac:dyDescent="0.25">
      <c r="A8" s="5">
        <v>4</v>
      </c>
      <c r="B8" s="5" t="s">
        <v>30</v>
      </c>
      <c r="C8" s="5" t="s">
        <v>31</v>
      </c>
      <c r="D8" s="6">
        <v>37089</v>
      </c>
      <c r="E8" s="9">
        <v>520</v>
      </c>
      <c r="F8" s="9">
        <v>436</v>
      </c>
      <c r="G8" s="9">
        <v>680</v>
      </c>
      <c r="H8" s="9">
        <v>800</v>
      </c>
      <c r="I8" s="9">
        <v>995</v>
      </c>
      <c r="J8" s="10">
        <v>7341430976</v>
      </c>
      <c r="K8" s="10">
        <v>7341430976</v>
      </c>
      <c r="L8" s="8">
        <v>7271198676</v>
      </c>
      <c r="M8" s="8">
        <v>7271198676</v>
      </c>
      <c r="N8" s="8">
        <v>7271198676</v>
      </c>
      <c r="O8" s="8">
        <v>556309556626</v>
      </c>
      <c r="P8" s="8">
        <v>622355306743</v>
      </c>
      <c r="Q8" s="8">
        <v>665401637797</v>
      </c>
      <c r="R8" s="8">
        <v>670353190326</v>
      </c>
      <c r="S8" s="8">
        <v>745695258308</v>
      </c>
      <c r="T8" s="7">
        <v>1652905985730</v>
      </c>
      <c r="U8" s="7">
        <v>1799137069343</v>
      </c>
      <c r="V8" s="7">
        <v>1970340289520</v>
      </c>
      <c r="W8" s="8">
        <v>2243523072803</v>
      </c>
      <c r="X8" s="8">
        <v>2578868615545</v>
      </c>
      <c r="Y8" s="73">
        <f t="shared" si="1"/>
        <v>2.6461599763729473</v>
      </c>
      <c r="Z8" s="73">
        <f t="shared" si="2"/>
        <v>2.1250294251761175</v>
      </c>
      <c r="AA8" s="73">
        <f t="shared" si="3"/>
        <v>2.8471309079527694</v>
      </c>
      <c r="AB8" s="73">
        <f t="shared" si="4"/>
        <v>2.8915736190851469</v>
      </c>
      <c r="AC8" s="73">
        <f t="shared" si="5"/>
        <v>3.0945888025557475</v>
      </c>
    </row>
    <row r="9" spans="1:29" x14ac:dyDescent="0.25">
      <c r="A9" s="5">
        <v>5</v>
      </c>
      <c r="B9" s="5" t="s">
        <v>36</v>
      </c>
      <c r="C9" s="5" t="s">
        <v>37</v>
      </c>
      <c r="D9" s="6">
        <v>42928</v>
      </c>
      <c r="E9" s="9">
        <v>397</v>
      </c>
      <c r="F9" s="9">
        <v>452</v>
      </c>
      <c r="G9" s="9">
        <v>840</v>
      </c>
      <c r="H9" s="9">
        <v>1075</v>
      </c>
      <c r="I9" s="9">
        <v>665</v>
      </c>
      <c r="J9" s="10">
        <v>760000062</v>
      </c>
      <c r="K9" s="10">
        <v>3800000310</v>
      </c>
      <c r="L9" s="9">
        <v>3800000310</v>
      </c>
      <c r="M9" s="9">
        <v>3800000310</v>
      </c>
      <c r="N9" s="8">
        <v>3800000310</v>
      </c>
      <c r="O9" s="8">
        <v>80342456509</v>
      </c>
      <c r="P9" s="8">
        <v>142230988429</v>
      </c>
      <c r="Q9" s="8">
        <v>310254413728</v>
      </c>
      <c r="R9" s="8">
        <v>334818456747</v>
      </c>
      <c r="S9" s="8">
        <v>161587275147</v>
      </c>
      <c r="T9" s="7">
        <v>318080326465</v>
      </c>
      <c r="U9" s="7">
        <v>441254067741</v>
      </c>
      <c r="V9" s="7">
        <v>719726855599</v>
      </c>
      <c r="W9" s="8">
        <v>1078458868349</v>
      </c>
      <c r="X9" s="8">
        <v>1005368365991</v>
      </c>
      <c r="Y9" s="73">
        <f t="shared" si="1"/>
        <v>1.2011509336936004</v>
      </c>
      <c r="Z9" s="73">
        <f t="shared" si="2"/>
        <v>4.2148758833440443</v>
      </c>
      <c r="AA9" s="73">
        <f t="shared" si="3"/>
        <v>4.8660886374918064</v>
      </c>
      <c r="AB9" s="73">
        <f t="shared" si="4"/>
        <v>4.0982729334529457</v>
      </c>
      <c r="AC9" s="73">
        <f t="shared" si="5"/>
        <v>2.6742312293134836</v>
      </c>
    </row>
    <row r="10" spans="1:29" x14ac:dyDescent="0.25">
      <c r="A10" s="5">
        <v>6</v>
      </c>
      <c r="B10" s="5" t="s">
        <v>40</v>
      </c>
      <c r="C10" s="5" t="s">
        <v>41</v>
      </c>
      <c r="D10" s="6">
        <v>33176</v>
      </c>
      <c r="E10" s="9">
        <v>348</v>
      </c>
      <c r="F10" s="9">
        <v>292</v>
      </c>
      <c r="G10" s="9">
        <v>238</v>
      </c>
      <c r="H10" s="9">
        <v>220</v>
      </c>
      <c r="I10" s="9">
        <v>270</v>
      </c>
      <c r="J10" s="10">
        <v>10320000000</v>
      </c>
      <c r="K10" s="10">
        <v>10320000000</v>
      </c>
      <c r="L10" s="9">
        <v>10320000000</v>
      </c>
      <c r="M10" s="9">
        <v>10320000000</v>
      </c>
      <c r="N10" s="9">
        <v>10320000000</v>
      </c>
      <c r="O10" s="8">
        <v>967642637307</v>
      </c>
      <c r="P10" s="8">
        <v>994204688438</v>
      </c>
      <c r="Q10" s="8">
        <v>1183847184535</v>
      </c>
      <c r="R10" s="8">
        <v>1108490026661</v>
      </c>
      <c r="S10" s="8">
        <v>1002210741085</v>
      </c>
      <c r="T10" s="7">
        <v>1558071752917</v>
      </c>
      <c r="U10" s="7">
        <v>2918467252139</v>
      </c>
      <c r="V10" s="7">
        <v>3107410113178</v>
      </c>
      <c r="W10" s="17">
        <v>3236330922409</v>
      </c>
      <c r="X10" s="8">
        <v>3304972191991</v>
      </c>
      <c r="Y10" s="73">
        <f t="shared" si="1"/>
        <v>2.9260543545389996</v>
      </c>
      <c r="Z10" s="73">
        <f t="shared" si="2"/>
        <v>1.3732018700914739</v>
      </c>
      <c r="AA10" s="73">
        <f t="shared" si="3"/>
        <v>1.1713958093585222</v>
      </c>
      <c r="AB10" s="73">
        <f t="shared" si="4"/>
        <v>1.0440496066903704</v>
      </c>
      <c r="AC10" s="73">
        <f t="shared" si="5"/>
        <v>1.1463366470271703</v>
      </c>
    </row>
    <row r="11" spans="1:29" x14ac:dyDescent="0.25">
      <c r="A11" s="5">
        <v>7</v>
      </c>
      <c r="B11" s="5" t="s">
        <v>82</v>
      </c>
      <c r="C11" s="5" t="s">
        <v>83</v>
      </c>
      <c r="D11" s="6">
        <v>34243</v>
      </c>
      <c r="E11" s="9">
        <v>478</v>
      </c>
      <c r="F11" s="9">
        <v>1510</v>
      </c>
      <c r="G11" s="9">
        <v>1100</v>
      </c>
      <c r="H11" s="9">
        <v>855</v>
      </c>
      <c r="I11" s="9">
        <v>755</v>
      </c>
      <c r="J11" s="10">
        <v>17791586878</v>
      </c>
      <c r="K11" s="10">
        <v>89015998170</v>
      </c>
      <c r="L11" s="9">
        <v>93388796190</v>
      </c>
      <c r="M11" s="9">
        <v>93747018044</v>
      </c>
      <c r="N11" s="9">
        <v>93747018044</v>
      </c>
      <c r="O11" s="7">
        <f>14481*4340449000</f>
        <v>62854041969000</v>
      </c>
      <c r="P11" s="7">
        <f>13901*4426628000</f>
        <v>61534555828000</v>
      </c>
      <c r="Q11" s="7">
        <f>14105*4732198000</f>
        <v>66747652790000</v>
      </c>
      <c r="R11" s="9">
        <f>14311*4974476000</f>
        <v>71189726036000</v>
      </c>
      <c r="S11" s="77">
        <f>15731*5526357000</f>
        <v>86935121967000</v>
      </c>
      <c r="T11" s="7">
        <f>14481*7042491000</f>
        <v>101982312171000</v>
      </c>
      <c r="U11" s="7">
        <f>13901*7182435000</f>
        <v>99843028935000</v>
      </c>
      <c r="V11" s="7">
        <f>14105*7683159000</f>
        <v>108370957695000</v>
      </c>
      <c r="W11" s="8">
        <f>14311*9241551000</f>
        <v>132255836361000</v>
      </c>
      <c r="X11" s="8">
        <f>15731*9248254000</f>
        <v>145484283674000</v>
      </c>
      <c r="Y11" s="73">
        <f t="shared" si="1"/>
        <v>0.69971369522425575</v>
      </c>
      <c r="Z11" s="73">
        <f t="shared" si="2"/>
        <v>1.9625677942149262</v>
      </c>
      <c r="AA11" s="73">
        <f t="shared" si="3"/>
        <v>1.5638445225885387</v>
      </c>
      <c r="AB11" s="73">
        <f t="shared" si="4"/>
        <v>1.1443232346323025</v>
      </c>
      <c r="AC11" s="73">
        <f t="shared" si="5"/>
        <v>1.0840629421087471</v>
      </c>
    </row>
    <row r="12" spans="1:29" x14ac:dyDescent="0.25">
      <c r="A12" s="5">
        <v>8</v>
      </c>
      <c r="B12" s="5" t="s">
        <v>89</v>
      </c>
      <c r="C12" s="5" t="s">
        <v>90</v>
      </c>
      <c r="D12" s="6">
        <v>33099</v>
      </c>
      <c r="E12" s="9">
        <v>855</v>
      </c>
      <c r="F12" s="9">
        <v>1070</v>
      </c>
      <c r="G12" s="9">
        <v>1260</v>
      </c>
      <c r="H12" s="9">
        <v>1455</v>
      </c>
      <c r="I12" s="9">
        <v>280</v>
      </c>
      <c r="J12" s="10">
        <v>698775000</v>
      </c>
      <c r="K12" s="10">
        <v>698775000</v>
      </c>
      <c r="L12" s="9">
        <v>698775000</v>
      </c>
      <c r="M12" s="9">
        <v>698775000</v>
      </c>
      <c r="N12" s="8">
        <v>3493875000</v>
      </c>
      <c r="O12" s="7">
        <v>128684953153</v>
      </c>
      <c r="P12" s="7">
        <v>115690798743</v>
      </c>
      <c r="Q12" s="7">
        <v>129617262724</v>
      </c>
      <c r="R12" s="9">
        <v>135165299199</v>
      </c>
      <c r="S12" s="77">
        <v>108448241205</v>
      </c>
      <c r="T12" s="7">
        <v>853267454400</v>
      </c>
      <c r="U12" s="7">
        <v>968234349565</v>
      </c>
      <c r="V12" s="7">
        <v>1081979820386</v>
      </c>
      <c r="W12" s="8">
        <v>1165564745263</v>
      </c>
      <c r="X12" s="8">
        <v>1221291885832</v>
      </c>
      <c r="Y12" s="73">
        <f t="shared" si="1"/>
        <v>0.8510081738247065</v>
      </c>
      <c r="Z12" s="73">
        <f t="shared" si="2"/>
        <v>0.89170565899762999</v>
      </c>
      <c r="AA12" s="73">
        <f t="shared" si="3"/>
        <v>0.93354214532730628</v>
      </c>
      <c r="AB12" s="73">
        <f t="shared" si="4"/>
        <v>0.98826163787159438</v>
      </c>
      <c r="AC12" s="73">
        <f t="shared" si="5"/>
        <v>0.8898226982525701</v>
      </c>
    </row>
    <row r="13" spans="1:29" x14ac:dyDescent="0.25">
      <c r="A13" s="5">
        <v>9</v>
      </c>
      <c r="B13" s="5" t="s">
        <v>99</v>
      </c>
      <c r="C13" s="5" t="s">
        <v>100</v>
      </c>
      <c r="D13" s="6">
        <v>43342</v>
      </c>
      <c r="E13" s="9">
        <v>942.86</v>
      </c>
      <c r="F13" s="9">
        <v>797.14</v>
      </c>
      <c r="G13" s="9">
        <v>728.57</v>
      </c>
      <c r="H13" s="9">
        <v>428</v>
      </c>
      <c r="I13" s="9">
        <v>208</v>
      </c>
      <c r="J13" s="76">
        <v>1983888498</v>
      </c>
      <c r="K13" s="10">
        <v>2334888498</v>
      </c>
      <c r="L13" s="10">
        <v>2334888498</v>
      </c>
      <c r="M13" s="10">
        <v>2724036581</v>
      </c>
      <c r="N13" s="10">
        <v>2724036581</v>
      </c>
      <c r="O13" s="74">
        <v>705279760000</v>
      </c>
      <c r="P13" s="7">
        <v>691923883000</v>
      </c>
      <c r="Q13" s="7">
        <v>889592205000</v>
      </c>
      <c r="R13" s="25">
        <v>781382414000</v>
      </c>
      <c r="S13" s="77">
        <v>677054913000</v>
      </c>
      <c r="T13" s="74">
        <v>1868245599000</v>
      </c>
      <c r="U13" s="7">
        <v>1872712715000</v>
      </c>
      <c r="V13" s="7">
        <v>2279580714000</v>
      </c>
      <c r="W13" s="8">
        <v>2275216679000</v>
      </c>
      <c r="X13" s="8">
        <v>2182945756000</v>
      </c>
      <c r="Y13" s="73">
        <f t="shared" si="1"/>
        <v>1.3787313994493078</v>
      </c>
      <c r="Z13" s="73">
        <f t="shared" si="2"/>
        <v>1.36334680693174</v>
      </c>
      <c r="AA13" s="73">
        <f t="shared" si="3"/>
        <v>1.1364905405967829</v>
      </c>
      <c r="AB13" s="73">
        <f t="shared" si="4"/>
        <v>0.85586137295893128</v>
      </c>
      <c r="AC13" s="73">
        <f t="shared" si="5"/>
        <v>0.56971389162085984</v>
      </c>
    </row>
    <row r="14" spans="1:29" x14ac:dyDescent="0.25">
      <c r="A14" s="5">
        <v>10</v>
      </c>
      <c r="B14" s="11" t="s">
        <v>111</v>
      </c>
      <c r="C14" s="11" t="s">
        <v>112</v>
      </c>
      <c r="D14" s="6">
        <v>43199</v>
      </c>
      <c r="E14" s="9">
        <v>308</v>
      </c>
      <c r="F14" s="9">
        <v>254</v>
      </c>
      <c r="G14" s="9">
        <v>144</v>
      </c>
      <c r="H14" s="9">
        <v>119</v>
      </c>
      <c r="I14" s="9">
        <v>119</v>
      </c>
      <c r="J14" s="8">
        <v>10485050500</v>
      </c>
      <c r="K14" s="8">
        <v>10485050500</v>
      </c>
      <c r="L14" s="8">
        <v>10485050500</v>
      </c>
      <c r="M14" s="8">
        <v>10485050500</v>
      </c>
      <c r="N14" s="8">
        <v>10485050500</v>
      </c>
      <c r="O14" s="8">
        <f>14481*161179042</f>
        <v>2334033707202</v>
      </c>
      <c r="P14" s="8">
        <f>13901*197830513</f>
        <v>2750041961213</v>
      </c>
      <c r="Q14" s="8">
        <f>14105*194671951</f>
        <v>2745847868855</v>
      </c>
      <c r="R14" s="8">
        <f>14311*137019216</f>
        <v>1960882000176</v>
      </c>
      <c r="S14" s="8">
        <f>15731*126372809</f>
        <v>1987970658379</v>
      </c>
      <c r="T14" s="8">
        <f>14481*304204072</f>
        <v>4405179166632</v>
      </c>
      <c r="U14" s="8">
        <f>13901*356285764</f>
        <v>4952728405364</v>
      </c>
      <c r="V14" s="7">
        <f>14105*349209327</f>
        <v>4925597557335</v>
      </c>
      <c r="W14" s="7">
        <f>14311*210575452</f>
        <v>3013545293572</v>
      </c>
      <c r="X14" s="7">
        <f>15731*146631100</f>
        <v>2306653834100</v>
      </c>
      <c r="Y14" s="73">
        <f t="shared" si="1"/>
        <v>1.2629291683170165</v>
      </c>
      <c r="Z14" s="73">
        <f t="shared" si="2"/>
        <v>1.0929823614697391</v>
      </c>
      <c r="AA14" s="73">
        <f t="shared" si="3"/>
        <v>0.86399570637223322</v>
      </c>
      <c r="AB14" s="73">
        <f t="shared" si="4"/>
        <v>1.0647269900074392</v>
      </c>
      <c r="AC14" s="73">
        <f t="shared" si="5"/>
        <v>1.4027643073463114</v>
      </c>
    </row>
    <row r="15" spans="1:29" x14ac:dyDescent="0.25">
      <c r="A15" s="5">
        <v>11</v>
      </c>
      <c r="B15" s="5" t="s">
        <v>113</v>
      </c>
      <c r="C15" s="5" t="s">
        <v>114</v>
      </c>
      <c r="D15" s="6">
        <v>39594</v>
      </c>
      <c r="E15" s="9">
        <v>5925</v>
      </c>
      <c r="F15" s="9">
        <v>10375</v>
      </c>
      <c r="G15" s="9">
        <v>9075</v>
      </c>
      <c r="H15" s="9">
        <v>7325</v>
      </c>
      <c r="I15" s="9">
        <v>2570</v>
      </c>
      <c r="J15" s="10">
        <v>17833520260</v>
      </c>
      <c r="K15" s="10">
        <v>17833520260</v>
      </c>
      <c r="L15" s="10">
        <v>17833520260</v>
      </c>
      <c r="M15" s="10">
        <v>21627886273</v>
      </c>
      <c r="N15" s="8">
        <v>86511545092</v>
      </c>
      <c r="O15" s="7">
        <f>14481*1403409000</f>
        <v>20322765729000</v>
      </c>
      <c r="P15" s="7">
        <f>13901*1690219000</f>
        <v>23495734319000</v>
      </c>
      <c r="Q15" s="52">
        <v>25139609495000</v>
      </c>
      <c r="R15" s="77">
        <v>29557867845000</v>
      </c>
      <c r="S15" s="77">
        <v>33361754215000</v>
      </c>
      <c r="T15" s="7">
        <f>14481*3173486000</f>
        <v>45955250766000</v>
      </c>
      <c r="U15" s="7">
        <f>14481*3451211000</f>
        <v>49976986491000</v>
      </c>
      <c r="V15" s="7">
        <f>14105*3593747000</f>
        <v>50689801435000</v>
      </c>
      <c r="W15" s="8">
        <f>14311*4993060000</f>
        <v>71455681660000</v>
      </c>
      <c r="X15" s="8">
        <f>15731*4929871000</f>
        <v>77551800701000</v>
      </c>
      <c r="Y15" s="73">
        <f t="shared" si="1"/>
        <v>2.7415011597044976</v>
      </c>
      <c r="Z15" s="73">
        <f t="shared" si="2"/>
        <v>4.1722905212392227</v>
      </c>
      <c r="AA15" s="73">
        <f t="shared" si="3"/>
        <v>3.6886868869325649</v>
      </c>
      <c r="AB15" s="73">
        <f t="shared" si="4"/>
        <v>2.6307514032149393</v>
      </c>
      <c r="AC15" s="73">
        <f t="shared" si="5"/>
        <v>3.297104938765695</v>
      </c>
    </row>
    <row r="16" spans="1:29" x14ac:dyDescent="0.25">
      <c r="A16" s="5">
        <v>12</v>
      </c>
      <c r="B16" s="5" t="s">
        <v>115</v>
      </c>
      <c r="C16" s="5" t="s">
        <v>116</v>
      </c>
      <c r="D16" s="6">
        <v>32818</v>
      </c>
      <c r="E16" s="9">
        <v>3900</v>
      </c>
      <c r="F16" s="9">
        <v>3850</v>
      </c>
      <c r="G16" s="9">
        <v>4700</v>
      </c>
      <c r="H16" s="9">
        <v>12600</v>
      </c>
      <c r="I16" s="9">
        <v>9975</v>
      </c>
      <c r="J16" s="10">
        <v>383331363</v>
      </c>
      <c r="K16" s="10">
        <v>383331363</v>
      </c>
      <c r="L16" s="10">
        <v>383331363</v>
      </c>
      <c r="M16" s="10">
        <v>383331363</v>
      </c>
      <c r="N16" s="10">
        <v>383331363</v>
      </c>
      <c r="O16" s="7">
        <f>14481*70077695</f>
        <v>1014795101295</v>
      </c>
      <c r="P16" s="7">
        <f>13901*43552524</f>
        <v>605423636124</v>
      </c>
      <c r="Q16" s="52">
        <v>614165636630</v>
      </c>
      <c r="R16" s="77">
        <v>744148773247</v>
      </c>
      <c r="S16" s="77">
        <v>670524735289</v>
      </c>
      <c r="T16" s="7">
        <f>14481*236410388</f>
        <v>3423458828628</v>
      </c>
      <c r="U16" s="7">
        <f>14481*219757421</f>
        <v>3182307213501</v>
      </c>
      <c r="V16" s="7">
        <f>14105*242256371</f>
        <v>3417026112955</v>
      </c>
      <c r="W16" s="7">
        <f>14311*292723782</f>
        <v>4189170044202</v>
      </c>
      <c r="X16" s="8">
        <f>15731*317577675</f>
        <v>4995814405425</v>
      </c>
      <c r="Y16" s="73">
        <f t="shared" si="1"/>
        <v>0.73311453200704424</v>
      </c>
      <c r="Z16" s="73">
        <f t="shared" si="2"/>
        <v>0.6540064311969187</v>
      </c>
      <c r="AA16" s="73">
        <f t="shared" si="3"/>
        <v>0.70699578021100562</v>
      </c>
      <c r="AB16" s="73">
        <f t="shared" si="4"/>
        <v>1.3306034102773743</v>
      </c>
      <c r="AC16" s="73">
        <f t="shared" si="5"/>
        <v>0.89960409184409407</v>
      </c>
    </row>
    <row r="17" spans="1:29" x14ac:dyDescent="0.25">
      <c r="A17" s="5">
        <v>13</v>
      </c>
      <c r="B17" s="5" t="s">
        <v>129</v>
      </c>
      <c r="C17" s="5" t="s">
        <v>130</v>
      </c>
      <c r="D17" s="6">
        <v>33182</v>
      </c>
      <c r="E17" s="9">
        <v>382</v>
      </c>
      <c r="F17" s="9">
        <v>340</v>
      </c>
      <c r="G17" s="9">
        <v>354</v>
      </c>
      <c r="H17" s="9">
        <v>440</v>
      </c>
      <c r="I17" s="9">
        <v>466</v>
      </c>
      <c r="J17" s="10">
        <v>972204500</v>
      </c>
      <c r="K17" s="10">
        <v>972204500</v>
      </c>
      <c r="L17" s="10">
        <v>972204500</v>
      </c>
      <c r="M17" s="10">
        <v>972204500</v>
      </c>
      <c r="N17" s="10">
        <v>972204500</v>
      </c>
      <c r="O17" s="7">
        <v>87283567361</v>
      </c>
      <c r="P17" s="7">
        <v>80669409164</v>
      </c>
      <c r="Q17" s="52">
        <v>72281042223</v>
      </c>
      <c r="R17" s="9">
        <v>117903045612</v>
      </c>
      <c r="S17" s="8">
        <v>76709432048</v>
      </c>
      <c r="T17" s="7">
        <v>570197810698</v>
      </c>
      <c r="U17" s="7">
        <v>617594780669</v>
      </c>
      <c r="V17" s="7">
        <v>665863417235</v>
      </c>
      <c r="W17" s="8">
        <v>809371584010</v>
      </c>
      <c r="X17" s="8">
        <v>863638556466</v>
      </c>
      <c r="Y17" s="73">
        <f t="shared" si="1"/>
        <v>0.80439748760089158</v>
      </c>
      <c r="Z17" s="73">
        <f t="shared" si="2"/>
        <v>0.66583940155477583</v>
      </c>
      <c r="AA17" s="73">
        <f t="shared" si="3"/>
        <v>0.62541570004292235</v>
      </c>
      <c r="AB17" s="73">
        <f t="shared" si="4"/>
        <v>0.67419345624723348</v>
      </c>
      <c r="AC17" s="73">
        <f t="shared" si="5"/>
        <v>0.61340097090588341</v>
      </c>
    </row>
    <row r="18" spans="1:29" x14ac:dyDescent="0.25">
      <c r="A18" s="5">
        <v>14</v>
      </c>
      <c r="B18" s="5" t="s">
        <v>131</v>
      </c>
      <c r="C18" s="5" t="s">
        <v>132</v>
      </c>
      <c r="D18" s="6">
        <v>41990</v>
      </c>
      <c r="E18" s="9">
        <v>940</v>
      </c>
      <c r="F18" s="9">
        <v>1050</v>
      </c>
      <c r="G18" s="9">
        <v>1325</v>
      </c>
      <c r="H18" s="9">
        <v>2550</v>
      </c>
      <c r="I18" s="9">
        <v>3520</v>
      </c>
      <c r="J18" s="10">
        <v>4833500000</v>
      </c>
      <c r="K18" s="10">
        <v>4833500000</v>
      </c>
      <c r="L18" s="10">
        <v>4833500000</v>
      </c>
      <c r="M18" s="10">
        <v>4833500000</v>
      </c>
      <c r="N18" s="17">
        <v>4933500000</v>
      </c>
      <c r="O18" s="7">
        <v>997975486781</v>
      </c>
      <c r="P18" s="7">
        <v>1092845023431</v>
      </c>
      <c r="Q18" s="52">
        <v>1231192233990</v>
      </c>
      <c r="R18" s="9">
        <v>1184949828309</v>
      </c>
      <c r="S18" s="8">
        <v>1210746099447</v>
      </c>
      <c r="T18" s="7">
        <v>2370198817803</v>
      </c>
      <c r="U18" s="7">
        <v>2501132856219</v>
      </c>
      <c r="V18" s="7">
        <v>2697100062756</v>
      </c>
      <c r="W18" s="8">
        <v>1383431547987</v>
      </c>
      <c r="X18" s="17">
        <v>3435475875401</v>
      </c>
      <c r="Y18" s="73">
        <f t="shared" si="1"/>
        <v>2.3379749602261346</v>
      </c>
      <c r="Z18" s="73">
        <f t="shared" si="2"/>
        <v>2.4660905189799824</v>
      </c>
      <c r="AA18" s="73">
        <f t="shared" si="3"/>
        <v>2.8310331675969311</v>
      </c>
      <c r="AB18" s="73">
        <f t="shared" si="4"/>
        <v>9.7658426598465535</v>
      </c>
      <c r="AC18" s="73">
        <f t="shared" si="5"/>
        <v>5.4073050643322214</v>
      </c>
    </row>
    <row r="19" spans="1:29" x14ac:dyDescent="0.25">
      <c r="A19" s="5">
        <v>15</v>
      </c>
      <c r="B19" s="36" t="s">
        <v>135</v>
      </c>
      <c r="C19" s="5" t="s">
        <v>136</v>
      </c>
      <c r="D19" s="6">
        <v>43082</v>
      </c>
      <c r="E19" s="9">
        <v>1150</v>
      </c>
      <c r="F19" s="9">
        <v>980</v>
      </c>
      <c r="G19" s="9">
        <v>1435</v>
      </c>
      <c r="H19" s="9">
        <v>1605</v>
      </c>
      <c r="I19" s="9">
        <v>1575</v>
      </c>
      <c r="J19" s="10">
        <v>1875000000</v>
      </c>
      <c r="K19" s="10">
        <v>1875000000</v>
      </c>
      <c r="L19" s="10">
        <v>1875000000</v>
      </c>
      <c r="M19" s="10">
        <v>1875000000</v>
      </c>
      <c r="N19" s="10">
        <v>1875000000</v>
      </c>
      <c r="O19" s="7">
        <v>751597581000</v>
      </c>
      <c r="P19" s="7">
        <v>670694230000</v>
      </c>
      <c r="Q19" s="52">
        <v>492491798000</v>
      </c>
      <c r="R19" s="9">
        <v>524108151000</v>
      </c>
      <c r="S19" s="8">
        <v>594336031000</v>
      </c>
      <c r="T19" s="7">
        <v>2295734967000</v>
      </c>
      <c r="U19" s="7">
        <v>2338919728000</v>
      </c>
      <c r="V19" s="7">
        <v>2421301079000</v>
      </c>
      <c r="W19" s="8">
        <v>2795959663000</v>
      </c>
      <c r="X19" s="8">
        <v>3040363137000</v>
      </c>
      <c r="Y19" s="73">
        <f t="shared" si="1"/>
        <v>1.266630348362856</v>
      </c>
      <c r="Z19" s="73">
        <f t="shared" si="2"/>
        <v>1.0723729420781558</v>
      </c>
      <c r="AA19" s="73">
        <f t="shared" si="3"/>
        <v>1.314630727094307</v>
      </c>
      <c r="AB19" s="73">
        <f t="shared" si="4"/>
        <v>1.2637818770277445</v>
      </c>
      <c r="AC19" s="73">
        <f t="shared" si="5"/>
        <v>1.1667885943717782</v>
      </c>
    </row>
    <row r="20" spans="1:29" x14ac:dyDescent="0.25">
      <c r="A20" s="5">
        <v>16</v>
      </c>
      <c r="B20" s="36" t="s">
        <v>147</v>
      </c>
      <c r="C20" s="5" t="s">
        <v>148</v>
      </c>
      <c r="D20" s="6">
        <v>33315</v>
      </c>
      <c r="E20" s="9">
        <v>7225</v>
      </c>
      <c r="F20" s="9">
        <v>6500</v>
      </c>
      <c r="G20" s="9">
        <v>6525</v>
      </c>
      <c r="H20" s="9">
        <v>5950</v>
      </c>
      <c r="I20" s="9">
        <v>5650</v>
      </c>
      <c r="J20" s="10">
        <v>16398000000</v>
      </c>
      <c r="K20" s="10">
        <v>16398000000</v>
      </c>
      <c r="L20" s="10">
        <v>16398000000</v>
      </c>
      <c r="M20" s="10">
        <v>16398000000</v>
      </c>
      <c r="N20" s="10">
        <v>16398000000</v>
      </c>
      <c r="O20" s="7">
        <v>8253944000000</v>
      </c>
      <c r="P20" s="7">
        <v>8213550000000</v>
      </c>
      <c r="Q20" s="78">
        <v>7809608000000</v>
      </c>
      <c r="R20" s="8">
        <v>10296052000000</v>
      </c>
      <c r="S20" s="8">
        <v>13520331000000</v>
      </c>
      <c r="T20" s="7">
        <v>27645118000000</v>
      </c>
      <c r="U20" s="7">
        <v>29109408000000</v>
      </c>
      <c r="V20" s="7">
        <v>31159291000000</v>
      </c>
      <c r="W20" s="17">
        <v>35446051000000</v>
      </c>
      <c r="X20" s="17">
        <v>39847545000000</v>
      </c>
      <c r="Y20" s="73">
        <f t="shared" si="1"/>
        <v>4.5841545693528962</v>
      </c>
      <c r="Z20" s="73">
        <f t="shared" si="2"/>
        <v>3.9437610685864857</v>
      </c>
      <c r="AA20" s="73">
        <f t="shared" si="3"/>
        <v>3.6845048239383882</v>
      </c>
      <c r="AB20" s="73">
        <f t="shared" si="4"/>
        <v>3.0430513119783074</v>
      </c>
      <c r="AC20" s="73">
        <f t="shared" si="5"/>
        <v>2.6643807291013788</v>
      </c>
    </row>
    <row r="21" spans="1:29" x14ac:dyDescent="0.25">
      <c r="A21" s="5">
        <v>17</v>
      </c>
      <c r="B21" s="5" t="s">
        <v>168</v>
      </c>
      <c r="C21" s="5" t="s">
        <v>169</v>
      </c>
      <c r="D21" s="6">
        <v>40736</v>
      </c>
      <c r="E21" s="9">
        <v>392.63</v>
      </c>
      <c r="F21" s="9">
        <v>428</v>
      </c>
      <c r="G21" s="9">
        <v>570</v>
      </c>
      <c r="H21" s="9">
        <v>1000</v>
      </c>
      <c r="I21" s="9">
        <v>805</v>
      </c>
      <c r="J21" s="9">
        <v>550000000</v>
      </c>
      <c r="K21" s="9">
        <v>1100000000</v>
      </c>
      <c r="L21" s="9">
        <v>1100000000</v>
      </c>
      <c r="M21" s="9">
        <v>1316856020</v>
      </c>
      <c r="N21" s="8">
        <v>1316856309</v>
      </c>
      <c r="O21" s="7">
        <v>254539097693</v>
      </c>
      <c r="P21" s="7">
        <v>391708143237</v>
      </c>
      <c r="Q21" s="7">
        <v>363428319392</v>
      </c>
      <c r="R21" s="25">
        <v>507406880546</v>
      </c>
      <c r="S21" s="8">
        <v>803638004050</v>
      </c>
      <c r="T21" s="7">
        <v>526129315163</v>
      </c>
      <c r="U21" s="7">
        <v>925114449507</v>
      </c>
      <c r="V21" s="7">
        <v>953551967212</v>
      </c>
      <c r="W21" s="8">
        <v>1210809442028</v>
      </c>
      <c r="X21" s="8">
        <v>1568806950187</v>
      </c>
      <c r="Y21" s="73">
        <f t="shared" si="1"/>
        <v>0.89423946572381918</v>
      </c>
      <c r="Z21" s="73">
        <f t="shared" si="2"/>
        <v>0.932325879999644</v>
      </c>
      <c r="AA21" s="73">
        <f t="shared" si="3"/>
        <v>1.038672619267746</v>
      </c>
      <c r="AB21" s="73">
        <f t="shared" si="4"/>
        <v>1.5066474023282468</v>
      </c>
      <c r="AC21" s="73">
        <f t="shared" si="5"/>
        <v>1.1879774835092669</v>
      </c>
    </row>
    <row r="22" spans="1:29" x14ac:dyDescent="0.25">
      <c r="A22" s="5">
        <v>18</v>
      </c>
      <c r="B22" s="5" t="s">
        <v>170</v>
      </c>
      <c r="C22" s="5" t="s">
        <v>171</v>
      </c>
      <c r="D22" s="6">
        <v>34669</v>
      </c>
      <c r="E22" s="9">
        <v>11550</v>
      </c>
      <c r="F22" s="9">
        <v>7700</v>
      </c>
      <c r="G22" s="9">
        <v>7475</v>
      </c>
      <c r="H22" s="9">
        <v>7600</v>
      </c>
      <c r="I22" s="9">
        <v>5850</v>
      </c>
      <c r="J22" s="9">
        <v>2477888787</v>
      </c>
      <c r="K22" s="9">
        <v>2477888787</v>
      </c>
      <c r="L22" s="9">
        <v>2477888787</v>
      </c>
      <c r="M22" s="9">
        <v>2477888787</v>
      </c>
      <c r="N22" s="9">
        <v>2477888787</v>
      </c>
      <c r="O22" s="7">
        <v>6676781411219</v>
      </c>
      <c r="P22" s="7">
        <v>6059395120910</v>
      </c>
      <c r="Q22" s="9">
        <v>6930049292233</v>
      </c>
      <c r="R22" s="25">
        <v>8209355000000</v>
      </c>
      <c r="S22" s="8">
        <v>7866388000000</v>
      </c>
      <c r="T22" s="7">
        <v>10965118708784</v>
      </c>
      <c r="U22" s="7">
        <v>10751992944302</v>
      </c>
      <c r="V22" s="9">
        <v>11513044288721</v>
      </c>
      <c r="W22" s="8">
        <v>13302224000000</v>
      </c>
      <c r="X22" s="8">
        <v>12877846000000</v>
      </c>
      <c r="Y22" s="73">
        <f t="shared" si="1"/>
        <v>3.2189707962571861</v>
      </c>
      <c r="Z22" s="73">
        <f t="shared" si="2"/>
        <v>2.3380910786527669</v>
      </c>
      <c r="AA22" s="73">
        <f t="shared" si="3"/>
        <v>2.2107330899432793</v>
      </c>
      <c r="AB22" s="73">
        <f t="shared" si="4"/>
        <v>2.0328412588150675</v>
      </c>
      <c r="AC22" s="73">
        <f t="shared" si="5"/>
        <v>1.7364734291705306</v>
      </c>
    </row>
    <row r="23" spans="1:29" x14ac:dyDescent="0.25">
      <c r="A23" s="5">
        <v>19</v>
      </c>
      <c r="B23" s="5" t="s">
        <v>172</v>
      </c>
      <c r="C23" s="5" t="s">
        <v>173</v>
      </c>
      <c r="D23" s="6">
        <v>33070</v>
      </c>
      <c r="E23" s="9">
        <v>11550</v>
      </c>
      <c r="F23" s="9">
        <v>7700</v>
      </c>
      <c r="G23" s="9">
        <v>10425</v>
      </c>
      <c r="H23" s="9">
        <v>7825</v>
      </c>
      <c r="I23" s="9">
        <v>8725</v>
      </c>
      <c r="J23" s="9">
        <v>5470982941</v>
      </c>
      <c r="K23" s="9">
        <v>5470982941</v>
      </c>
      <c r="L23" s="9">
        <v>5470982941</v>
      </c>
      <c r="M23" s="9">
        <v>5470982941</v>
      </c>
      <c r="N23" s="9">
        <v>5470982941</v>
      </c>
      <c r="O23" s="7">
        <f>14481*4979481000</f>
        <v>72107864361000</v>
      </c>
      <c r="P23" s="7">
        <f>13901*4496373000</f>
        <v>62504081073000</v>
      </c>
      <c r="Q23" s="9">
        <v>59898828990000</v>
      </c>
      <c r="R23" s="9">
        <v>60388627585000</v>
      </c>
      <c r="S23" s="9">
        <v>63482717927000</v>
      </c>
      <c r="T23" s="7">
        <f>14481*8751013000</f>
        <v>126723419253000</v>
      </c>
      <c r="U23" s="7">
        <f>13901*8502050000</f>
        <v>118186997050000</v>
      </c>
      <c r="V23" s="9">
        <f>14105*8496277000</f>
        <v>119839987085000</v>
      </c>
      <c r="W23" s="17">
        <f>14311*13302224000</f>
        <v>190368127664000</v>
      </c>
      <c r="X23" s="17">
        <f>15731*9640721000</f>
        <v>151658182051000</v>
      </c>
      <c r="Y23" s="73">
        <f t="shared" si="1"/>
        <v>1.0676615114009167</v>
      </c>
      <c r="Z23" s="73">
        <f t="shared" si="2"/>
        <v>0.88529747205976583</v>
      </c>
      <c r="AA23" s="73">
        <f t="shared" si="3"/>
        <v>0.97574965580550577</v>
      </c>
      <c r="AB23" s="73">
        <f t="shared" si="4"/>
        <v>0.54210266374249105</v>
      </c>
      <c r="AC23" s="73">
        <f t="shared" si="5"/>
        <v>0.73334021668428451</v>
      </c>
    </row>
    <row r="24" spans="1:29" x14ac:dyDescent="0.25">
      <c r="A24" s="5">
        <v>20</v>
      </c>
      <c r="B24" s="5" t="s">
        <v>184</v>
      </c>
      <c r="C24" s="5" t="s">
        <v>185</v>
      </c>
      <c r="D24" s="6">
        <v>32966</v>
      </c>
      <c r="E24" s="9">
        <v>11100</v>
      </c>
      <c r="F24" s="9">
        <v>10275</v>
      </c>
      <c r="G24" s="9">
        <v>9850</v>
      </c>
      <c r="H24" s="9">
        <v>7525</v>
      </c>
      <c r="I24" s="9">
        <v>7050</v>
      </c>
      <c r="J24" s="9">
        <v>3113223570</v>
      </c>
      <c r="K24" s="9">
        <v>3113223570</v>
      </c>
      <c r="L24" s="9">
        <v>3113223570</v>
      </c>
      <c r="M24" s="9">
        <v>3113223570</v>
      </c>
      <c r="N24" s="9">
        <v>3113223570</v>
      </c>
      <c r="O24" s="7">
        <f>14481*1729951000</f>
        <v>25051420431000</v>
      </c>
      <c r="P24" s="7">
        <f>13901*1677008000</f>
        <v>23312088208000</v>
      </c>
      <c r="Q24" s="9">
        <f>14105*1560687000</f>
        <v>22013490135000</v>
      </c>
      <c r="R24" s="9">
        <f>14311*1405896000</f>
        <v>20119777656000</v>
      </c>
      <c r="S24" s="9">
        <f>15731*1326532000</f>
        <v>20867674892000</v>
      </c>
      <c r="T24" s="7">
        <f>14481*2965136000</f>
        <v>42938134416000</v>
      </c>
      <c r="U24" s="7">
        <f>13901*3062331000</f>
        <v>42569463231000</v>
      </c>
      <c r="V24" s="9">
        <f>14105*3073164000</f>
        <v>43346978220000</v>
      </c>
      <c r="W24" s="17">
        <f>14311*3161834000</f>
        <v>45249006374000</v>
      </c>
      <c r="X24" s="17">
        <f>15731*3545180000</f>
        <v>55769226580000</v>
      </c>
      <c r="Y24" s="73">
        <f t="shared" si="1"/>
        <v>1.3882345581318094</v>
      </c>
      <c r="Z24" s="73">
        <f t="shared" si="2"/>
        <v>1.2990640753364964</v>
      </c>
      <c r="AA24" s="73">
        <f t="shared" si="3"/>
        <v>1.2152806138443668</v>
      </c>
      <c r="AB24" s="73">
        <f t="shared" si="4"/>
        <v>0.96238102247637214</v>
      </c>
      <c r="AC24" s="73">
        <f t="shared" si="5"/>
        <v>0.76773345599622622</v>
      </c>
    </row>
    <row r="25" spans="1:29" x14ac:dyDescent="0.25">
      <c r="A25" s="5">
        <v>21</v>
      </c>
      <c r="B25" s="5" t="s">
        <v>208</v>
      </c>
      <c r="C25" s="5" t="s">
        <v>209</v>
      </c>
      <c r="D25" s="6">
        <v>32967</v>
      </c>
      <c r="E25" s="79">
        <v>8225</v>
      </c>
      <c r="F25" s="79">
        <v>6925</v>
      </c>
      <c r="G25" s="79">
        <v>6025</v>
      </c>
      <c r="H25" s="80">
        <v>5700</v>
      </c>
      <c r="I25" s="81">
        <v>5700</v>
      </c>
      <c r="J25" s="9">
        <v>40483553140</v>
      </c>
      <c r="K25" s="9">
        <v>40483553140</v>
      </c>
      <c r="L25" s="9">
        <v>40483553140</v>
      </c>
      <c r="M25" s="9">
        <v>40483553140</v>
      </c>
      <c r="N25" s="9">
        <v>40483553140</v>
      </c>
      <c r="O25" s="7">
        <v>170348000000000</v>
      </c>
      <c r="P25" s="10">
        <v>165195000000000</v>
      </c>
      <c r="Q25" s="9">
        <v>142749000000000</v>
      </c>
      <c r="R25" s="9">
        <v>151696000000000</v>
      </c>
      <c r="S25" s="82">
        <v>169577000000000</v>
      </c>
      <c r="T25" s="7">
        <v>344711000000000</v>
      </c>
      <c r="U25" s="7">
        <v>351958000000000</v>
      </c>
      <c r="V25" s="9">
        <v>338203000000000</v>
      </c>
      <c r="W25" s="8">
        <v>367311000000000</v>
      </c>
      <c r="X25" s="8">
        <v>413297000000000</v>
      </c>
      <c r="Y25" s="73">
        <f t="shared" si="1"/>
        <v>1.4601368235318861</v>
      </c>
      <c r="Z25" s="73">
        <f t="shared" si="2"/>
        <v>1.2658999241230489</v>
      </c>
      <c r="AA25" s="73">
        <f t="shared" si="3"/>
        <v>1.1432849728373196</v>
      </c>
      <c r="AB25" s="73">
        <f t="shared" si="4"/>
        <v>1.0412218879859301</v>
      </c>
      <c r="AC25" s="73">
        <f t="shared" si="5"/>
        <v>0.96863333849023825</v>
      </c>
    </row>
    <row r="26" spans="1:29" x14ac:dyDescent="0.25">
      <c r="A26" s="5">
        <v>22</v>
      </c>
      <c r="B26" s="5" t="s">
        <v>210</v>
      </c>
      <c r="C26" s="5" t="s">
        <v>211</v>
      </c>
      <c r="D26" s="6">
        <v>35961</v>
      </c>
      <c r="E26" s="79">
        <v>1470</v>
      </c>
      <c r="F26" s="79">
        <v>1240</v>
      </c>
      <c r="G26" s="79">
        <v>1115</v>
      </c>
      <c r="H26" s="80">
        <v>1155</v>
      </c>
      <c r="I26" s="81">
        <v>1460</v>
      </c>
      <c r="J26" s="9">
        <v>4819733000</v>
      </c>
      <c r="K26" s="9">
        <v>4819733000</v>
      </c>
      <c r="L26" s="9">
        <v>4819733000</v>
      </c>
      <c r="M26" s="9">
        <v>4819733000</v>
      </c>
      <c r="N26" s="9">
        <v>4819733000</v>
      </c>
      <c r="O26" s="83">
        <v>4626013000000</v>
      </c>
      <c r="P26" s="83">
        <v>4365175000000</v>
      </c>
      <c r="Q26" s="83">
        <v>3909303000000</v>
      </c>
      <c r="R26" s="83">
        <v>5101517000000</v>
      </c>
      <c r="S26" s="83">
        <v>5469696000000</v>
      </c>
      <c r="T26" s="7">
        <v>15889648000000</v>
      </c>
      <c r="U26" s="7">
        <v>16015709000000</v>
      </c>
      <c r="V26" s="7">
        <v>15180094000000</v>
      </c>
      <c r="W26" s="8">
        <v>16947148000000</v>
      </c>
      <c r="X26" s="17">
        <v>18521261000000</v>
      </c>
      <c r="Y26" s="73">
        <f t="shared" si="1"/>
        <v>0.73702202276601725</v>
      </c>
      <c r="Z26" s="73">
        <f t="shared" si="2"/>
        <v>0.64571877023989388</v>
      </c>
      <c r="AA26" s="73">
        <f t="shared" si="3"/>
        <v>0.61154465150215798</v>
      </c>
      <c r="AB26" s="73">
        <f t="shared" si="4"/>
        <v>0.62950465854195647</v>
      </c>
      <c r="AC26" s="73">
        <f t="shared" si="5"/>
        <v>0.67525133304908347</v>
      </c>
    </row>
    <row r="27" spans="1:29" x14ac:dyDescent="0.25">
      <c r="A27" s="5">
        <v>23</v>
      </c>
      <c r="B27" s="5" t="s">
        <v>214</v>
      </c>
      <c r="C27" s="5" t="s">
        <v>215</v>
      </c>
      <c r="D27" s="6">
        <v>33121</v>
      </c>
      <c r="E27" s="79">
        <v>6100</v>
      </c>
      <c r="F27" s="79">
        <v>10800</v>
      </c>
      <c r="G27" s="79">
        <v>5200</v>
      </c>
      <c r="H27" s="80">
        <v>12325</v>
      </c>
      <c r="I27" s="81">
        <v>8275</v>
      </c>
      <c r="J27" s="9">
        <v>450000000</v>
      </c>
      <c r="K27" s="9">
        <v>450000000</v>
      </c>
      <c r="L27" s="9">
        <v>450000000</v>
      </c>
      <c r="M27" s="9">
        <v>450000000</v>
      </c>
      <c r="N27" s="9">
        <v>450000000</v>
      </c>
      <c r="O27" s="84">
        <f>14481*76038130</f>
        <v>1101108160530</v>
      </c>
      <c r="P27" s="84">
        <f>13901*58823245</f>
        <v>817701928745</v>
      </c>
      <c r="Q27" s="84">
        <f>14105*55218439</f>
        <v>778856082095</v>
      </c>
      <c r="R27" s="84">
        <f>14311*80163080</f>
        <v>1147213837880</v>
      </c>
      <c r="S27" s="84">
        <f>15731*68418098</f>
        <v>1076285099638</v>
      </c>
      <c r="T27" s="7">
        <f>14481*296400018</f>
        <v>4292168660658</v>
      </c>
      <c r="U27" s="7">
        <f>13901*279484828</f>
        <v>3885118594028</v>
      </c>
      <c r="V27" s="9">
        <f>14105*263740526</f>
        <v>3720060119230</v>
      </c>
      <c r="W27" s="17">
        <f>14311*289992314</f>
        <v>4150080005654</v>
      </c>
      <c r="X27" s="17">
        <f>15731*290896966</f>
        <v>4576100172146</v>
      </c>
      <c r="Y27" s="73">
        <f t="shared" si="1"/>
        <v>0.8960757287530221</v>
      </c>
      <c r="Z27" s="73">
        <f t="shared" si="2"/>
        <v>1.461397327091241</v>
      </c>
      <c r="AA27" s="73">
        <f t="shared" si="3"/>
        <v>0.83838862333777531</v>
      </c>
      <c r="AB27" s="73">
        <f t="shared" si="4"/>
        <v>1.6128517591855906</v>
      </c>
      <c r="AC27" s="73">
        <f t="shared" si="5"/>
        <v>1.0489357573190938</v>
      </c>
    </row>
    <row r="28" spans="1:29" x14ac:dyDescent="0.25">
      <c r="A28" s="5">
        <v>24</v>
      </c>
      <c r="B28" s="5" t="s">
        <v>222</v>
      </c>
      <c r="C28" s="5" t="s">
        <v>223</v>
      </c>
      <c r="D28" s="6">
        <v>34227</v>
      </c>
      <c r="E28" s="79">
        <v>2160</v>
      </c>
      <c r="F28" s="79">
        <v>1155</v>
      </c>
      <c r="G28" s="79">
        <v>1515</v>
      </c>
      <c r="H28" s="85">
        <v>875</v>
      </c>
      <c r="I28" s="81">
        <v>870</v>
      </c>
      <c r="J28" s="9">
        <v>2765278412</v>
      </c>
      <c r="K28" s="9">
        <v>2765278412</v>
      </c>
      <c r="L28" s="9">
        <v>3994291039</v>
      </c>
      <c r="M28" s="9">
        <v>3994291039</v>
      </c>
      <c r="N28" s="9">
        <v>3994291039</v>
      </c>
      <c r="O28" s="84">
        <v>30632253308636</v>
      </c>
      <c r="P28" s="84">
        <v>35289833838956</v>
      </c>
      <c r="Q28" s="84">
        <v>35692364334428</v>
      </c>
      <c r="R28" s="84">
        <v>38177391000000</v>
      </c>
      <c r="S28" s="84">
        <v>43277746000000</v>
      </c>
      <c r="T28" s="7">
        <v>40955996273862</v>
      </c>
      <c r="U28" s="7">
        <v>44697971458665</v>
      </c>
      <c r="V28" s="9">
        <v>48408700495082</v>
      </c>
      <c r="W28" s="17">
        <v>51023608000000</v>
      </c>
      <c r="X28" s="8">
        <v>57445068000000</v>
      </c>
      <c r="Y28" s="73">
        <f t="shared" si="1"/>
        <v>0.89377033911679915</v>
      </c>
      <c r="Z28" s="73">
        <f t="shared" si="2"/>
        <v>0.86097263810739832</v>
      </c>
      <c r="AA28" s="73">
        <f t="shared" si="3"/>
        <v>0.86231844341192099</v>
      </c>
      <c r="AB28" s="73">
        <f t="shared" si="4"/>
        <v>0.81672773236900453</v>
      </c>
      <c r="AC28" s="73">
        <f t="shared" si="5"/>
        <v>0.81386933346357948</v>
      </c>
    </row>
    <row r="29" spans="1:29" x14ac:dyDescent="0.25">
      <c r="A29" s="5">
        <v>25</v>
      </c>
      <c r="B29" s="5" t="s">
        <v>224</v>
      </c>
      <c r="C29" s="5" t="s">
        <v>225</v>
      </c>
      <c r="D29" s="6">
        <v>33095</v>
      </c>
      <c r="E29" s="79">
        <v>2220</v>
      </c>
      <c r="F29" s="79">
        <v>2300</v>
      </c>
      <c r="G29" s="79">
        <v>2000</v>
      </c>
      <c r="H29" s="80">
        <v>2390</v>
      </c>
      <c r="I29" s="81">
        <v>1945</v>
      </c>
      <c r="J29" s="9">
        <v>656249710</v>
      </c>
      <c r="K29" s="9">
        <v>656249710</v>
      </c>
      <c r="L29" s="9">
        <v>656249710</v>
      </c>
      <c r="M29" s="9">
        <v>656249710</v>
      </c>
      <c r="N29" s="9">
        <v>656249710</v>
      </c>
      <c r="O29" s="84">
        <v>288105732114</v>
      </c>
      <c r="P29" s="84">
        <v>262135613148</v>
      </c>
      <c r="Q29" s="84">
        <v>262519771935</v>
      </c>
      <c r="R29" s="84">
        <v>502584655311</v>
      </c>
      <c r="S29" s="84">
        <v>900110128340</v>
      </c>
      <c r="T29" s="7">
        <v>2482337567967</v>
      </c>
      <c r="U29" s="7">
        <v>2834422741208</v>
      </c>
      <c r="V29" s="7">
        <v>2826260084696</v>
      </c>
      <c r="W29" s="8">
        <v>3538818568392</v>
      </c>
      <c r="X29" s="8">
        <v>3882465049707</v>
      </c>
      <c r="Y29" s="73">
        <f t="shared" si="1"/>
        <v>0.70295841743357834</v>
      </c>
      <c r="Z29" s="73">
        <f t="shared" si="2"/>
        <v>0.62499849454107959</v>
      </c>
      <c r="AA29" s="73">
        <f t="shared" si="3"/>
        <v>0.55728034389461123</v>
      </c>
      <c r="AB29" s="73">
        <f t="shared" si="4"/>
        <v>0.58522962457271421</v>
      </c>
      <c r="AC29" s="73">
        <f t="shared" si="5"/>
        <v>0.5606015215653406</v>
      </c>
    </row>
    <row r="30" spans="1:29" x14ac:dyDescent="0.25">
      <c r="A30" s="5">
        <v>26</v>
      </c>
      <c r="B30" s="5" t="s">
        <v>236</v>
      </c>
      <c r="C30" s="5" t="s">
        <v>237</v>
      </c>
      <c r="D30" s="6">
        <v>35317</v>
      </c>
      <c r="E30" s="79">
        <v>1400</v>
      </c>
      <c r="F30" s="79">
        <v>1490</v>
      </c>
      <c r="G30" s="79">
        <v>1385</v>
      </c>
      <c r="H30" s="80">
        <v>1360</v>
      </c>
      <c r="I30" s="81">
        <v>1535</v>
      </c>
      <c r="J30" s="9">
        <v>5758675440</v>
      </c>
      <c r="K30" s="9">
        <v>5758675440</v>
      </c>
      <c r="L30" s="9">
        <v>5758675440</v>
      </c>
      <c r="M30" s="9">
        <v>5758675440</v>
      </c>
      <c r="N30" s="9">
        <v>5758675440</v>
      </c>
      <c r="O30" s="84">
        <v>650926000000</v>
      </c>
      <c r="P30" s="84">
        <v>664678000000</v>
      </c>
      <c r="Q30" s="84">
        <v>727016000000</v>
      </c>
      <c r="R30" s="84">
        <v>957229000000</v>
      </c>
      <c r="S30" s="84">
        <v>1060545000000</v>
      </c>
      <c r="T30" s="7">
        <v>2801203000000</v>
      </c>
      <c r="U30" s="7">
        <v>3106981000000</v>
      </c>
      <c r="V30" s="7">
        <v>3375526000000</v>
      </c>
      <c r="W30" s="17">
        <v>3868862000000</v>
      </c>
      <c r="X30" s="17">
        <v>4379577000000</v>
      </c>
      <c r="Y30" s="73">
        <f t="shared" si="1"/>
        <v>3.1104748981062778</v>
      </c>
      <c r="Z30" s="73">
        <f t="shared" si="2"/>
        <v>2.975590904997488</v>
      </c>
      <c r="AA30" s="73">
        <f t="shared" si="3"/>
        <v>2.5782001040430438</v>
      </c>
      <c r="AB30" s="73">
        <f t="shared" si="4"/>
        <v>2.2717345820037003</v>
      </c>
      <c r="AC30" s="73">
        <f t="shared" si="5"/>
        <v>2.2605178080896855</v>
      </c>
    </row>
    <row r="31" spans="1:29" x14ac:dyDescent="0.25">
      <c r="A31" s="5">
        <v>27</v>
      </c>
      <c r="B31" s="5" t="s">
        <v>242</v>
      </c>
      <c r="C31" s="5" t="s">
        <v>243</v>
      </c>
      <c r="D31" s="6">
        <v>43017</v>
      </c>
      <c r="E31" s="79">
        <v>48</v>
      </c>
      <c r="F31" s="79">
        <v>104</v>
      </c>
      <c r="G31" s="79">
        <v>159</v>
      </c>
      <c r="H31" s="85">
        <v>146</v>
      </c>
      <c r="I31" s="81">
        <v>148</v>
      </c>
      <c r="J31" s="10">
        <v>1450000000</v>
      </c>
      <c r="K31" s="10">
        <v>1450000000</v>
      </c>
      <c r="L31" s="9">
        <v>7250000000</v>
      </c>
      <c r="M31" s="9">
        <v>7250000000</v>
      </c>
      <c r="N31" s="9">
        <v>7250000000</v>
      </c>
      <c r="O31" s="84">
        <v>261710263105</v>
      </c>
      <c r="P31" s="84">
        <v>313831656893</v>
      </c>
      <c r="Q31" s="84">
        <v>297708577146</v>
      </c>
      <c r="R31" s="84">
        <v>264701036737</v>
      </c>
      <c r="S31" s="84">
        <v>264346054879</v>
      </c>
      <c r="T31" s="7">
        <v>514962171773</v>
      </c>
      <c r="U31" s="7">
        <v>590884444113</v>
      </c>
      <c r="V31" s="7">
        <v>554235931111</v>
      </c>
      <c r="W31" s="17">
        <v>524473606697</v>
      </c>
      <c r="X31" s="17">
        <v>525780962665</v>
      </c>
      <c r="Y31" s="73">
        <f t="shared" si="1"/>
        <v>0.64336815646925727</v>
      </c>
      <c r="Z31" s="73">
        <f t="shared" si="2"/>
        <v>0.78633252494991124</v>
      </c>
      <c r="AA31" s="73">
        <f t="shared" si="3"/>
        <v>2.617041760967151</v>
      </c>
      <c r="AB31" s="73">
        <f t="shared" si="4"/>
        <v>2.5229125352373405</v>
      </c>
      <c r="AC31" s="73">
        <f t="shared" si="5"/>
        <v>2.5435421779070508</v>
      </c>
    </row>
    <row r="32" spans="1:29" x14ac:dyDescent="0.25">
      <c r="A32" s="5">
        <v>28</v>
      </c>
      <c r="B32" s="5" t="s">
        <v>274</v>
      </c>
      <c r="C32" s="5" t="s">
        <v>275</v>
      </c>
      <c r="D32" s="6">
        <v>41088</v>
      </c>
      <c r="E32" s="79">
        <v>220</v>
      </c>
      <c r="F32" s="79">
        <v>266</v>
      </c>
      <c r="G32" s="79">
        <v>208</v>
      </c>
      <c r="H32" s="85">
        <v>214</v>
      </c>
      <c r="I32" s="81">
        <v>236</v>
      </c>
      <c r="J32" s="9">
        <v>1047587802</v>
      </c>
      <c r="K32" s="9">
        <v>3141443806</v>
      </c>
      <c r="L32" s="9">
        <v>3141443806</v>
      </c>
      <c r="M32" s="10">
        <v>3141443806</v>
      </c>
      <c r="N32" s="17">
        <v>3141443831</v>
      </c>
      <c r="O32" s="7">
        <v>526104931317</v>
      </c>
      <c r="P32" s="83">
        <v>486632660751</v>
      </c>
      <c r="Q32" s="83">
        <v>424244191110</v>
      </c>
      <c r="R32" s="83">
        <v>402102775491</v>
      </c>
      <c r="S32" s="83">
        <v>465783569972</v>
      </c>
      <c r="T32" s="7">
        <v>633014281325</v>
      </c>
      <c r="U32" s="7">
        <v>1147246311331</v>
      </c>
      <c r="V32" s="7">
        <v>1068940700530</v>
      </c>
      <c r="W32" s="17">
        <v>1060742742644</v>
      </c>
      <c r="X32" s="17">
        <v>1177807599498</v>
      </c>
      <c r="Y32" s="73">
        <f t="shared" si="1"/>
        <v>1.195193015508859</v>
      </c>
      <c r="Z32" s="73">
        <f t="shared" si="2"/>
        <v>1.1525482366667696</v>
      </c>
      <c r="AA32" s="73">
        <f t="shared" si="3"/>
        <v>1.0081611657444371</v>
      </c>
      <c r="AB32" s="73">
        <f t="shared" si="4"/>
        <v>1.0128485510982883</v>
      </c>
      <c r="AC32" s="73">
        <f t="shared" si="5"/>
        <v>1.0249248812815541</v>
      </c>
    </row>
    <row r="33" spans="1:29" x14ac:dyDescent="0.25">
      <c r="A33" s="5">
        <v>29</v>
      </c>
      <c r="B33" s="5" t="s">
        <v>296</v>
      </c>
      <c r="C33" s="5" t="s">
        <v>297</v>
      </c>
      <c r="D33" s="6">
        <v>30152</v>
      </c>
      <c r="E33" s="79">
        <v>8700</v>
      </c>
      <c r="F33" s="79">
        <v>9175</v>
      </c>
      <c r="G33" s="79">
        <v>10500</v>
      </c>
      <c r="H33" s="80">
        <v>10400</v>
      </c>
      <c r="I33" s="81">
        <v>8650</v>
      </c>
      <c r="J33" s="9">
        <v>205583400</v>
      </c>
      <c r="K33" s="9">
        <v>205583400</v>
      </c>
      <c r="L33" s="9">
        <v>205583400</v>
      </c>
      <c r="M33" s="9">
        <v>205583400</v>
      </c>
      <c r="N33" s="9">
        <v>205583400</v>
      </c>
      <c r="O33" s="7">
        <v>1254447340790</v>
      </c>
      <c r="P33" s="7">
        <v>1259634682555</v>
      </c>
      <c r="Q33" s="7">
        <v>469705217664</v>
      </c>
      <c r="R33" s="9">
        <v>296166762993</v>
      </c>
      <c r="S33" s="8">
        <v>397471639920</v>
      </c>
      <c r="T33" s="7">
        <v>4165196478857</v>
      </c>
      <c r="U33" s="7">
        <v>4400655628146</v>
      </c>
      <c r="V33" s="7">
        <v>3743659818718</v>
      </c>
      <c r="W33" s="8">
        <v>4698864127234</v>
      </c>
      <c r="X33" s="8">
        <v>5128133329237</v>
      </c>
      <c r="Y33" s="73">
        <f t="shared" si="1"/>
        <v>0.73058328370263503</v>
      </c>
      <c r="Z33" s="73">
        <f t="shared" si="2"/>
        <v>0.71486220313048088</v>
      </c>
      <c r="AA33" s="73">
        <f t="shared" si="3"/>
        <v>0.70207525387925351</v>
      </c>
      <c r="AB33" s="73">
        <f t="shared" si="4"/>
        <v>0.51804735295164173</v>
      </c>
      <c r="AC33" s="73">
        <f t="shared" si="5"/>
        <v>0.42428071000324913</v>
      </c>
    </row>
    <row r="34" spans="1:29" x14ac:dyDescent="0.25">
      <c r="A34" s="5">
        <v>30</v>
      </c>
      <c r="B34" s="5" t="s">
        <v>316</v>
      </c>
      <c r="C34" s="50" t="s">
        <v>317</v>
      </c>
      <c r="D34" s="6">
        <v>34827</v>
      </c>
      <c r="E34" s="79">
        <v>96</v>
      </c>
      <c r="F34" s="79">
        <v>103</v>
      </c>
      <c r="G34" s="79">
        <v>99</v>
      </c>
      <c r="H34" s="85">
        <v>179</v>
      </c>
      <c r="I34" s="81">
        <v>226</v>
      </c>
      <c r="J34" s="10">
        <v>4498997362</v>
      </c>
      <c r="K34" s="10">
        <v>4498997362</v>
      </c>
      <c r="L34" s="10">
        <v>4498997362</v>
      </c>
      <c r="M34" s="10">
        <v>4498997362</v>
      </c>
      <c r="N34" s="10">
        <v>4498997362</v>
      </c>
      <c r="O34" s="7">
        <v>2166496000000</v>
      </c>
      <c r="P34" s="10">
        <v>1714449000000</v>
      </c>
      <c r="Q34" s="10">
        <v>1640851000000</v>
      </c>
      <c r="R34" s="10">
        <v>1605521000000</v>
      </c>
      <c r="S34" s="17">
        <v>1728614000000</v>
      </c>
      <c r="T34" s="7">
        <v>3392980000000</v>
      </c>
      <c r="U34" s="7">
        <v>2999767000000</v>
      </c>
      <c r="V34" s="7">
        <v>2963007000000</v>
      </c>
      <c r="W34" s="17">
        <v>2993218000000</v>
      </c>
      <c r="X34" s="17">
        <v>3173651000000</v>
      </c>
      <c r="Y34" s="73">
        <f t="shared" si="1"/>
        <v>0.76581640526970396</v>
      </c>
      <c r="Z34" s="73">
        <f t="shared" si="2"/>
        <v>0.72600496248075264</v>
      </c>
      <c r="AA34" s="73">
        <f t="shared" si="3"/>
        <v>0.70409949717904818</v>
      </c>
      <c r="AB34" s="73">
        <f t="shared" si="4"/>
        <v>0.80543466189164969</v>
      </c>
      <c r="AC34" s="73">
        <f t="shared" si="5"/>
        <v>0.86505649291998399</v>
      </c>
    </row>
    <row r="35" spans="1:29" x14ac:dyDescent="0.25">
      <c r="A35" s="5">
        <v>31</v>
      </c>
      <c r="B35" s="5" t="s">
        <v>320</v>
      </c>
      <c r="C35" s="5" t="s">
        <v>321</v>
      </c>
      <c r="D35" s="6">
        <v>35255</v>
      </c>
      <c r="E35" s="79">
        <v>1375</v>
      </c>
      <c r="F35" s="79">
        <v>1670</v>
      </c>
      <c r="G35" s="79">
        <v>1785</v>
      </c>
      <c r="H35" s="80">
        <v>1880</v>
      </c>
      <c r="I35" s="81">
        <v>1980</v>
      </c>
      <c r="J35" s="9">
        <v>595000000</v>
      </c>
      <c r="K35" s="9">
        <v>595000000</v>
      </c>
      <c r="L35" s="9">
        <v>595000000</v>
      </c>
      <c r="M35" s="9">
        <v>595000000</v>
      </c>
      <c r="N35" s="8">
        <v>595000000</v>
      </c>
      <c r="O35" s="7">
        <v>192308466864</v>
      </c>
      <c r="P35" s="10">
        <v>261784845240</v>
      </c>
      <c r="Q35" s="10">
        <v>305958833204</v>
      </c>
      <c r="R35" s="9">
        <v>310020233374</v>
      </c>
      <c r="S35" s="82">
        <v>168244583827</v>
      </c>
      <c r="T35" s="7">
        <v>1168956042706</v>
      </c>
      <c r="U35" s="7">
        <v>1393079542074</v>
      </c>
      <c r="V35" s="7">
        <v>1566673828068</v>
      </c>
      <c r="W35" s="8">
        <v>1697387196209</v>
      </c>
      <c r="X35" s="8">
        <v>1718287453575</v>
      </c>
      <c r="Y35" s="73">
        <f t="shared" si="1"/>
        <v>0.86438961770107425</v>
      </c>
      <c r="Z35" s="73">
        <f t="shared" si="2"/>
        <v>0.90119394286052312</v>
      </c>
      <c r="AA35" s="73">
        <f t="shared" si="3"/>
        <v>0.87320909349142573</v>
      </c>
      <c r="AB35" s="73">
        <f t="shared" si="4"/>
        <v>0.84165842452725403</v>
      </c>
      <c r="AC35" s="73">
        <f t="shared" si="5"/>
        <v>0.7835386221472137</v>
      </c>
    </row>
    <row r="36" spans="1:29" x14ac:dyDescent="0.25">
      <c r="A36" s="5">
        <v>32</v>
      </c>
      <c r="B36" s="5" t="s">
        <v>330</v>
      </c>
      <c r="C36" s="5" t="s">
        <v>331</v>
      </c>
      <c r="D36" s="6">
        <v>30724</v>
      </c>
      <c r="E36" s="79">
        <v>5500</v>
      </c>
      <c r="F36" s="79">
        <v>6800</v>
      </c>
      <c r="G36" s="79">
        <v>4400</v>
      </c>
      <c r="H36" s="80">
        <v>3740</v>
      </c>
      <c r="I36" s="81">
        <v>3830</v>
      </c>
      <c r="J36" s="9">
        <v>800659050</v>
      </c>
      <c r="K36" s="9">
        <v>800659050</v>
      </c>
      <c r="L36" s="9">
        <v>800659050</v>
      </c>
      <c r="M36" s="10">
        <v>800659050</v>
      </c>
      <c r="N36" s="10">
        <v>800659050</v>
      </c>
      <c r="O36" s="7">
        <v>239353356000</v>
      </c>
      <c r="P36" s="10">
        <v>212420390000</v>
      </c>
      <c r="Q36" s="10">
        <v>205681950000</v>
      </c>
      <c r="R36" s="9">
        <v>298548048000</v>
      </c>
      <c r="S36" s="82">
        <v>306410502000</v>
      </c>
      <c r="T36" s="7">
        <v>1523517170000</v>
      </c>
      <c r="U36" s="7">
        <v>1425983722000</v>
      </c>
      <c r="V36" s="7">
        <v>1225580913000</v>
      </c>
      <c r="W36" s="7">
        <v>1308722065000</v>
      </c>
      <c r="X36" s="7">
        <v>1307186367000</v>
      </c>
      <c r="Y36" s="73">
        <f t="shared" si="1"/>
        <v>3.0475390907474971</v>
      </c>
      <c r="Z36" s="73">
        <f t="shared" si="2"/>
        <v>3.9670171845061217</v>
      </c>
      <c r="AA36" s="73">
        <f t="shared" si="3"/>
        <v>3.0422975182218752</v>
      </c>
      <c r="AB36" s="73">
        <f t="shared" si="4"/>
        <v>2.5162049170463097</v>
      </c>
      <c r="AC36" s="73">
        <f t="shared" si="5"/>
        <v>2.5803012857614971</v>
      </c>
    </row>
    <row r="37" spans="1:29" x14ac:dyDescent="0.25">
      <c r="A37" s="5">
        <v>33</v>
      </c>
      <c r="B37" s="5" t="s">
        <v>338</v>
      </c>
      <c r="C37" s="5" t="s">
        <v>339</v>
      </c>
      <c r="D37" s="6">
        <v>43383</v>
      </c>
      <c r="E37" s="79">
        <v>375</v>
      </c>
      <c r="F37" s="79">
        <v>302</v>
      </c>
      <c r="G37" s="79">
        <v>254</v>
      </c>
      <c r="H37" s="85">
        <v>525</v>
      </c>
      <c r="I37" s="81">
        <v>525</v>
      </c>
      <c r="J37" s="10">
        <v>7379580291</v>
      </c>
      <c r="K37" s="10">
        <v>7379580291</v>
      </c>
      <c r="L37" s="10">
        <v>7379580291</v>
      </c>
      <c r="M37" s="10">
        <v>36897901455</v>
      </c>
      <c r="N37" s="17">
        <v>36897901455</v>
      </c>
      <c r="O37" s="9">
        <v>1722999829003</v>
      </c>
      <c r="P37" s="10">
        <v>2297546907499</v>
      </c>
      <c r="Q37" s="9">
        <v>3676532851880</v>
      </c>
      <c r="R37" s="9">
        <v>3735944249731</v>
      </c>
      <c r="S37" s="82">
        <v>3975927432106</v>
      </c>
      <c r="T37" s="9">
        <v>4212408305683</v>
      </c>
      <c r="U37" s="7">
        <v>5063067672414</v>
      </c>
      <c r="V37" s="9">
        <v>6570969641033</v>
      </c>
      <c r="W37" s="17">
        <v>6766602280143</v>
      </c>
      <c r="X37" s="17">
        <v>7327371934290</v>
      </c>
      <c r="Y37" s="73">
        <f t="shared" si="1"/>
        <v>1.065979865263782</v>
      </c>
      <c r="Z37" s="73">
        <f t="shared" si="2"/>
        <v>0.89396003534414159</v>
      </c>
      <c r="AA37" s="73">
        <f t="shared" si="3"/>
        <v>0.84476820759155946</v>
      </c>
      <c r="AB37" s="73">
        <f t="shared" si="4"/>
        <v>3.4149106977095256</v>
      </c>
      <c r="AC37" s="73">
        <f t="shared" si="5"/>
        <v>3.1863164454259798</v>
      </c>
    </row>
    <row r="38" spans="1:29" x14ac:dyDescent="0.25">
      <c r="A38" s="5">
        <v>34</v>
      </c>
      <c r="B38" s="5" t="s">
        <v>340</v>
      </c>
      <c r="C38" s="5" t="s">
        <v>341</v>
      </c>
      <c r="D38" s="6">
        <v>42908</v>
      </c>
      <c r="E38" s="79">
        <v>182.5</v>
      </c>
      <c r="F38" s="79">
        <v>235</v>
      </c>
      <c r="G38" s="86">
        <v>251.25</v>
      </c>
      <c r="H38" s="79">
        <v>181</v>
      </c>
      <c r="I38" s="81">
        <v>103</v>
      </c>
      <c r="J38" s="10">
        <v>2374834620</v>
      </c>
      <c r="K38" s="10">
        <v>2378405500</v>
      </c>
      <c r="L38" s="10">
        <v>2419438170</v>
      </c>
      <c r="M38" s="10">
        <v>9677752680</v>
      </c>
      <c r="N38" s="17">
        <v>9677752680</v>
      </c>
      <c r="O38" s="7">
        <v>195678977792</v>
      </c>
      <c r="P38" s="10">
        <v>207108590481</v>
      </c>
      <c r="Q38" s="10">
        <v>244363297557</v>
      </c>
      <c r="R38" s="9">
        <v>320458715888</v>
      </c>
      <c r="S38" s="82">
        <v>142744113133</v>
      </c>
      <c r="T38" s="7">
        <v>758846556031</v>
      </c>
      <c r="U38" s="7">
        <v>848676035300</v>
      </c>
      <c r="V38" s="7">
        <v>906924214166</v>
      </c>
      <c r="W38" s="8">
        <v>987563580363</v>
      </c>
      <c r="X38" s="8">
        <v>811603660216</v>
      </c>
      <c r="Y38" s="73">
        <f t="shared" si="1"/>
        <v>0.82900329578131593</v>
      </c>
      <c r="Z38" s="73">
        <f t="shared" si="2"/>
        <v>0.90262226234562326</v>
      </c>
      <c r="AA38" s="73">
        <f t="shared" si="3"/>
        <v>0.93971152656147727</v>
      </c>
      <c r="AB38" s="73">
        <f t="shared" si="4"/>
        <v>2.0982263746566514</v>
      </c>
      <c r="AC38" s="73">
        <f t="shared" si="5"/>
        <v>1.4040752833343799</v>
      </c>
    </row>
    <row r="39" spans="1:29" x14ac:dyDescent="0.25">
      <c r="A39" s="5">
        <v>35</v>
      </c>
      <c r="B39" s="5" t="s">
        <v>344</v>
      </c>
      <c r="C39" s="5" t="s">
        <v>345</v>
      </c>
      <c r="D39" s="6">
        <v>40458</v>
      </c>
      <c r="E39" s="79">
        <v>10450</v>
      </c>
      <c r="F39" s="79">
        <v>11150</v>
      </c>
      <c r="G39" s="79">
        <v>9575</v>
      </c>
      <c r="H39" s="80">
        <v>8700</v>
      </c>
      <c r="I39" s="81">
        <v>10000</v>
      </c>
      <c r="J39" s="9">
        <v>11661908000</v>
      </c>
      <c r="K39" s="9">
        <v>11661908000</v>
      </c>
      <c r="L39" s="9">
        <v>11661908000</v>
      </c>
      <c r="M39" s="9">
        <v>11661908000</v>
      </c>
      <c r="N39" s="9">
        <v>11661908000</v>
      </c>
      <c r="O39" s="7">
        <v>11660003000000</v>
      </c>
      <c r="P39" s="10">
        <v>12038210000000</v>
      </c>
      <c r="Q39" s="9">
        <v>53270272000000</v>
      </c>
      <c r="R39" s="9">
        <v>63342765000000</v>
      </c>
      <c r="S39" s="82">
        <v>57832529000000</v>
      </c>
      <c r="T39" s="7">
        <v>34367153000000</v>
      </c>
      <c r="U39" s="7">
        <v>38709314000000</v>
      </c>
      <c r="V39" s="9">
        <v>103588325000000</v>
      </c>
      <c r="W39" s="8">
        <v>118015311000000</v>
      </c>
      <c r="X39" s="8">
        <v>115305536000000</v>
      </c>
      <c r="Y39" s="73">
        <f t="shared" si="1"/>
        <v>3.8853070430361223</v>
      </c>
      <c r="Z39" s="73">
        <f t="shared" si="2"/>
        <v>3.6701369649692062</v>
      </c>
      <c r="AA39" s="73">
        <f t="shared" si="3"/>
        <v>1.5921972007945877</v>
      </c>
      <c r="AB39" s="73">
        <f t="shared" si="4"/>
        <v>1.3964405398211424</v>
      </c>
      <c r="AC39" s="73">
        <f t="shared" si="5"/>
        <v>1.5129508525939293</v>
      </c>
    </row>
    <row r="40" spans="1:29" x14ac:dyDescent="0.25">
      <c r="A40" s="5">
        <v>36</v>
      </c>
      <c r="B40" s="5" t="s">
        <v>350</v>
      </c>
      <c r="C40" s="5" t="s">
        <v>351</v>
      </c>
      <c r="D40" s="6">
        <v>34529</v>
      </c>
      <c r="E40" s="79">
        <v>7450</v>
      </c>
      <c r="F40" s="79">
        <v>7925</v>
      </c>
      <c r="G40" s="79">
        <v>6850</v>
      </c>
      <c r="H40" s="80">
        <v>6325</v>
      </c>
      <c r="I40" s="81">
        <v>6725</v>
      </c>
      <c r="J40" s="9">
        <v>8780426500</v>
      </c>
      <c r="K40" s="9">
        <v>8780426500</v>
      </c>
      <c r="L40" s="9">
        <v>8780426500</v>
      </c>
      <c r="M40" s="9">
        <v>8780426500</v>
      </c>
      <c r="N40" s="9">
        <v>8780426500</v>
      </c>
      <c r="O40" s="9">
        <v>46620996000000</v>
      </c>
      <c r="P40" s="10">
        <v>41996071000000</v>
      </c>
      <c r="Q40" s="9">
        <v>83998472000000</v>
      </c>
      <c r="R40" s="9">
        <v>92724082000000</v>
      </c>
      <c r="S40" s="82">
        <v>86810262000000</v>
      </c>
      <c r="T40" s="9">
        <v>96537796000000</v>
      </c>
      <c r="U40" s="7">
        <v>96198559000000</v>
      </c>
      <c r="V40" s="9">
        <v>163136516000000</v>
      </c>
      <c r="W40" s="8">
        <v>179271840000000</v>
      </c>
      <c r="X40" s="8">
        <v>180433300000000</v>
      </c>
      <c r="Y40" s="73">
        <f t="shared" si="1"/>
        <v>1.1605317095182077</v>
      </c>
      <c r="Z40" s="73">
        <f t="shared" si="2"/>
        <v>1.1599025200834869</v>
      </c>
      <c r="AA40" s="73">
        <f t="shared" si="3"/>
        <v>0.88358141426166048</v>
      </c>
      <c r="AB40" s="73">
        <f t="shared" si="4"/>
        <v>0.82701376642589264</v>
      </c>
      <c r="AC40" s="73">
        <f t="shared" si="5"/>
        <v>0.80837977364765812</v>
      </c>
    </row>
    <row r="41" spans="1:29" x14ac:dyDescent="0.25">
      <c r="A41" s="5">
        <v>37</v>
      </c>
      <c r="B41" s="5" t="s">
        <v>360</v>
      </c>
      <c r="C41" s="5" t="s">
        <v>361</v>
      </c>
      <c r="D41" s="6">
        <v>33058</v>
      </c>
      <c r="E41" s="79">
        <v>2620</v>
      </c>
      <c r="F41" s="79">
        <v>2050</v>
      </c>
      <c r="G41" s="79">
        <v>2710</v>
      </c>
      <c r="H41" s="80">
        <v>2040</v>
      </c>
      <c r="I41" s="81">
        <v>2500</v>
      </c>
      <c r="J41" s="9">
        <v>22358699725</v>
      </c>
      <c r="K41" s="9">
        <v>22358699725</v>
      </c>
      <c r="L41" s="9">
        <v>22358699725</v>
      </c>
      <c r="M41" s="9">
        <v>22358699725</v>
      </c>
      <c r="N41" s="9">
        <v>22358699725</v>
      </c>
      <c r="O41" s="7">
        <v>9049161944940</v>
      </c>
      <c r="P41" s="10">
        <v>9125978611155</v>
      </c>
      <c r="Q41" s="10">
        <v>8506032464592</v>
      </c>
      <c r="R41" s="9">
        <v>8557621869393</v>
      </c>
      <c r="S41" s="9">
        <v>9441466604896</v>
      </c>
      <c r="T41" s="7">
        <v>17591706426634</v>
      </c>
      <c r="U41" s="7">
        <v>19037918806473</v>
      </c>
      <c r="V41" s="7">
        <v>19777500514550</v>
      </c>
      <c r="W41" s="8">
        <v>19917653265528</v>
      </c>
      <c r="X41" s="8">
        <v>22276160695411</v>
      </c>
      <c r="Y41" s="73">
        <f t="shared" si="1"/>
        <v>3.8443658383276089</v>
      </c>
      <c r="Z41" s="73">
        <f t="shared" si="2"/>
        <v>2.8869391452976383</v>
      </c>
      <c r="AA41" s="73">
        <f t="shared" si="3"/>
        <v>3.4937735771265732</v>
      </c>
      <c r="AB41" s="73">
        <f t="shared" si="4"/>
        <v>2.719666247134914</v>
      </c>
      <c r="AC41" s="73">
        <f t="shared" si="5"/>
        <v>2.933100403197217</v>
      </c>
    </row>
    <row r="42" spans="1:29" x14ac:dyDescent="0.25">
      <c r="A42" s="5">
        <v>38</v>
      </c>
      <c r="B42" s="5" t="s">
        <v>374</v>
      </c>
      <c r="C42" s="5" t="s">
        <v>375</v>
      </c>
      <c r="D42" s="6">
        <v>40357</v>
      </c>
      <c r="E42" s="79">
        <v>1200</v>
      </c>
      <c r="F42" s="79">
        <v>1300</v>
      </c>
      <c r="G42" s="79">
        <v>1360</v>
      </c>
      <c r="H42" s="80">
        <v>1360</v>
      </c>
      <c r="I42" s="81">
        <v>1320</v>
      </c>
      <c r="J42" s="9">
        <v>6186488888</v>
      </c>
      <c r="K42" s="9">
        <v>6186488888</v>
      </c>
      <c r="L42" s="9">
        <v>6186488888</v>
      </c>
      <c r="M42" s="10">
        <v>6186488888</v>
      </c>
      <c r="N42" s="10">
        <v>6186488888</v>
      </c>
      <c r="O42" s="7">
        <v>1476909260772</v>
      </c>
      <c r="P42" s="10">
        <v>1589486465854</v>
      </c>
      <c r="Q42" s="9">
        <v>1224495624254</v>
      </c>
      <c r="R42" s="9">
        <v>1341864891951</v>
      </c>
      <c r="S42" s="82">
        <v>1449163077319</v>
      </c>
      <c r="T42" s="7">
        <v>4393810380883</v>
      </c>
      <c r="U42" s="7">
        <v>4682083844951</v>
      </c>
      <c r="V42" s="9">
        <v>4452166671985</v>
      </c>
      <c r="W42" s="17">
        <v>4191284422677</v>
      </c>
      <c r="X42" s="17">
        <v>4130321616083</v>
      </c>
      <c r="Y42" s="73">
        <f t="shared" si="1"/>
        <v>2.0257351034304936</v>
      </c>
      <c r="Z42" s="73">
        <f t="shared" si="2"/>
        <v>2.0571870003226742</v>
      </c>
      <c r="AA42" s="73">
        <f t="shared" si="3"/>
        <v>2.1648157452373273</v>
      </c>
      <c r="AB42" s="73">
        <f t="shared" si="4"/>
        <v>2.327565680546229</v>
      </c>
      <c r="AC42" s="73">
        <f t="shared" si="5"/>
        <v>2.3279853975627494</v>
      </c>
    </row>
    <row r="43" spans="1:29" x14ac:dyDescent="0.25">
      <c r="A43" s="5">
        <v>39</v>
      </c>
      <c r="B43" s="5" t="s">
        <v>378</v>
      </c>
      <c r="C43" s="5" t="s">
        <v>379</v>
      </c>
      <c r="D43" s="6">
        <v>34220</v>
      </c>
      <c r="E43" s="79">
        <v>1500</v>
      </c>
      <c r="F43" s="79">
        <v>1610</v>
      </c>
      <c r="G43" s="79">
        <v>1565</v>
      </c>
      <c r="H43" s="80">
        <v>2420</v>
      </c>
      <c r="I43" s="81">
        <v>1950</v>
      </c>
      <c r="J43" s="9">
        <v>690740500</v>
      </c>
      <c r="K43" s="9">
        <v>690740500</v>
      </c>
      <c r="L43" s="17">
        <v>690740500</v>
      </c>
      <c r="M43" s="9">
        <v>690740500</v>
      </c>
      <c r="N43" s="9">
        <v>690740500</v>
      </c>
      <c r="O43" s="7">
        <v>408057718435</v>
      </c>
      <c r="P43" s="10">
        <v>410463595860</v>
      </c>
      <c r="Q43" s="10">
        <v>366908471713</v>
      </c>
      <c r="R43" s="9">
        <v>347288021564</v>
      </c>
      <c r="S43" s="82">
        <v>442535947408</v>
      </c>
      <c r="T43" s="7">
        <v>747293725435</v>
      </c>
      <c r="U43" s="7">
        <v>790845543826</v>
      </c>
      <c r="V43" s="7">
        <v>773863042440</v>
      </c>
      <c r="W43" s="17">
        <v>889125250792</v>
      </c>
      <c r="X43" s="17">
        <v>1033289474829</v>
      </c>
      <c r="Y43" s="73">
        <f t="shared" si="1"/>
        <v>1.9325312380942967</v>
      </c>
      <c r="Z43" s="73">
        <f t="shared" si="2"/>
        <v>1.9252252386655531</v>
      </c>
      <c r="AA43" s="73">
        <f t="shared" si="3"/>
        <v>1.8710253298150772</v>
      </c>
      <c r="AB43" s="73">
        <f t="shared" si="4"/>
        <v>2.2706362571141199</v>
      </c>
      <c r="AC43" s="73">
        <f t="shared" si="5"/>
        <v>1.7318282688441617</v>
      </c>
    </row>
    <row r="44" spans="1:29" x14ac:dyDescent="0.25">
      <c r="A44" s="5">
        <v>40</v>
      </c>
      <c r="B44" s="5" t="s">
        <v>386</v>
      </c>
      <c r="C44" s="5" t="s">
        <v>387</v>
      </c>
      <c r="D44" s="6">
        <v>33056</v>
      </c>
      <c r="E44" s="79">
        <v>1350</v>
      </c>
      <c r="F44" s="79">
        <v>1680</v>
      </c>
      <c r="G44" s="79">
        <v>1600</v>
      </c>
      <c r="H44" s="80">
        <v>1570</v>
      </c>
      <c r="I44" s="81">
        <v>1475</v>
      </c>
      <c r="J44" s="9">
        <v>11553528000</v>
      </c>
      <c r="K44" s="9">
        <v>11553528000</v>
      </c>
      <c r="L44" s="9">
        <v>11553528000</v>
      </c>
      <c r="M44" s="9">
        <v>11553528000</v>
      </c>
      <c r="N44" s="9">
        <v>11553528000</v>
      </c>
      <c r="O44" s="7">
        <v>780915000000</v>
      </c>
      <c r="P44" s="10">
        <v>953283000000</v>
      </c>
      <c r="Q44" s="9">
        <v>3972379000000</v>
      </c>
      <c r="R44" s="9">
        <v>2268730000000</v>
      </c>
      <c r="S44" s="82">
        <v>1553696000000</v>
      </c>
      <c r="T44" s="7">
        <v>5555871000000</v>
      </c>
      <c r="U44" s="7">
        <v>6608422000000</v>
      </c>
      <c r="V44" s="9">
        <v>8754116000000</v>
      </c>
      <c r="W44" s="17">
        <v>7406856000000</v>
      </c>
      <c r="X44" s="8">
        <v>7376375000000</v>
      </c>
      <c r="Y44" s="73">
        <f t="shared" si="1"/>
        <v>2.9479046219755642</v>
      </c>
      <c r="Z44" s="73">
        <f t="shared" si="2"/>
        <v>3.0814027978237468</v>
      </c>
      <c r="AA44" s="73">
        <f t="shared" si="3"/>
        <v>2.5654245157363689</v>
      </c>
      <c r="AB44" s="73">
        <f t="shared" si="4"/>
        <v>2.7552539107011125</v>
      </c>
      <c r="AC44" s="73">
        <f t="shared" si="5"/>
        <v>2.5209062445984647</v>
      </c>
    </row>
    <row r="45" spans="1:29" x14ac:dyDescent="0.25">
      <c r="A45" s="5">
        <v>41</v>
      </c>
      <c r="B45" s="5" t="s">
        <v>394</v>
      </c>
      <c r="C45" s="5" t="s">
        <v>395</v>
      </c>
      <c r="D45" s="6">
        <v>33100</v>
      </c>
      <c r="E45" s="79">
        <v>3710</v>
      </c>
      <c r="F45" s="79">
        <v>2100</v>
      </c>
      <c r="G45" s="79">
        <v>1505</v>
      </c>
      <c r="H45" s="85">
        <v>965</v>
      </c>
      <c r="I45" s="81">
        <v>840</v>
      </c>
      <c r="J45" s="9">
        <v>116318076900</v>
      </c>
      <c r="K45" s="9">
        <v>116318076900</v>
      </c>
      <c r="L45" s="9">
        <v>116318076900</v>
      </c>
      <c r="M45" s="10">
        <v>116318076900</v>
      </c>
      <c r="N45" s="17">
        <v>116318076900</v>
      </c>
      <c r="O45" s="7">
        <v>11244167000000</v>
      </c>
      <c r="P45" s="10">
        <v>15223076000000</v>
      </c>
      <c r="Q45" s="9">
        <v>19432604000000</v>
      </c>
      <c r="R45" s="9">
        <v>23899022000000</v>
      </c>
      <c r="S45" s="17">
        <v>26616824000000</v>
      </c>
      <c r="T45" s="7">
        <v>46602420000000</v>
      </c>
      <c r="U45" s="7">
        <v>50902806000000</v>
      </c>
      <c r="V45" s="9">
        <v>49674030000000</v>
      </c>
      <c r="W45" s="17">
        <v>53090428000000</v>
      </c>
      <c r="X45" s="17">
        <v>54786992000000</v>
      </c>
      <c r="Y45" s="73">
        <f t="shared" si="1"/>
        <v>9.5013141441796378</v>
      </c>
      <c r="Z45" s="73">
        <f t="shared" si="2"/>
        <v>5.0977747177631034</v>
      </c>
      <c r="AA45" s="73">
        <f t="shared" si="3"/>
        <v>3.9153519401284735</v>
      </c>
      <c r="AB45" s="73">
        <f t="shared" si="4"/>
        <v>2.5644164369611033</v>
      </c>
      <c r="AC45" s="73">
        <f t="shared" si="5"/>
        <v>2.2692249393067612</v>
      </c>
    </row>
    <row r="46" spans="1:29" x14ac:dyDescent="0.25">
      <c r="A46" s="5">
        <v>42</v>
      </c>
      <c r="B46" s="5" t="s">
        <v>400</v>
      </c>
      <c r="C46" s="5" t="s">
        <v>401</v>
      </c>
      <c r="D46" s="6">
        <v>34649</v>
      </c>
      <c r="E46" s="79">
        <v>1940</v>
      </c>
      <c r="F46" s="79">
        <v>2250</v>
      </c>
      <c r="G46" s="79">
        <v>2420</v>
      </c>
      <c r="H46" s="80">
        <v>2750</v>
      </c>
      <c r="I46" s="81">
        <v>2370</v>
      </c>
      <c r="J46" s="9">
        <v>1120000000</v>
      </c>
      <c r="K46" s="9">
        <v>1120000000</v>
      </c>
      <c r="L46" s="9">
        <v>1120000000</v>
      </c>
      <c r="M46" s="10">
        <v>1120000000</v>
      </c>
      <c r="N46" s="8">
        <v>1120000000</v>
      </c>
      <c r="O46" s="7">
        <v>482559876000</v>
      </c>
      <c r="P46" s="10">
        <v>523881726000</v>
      </c>
      <c r="Q46" s="9">
        <v>660424729000</v>
      </c>
      <c r="R46" s="9">
        <v>705106719000</v>
      </c>
      <c r="S46" s="17">
        <v>605518904000</v>
      </c>
      <c r="T46" s="7">
        <v>1682821739000</v>
      </c>
      <c r="U46" s="7">
        <v>1829960714000</v>
      </c>
      <c r="V46" s="9">
        <v>1986711872000</v>
      </c>
      <c r="W46" s="8">
        <v>2082911322000</v>
      </c>
      <c r="X46" s="8">
        <v>2009139485000</v>
      </c>
      <c r="Y46" s="73">
        <f t="shared" si="1"/>
        <v>1.5779210682041231</v>
      </c>
      <c r="Z46" s="73">
        <f t="shared" si="2"/>
        <v>1.6633590561332674</v>
      </c>
      <c r="AA46" s="73">
        <f t="shared" si="3"/>
        <v>1.6966852498881126</v>
      </c>
      <c r="AB46" s="73">
        <f t="shared" si="4"/>
        <v>1.8172193309533511</v>
      </c>
      <c r="AC46" s="73">
        <f t="shared" si="5"/>
        <v>1.6225448398870126</v>
      </c>
    </row>
    <row r="47" spans="1:29" x14ac:dyDescent="0.25">
      <c r="A47" s="5">
        <v>43</v>
      </c>
      <c r="B47" s="5" t="s">
        <v>404</v>
      </c>
      <c r="C47" s="5" t="s">
        <v>405</v>
      </c>
      <c r="D47" s="6">
        <v>37076</v>
      </c>
      <c r="E47" s="79">
        <v>2600</v>
      </c>
      <c r="F47" s="79">
        <v>1250</v>
      </c>
      <c r="G47" s="79">
        <v>4250</v>
      </c>
      <c r="H47" s="80">
        <v>2430</v>
      </c>
      <c r="I47" s="81">
        <v>1085</v>
      </c>
      <c r="J47" s="9">
        <v>5554000000</v>
      </c>
      <c r="K47" s="9">
        <v>5554000000</v>
      </c>
      <c r="L47" s="9">
        <v>5554000000</v>
      </c>
      <c r="M47" s="9">
        <v>5554000000</v>
      </c>
      <c r="N47" s="9">
        <v>5554000000</v>
      </c>
      <c r="O47" s="83">
        <v>6103967587830</v>
      </c>
      <c r="P47" s="83">
        <v>10939950304000</v>
      </c>
      <c r="Q47" s="83">
        <v>10457144628000</v>
      </c>
      <c r="R47" s="83">
        <v>10528322405000</v>
      </c>
      <c r="S47" s="83">
        <v>11014702563000</v>
      </c>
      <c r="T47" s="7">
        <v>9460427317681</v>
      </c>
      <c r="U47" s="7">
        <v>18352877132000</v>
      </c>
      <c r="V47" s="7">
        <v>17562816674000</v>
      </c>
      <c r="W47" s="8">
        <v>17760195040000</v>
      </c>
      <c r="X47" s="8">
        <v>20353992893000</v>
      </c>
      <c r="Y47" s="73">
        <f t="shared" si="1"/>
        <v>2.1716109534961223</v>
      </c>
      <c r="Z47" s="73">
        <f t="shared" si="2"/>
        <v>0.97436767954056824</v>
      </c>
      <c r="AA47" s="73">
        <f t="shared" si="3"/>
        <v>1.9394181047522332</v>
      </c>
      <c r="AB47" s="73">
        <f t="shared" si="4"/>
        <v>1.3527183879958111</v>
      </c>
      <c r="AC47" s="73">
        <f t="shared" si="5"/>
        <v>0.83722111197457216</v>
      </c>
    </row>
    <row r="48" spans="1:29" x14ac:dyDescent="0.25">
      <c r="A48" s="5">
        <v>44</v>
      </c>
      <c r="B48" s="5" t="s">
        <v>406</v>
      </c>
      <c r="C48" s="5" t="s">
        <v>407</v>
      </c>
      <c r="D48" s="6">
        <v>33449</v>
      </c>
      <c r="E48" s="79">
        <v>1520</v>
      </c>
      <c r="F48" s="79">
        <v>1620</v>
      </c>
      <c r="G48" s="79">
        <v>1480</v>
      </c>
      <c r="H48" s="80">
        <v>1615</v>
      </c>
      <c r="I48" s="81">
        <v>2090</v>
      </c>
      <c r="J48" s="9">
        <v>46875122110</v>
      </c>
      <c r="K48" s="9">
        <v>46875122110</v>
      </c>
      <c r="L48" s="9">
        <v>46875122110</v>
      </c>
      <c r="M48" s="9">
        <v>46875122110</v>
      </c>
      <c r="N48" s="9">
        <v>46875122110</v>
      </c>
      <c r="O48" s="7">
        <v>2851611349015</v>
      </c>
      <c r="P48" s="10">
        <v>3559144386553</v>
      </c>
      <c r="Q48" s="9">
        <v>4288218173294</v>
      </c>
      <c r="R48" s="9">
        <v>4400757363148</v>
      </c>
      <c r="S48" s="9">
        <v>5143984823285</v>
      </c>
      <c r="T48" s="7">
        <v>18146206145369</v>
      </c>
      <c r="U48" s="7">
        <v>20264726862584</v>
      </c>
      <c r="V48" s="9">
        <v>22564300317374</v>
      </c>
      <c r="W48" s="8">
        <v>25666635156271</v>
      </c>
      <c r="X48" s="8">
        <v>27241313025674</v>
      </c>
      <c r="Y48" s="73">
        <f t="shared" si="1"/>
        <v>4.0835972193078023</v>
      </c>
      <c r="Z48" s="73">
        <f t="shared" si="2"/>
        <v>3.9229170343042159</v>
      </c>
      <c r="AA48" s="73">
        <f t="shared" si="3"/>
        <v>3.2645992944605</v>
      </c>
      <c r="AB48" s="73">
        <f t="shared" si="4"/>
        <v>3.1209419966070846</v>
      </c>
      <c r="AC48" s="73">
        <f t="shared" si="5"/>
        <v>3.7851696038294689</v>
      </c>
    </row>
    <row r="49" spans="1:29" x14ac:dyDescent="0.25">
      <c r="A49" s="5">
        <v>45</v>
      </c>
      <c r="B49" s="5" t="s">
        <v>410</v>
      </c>
      <c r="C49" s="5" t="s">
        <v>411</v>
      </c>
      <c r="D49" s="6">
        <v>43460</v>
      </c>
      <c r="E49" s="79">
        <v>2810</v>
      </c>
      <c r="F49" s="79">
        <v>1075</v>
      </c>
      <c r="G49" s="79">
        <v>1695</v>
      </c>
      <c r="H49" s="80">
        <v>1105</v>
      </c>
      <c r="I49" s="81">
        <v>685</v>
      </c>
      <c r="J49" s="10">
        <v>840000000</v>
      </c>
      <c r="K49" s="10">
        <v>840000000</v>
      </c>
      <c r="L49" s="9">
        <v>840000000</v>
      </c>
      <c r="M49" s="9">
        <v>840000000</v>
      </c>
      <c r="N49" s="9">
        <v>840000000</v>
      </c>
      <c r="O49" s="7">
        <v>1078865209000</v>
      </c>
      <c r="P49" s="10">
        <v>1275109831000</v>
      </c>
      <c r="Q49" s="10">
        <v>1175080321000</v>
      </c>
      <c r="R49" s="9">
        <v>1097562036000</v>
      </c>
      <c r="S49" s="82">
        <v>1034464891000</v>
      </c>
      <c r="T49" s="7">
        <v>1868663546000</v>
      </c>
      <c r="U49" s="7">
        <v>2096719180000</v>
      </c>
      <c r="V49" s="7">
        <v>1915989375000</v>
      </c>
      <c r="W49" s="8">
        <v>1838539299000</v>
      </c>
      <c r="X49" s="8">
        <v>1806280965000</v>
      </c>
      <c r="Y49" s="73">
        <f t="shared" si="1"/>
        <v>1.8404946232091799</v>
      </c>
      <c r="Z49" s="73">
        <f t="shared" si="2"/>
        <v>1.0388180981870925</v>
      </c>
      <c r="AA49" s="73">
        <f t="shared" si="3"/>
        <v>1.3564168752240602</v>
      </c>
      <c r="AB49" s="73">
        <f t="shared" si="4"/>
        <v>1.1018323280344524</v>
      </c>
      <c r="AC49" s="73">
        <f t="shared" si="5"/>
        <v>0.89125940105336821</v>
      </c>
    </row>
    <row r="50" spans="1:29" x14ac:dyDescent="0.25">
      <c r="A50" s="5">
        <v>46</v>
      </c>
      <c r="B50" s="5" t="s">
        <v>416</v>
      </c>
      <c r="C50" s="5" t="s">
        <v>417</v>
      </c>
      <c r="D50" s="6">
        <v>41626</v>
      </c>
      <c r="E50" s="79">
        <v>416.82</v>
      </c>
      <c r="F50" s="79">
        <v>632.66999999999996</v>
      </c>
      <c r="G50" s="79">
        <v>7989</v>
      </c>
      <c r="H50" s="85">
        <v>865</v>
      </c>
      <c r="I50" s="81">
        <v>755</v>
      </c>
      <c r="J50" s="10">
        <v>15000000000</v>
      </c>
      <c r="K50" s="10">
        <v>15000000000</v>
      </c>
      <c r="L50" s="9">
        <v>30000000000</v>
      </c>
      <c r="M50" s="9">
        <v>30000000000</v>
      </c>
      <c r="N50" s="9">
        <v>30000000000</v>
      </c>
      <c r="O50" s="7">
        <v>435014000000</v>
      </c>
      <c r="P50" s="10">
        <v>472191000000</v>
      </c>
      <c r="Q50" s="10">
        <v>627776000000</v>
      </c>
      <c r="R50" s="9">
        <v>597785000000</v>
      </c>
      <c r="S50" s="9">
        <v>575967000000</v>
      </c>
      <c r="T50" s="7">
        <v>3337628000000</v>
      </c>
      <c r="U50" s="7">
        <v>3529557000000</v>
      </c>
      <c r="V50" s="7">
        <v>3849516000000</v>
      </c>
      <c r="W50" s="17">
        <v>4068970000000</v>
      </c>
      <c r="X50" s="17">
        <v>4081442000000</v>
      </c>
      <c r="Y50" s="73">
        <f t="shared" si="1"/>
        <v>2.0036127453389052</v>
      </c>
      <c r="Z50" s="73">
        <f t="shared" si="2"/>
        <v>2.8225188033512421</v>
      </c>
      <c r="AA50" s="73">
        <f t="shared" si="3"/>
        <v>62.422854197774477</v>
      </c>
      <c r="AB50" s="73">
        <f t="shared" si="4"/>
        <v>6.5244484476415403</v>
      </c>
      <c r="AC50" s="73">
        <f t="shared" si="5"/>
        <v>5.6906277242209979</v>
      </c>
    </row>
    <row r="51" spans="1:29" x14ac:dyDescent="0.25">
      <c r="A51" s="5">
        <v>47</v>
      </c>
      <c r="B51" s="5" t="s">
        <v>420</v>
      </c>
      <c r="C51" s="5" t="s">
        <v>421</v>
      </c>
      <c r="D51" s="6">
        <v>34351</v>
      </c>
      <c r="E51" s="79">
        <v>1390</v>
      </c>
      <c r="F51" s="79">
        <v>1395</v>
      </c>
      <c r="G51" s="79">
        <v>1400</v>
      </c>
      <c r="H51" s="80">
        <v>1500</v>
      </c>
      <c r="I51" s="81">
        <v>1410</v>
      </c>
      <c r="J51" s="10">
        <v>4500000000</v>
      </c>
      <c r="K51" s="10">
        <v>4500000000</v>
      </c>
      <c r="L51" s="9">
        <v>4500000000</v>
      </c>
      <c r="M51" s="9">
        <v>4509864300</v>
      </c>
      <c r="N51" s="9">
        <v>4509864300</v>
      </c>
      <c r="O51" s="7">
        <v>2437126989832</v>
      </c>
      <c r="P51" s="10">
        <v>2581733610850</v>
      </c>
      <c r="Q51" s="10">
        <v>2727421825611</v>
      </c>
      <c r="R51" s="9">
        <v>2769022665619</v>
      </c>
      <c r="S51" s="17">
        <v>3778216973720</v>
      </c>
      <c r="T51" s="7">
        <v>7869975060326</v>
      </c>
      <c r="U51" s="7">
        <v>8372769580743</v>
      </c>
      <c r="V51" s="7">
        <v>9104657533366</v>
      </c>
      <c r="W51" s="17">
        <v>9644326662784</v>
      </c>
      <c r="X51" s="17">
        <v>11328974079150</v>
      </c>
      <c r="Y51" s="73">
        <f t="shared" si="1"/>
        <v>1.1044669040503852</v>
      </c>
      <c r="Z51" s="73">
        <f t="shared" si="2"/>
        <v>1.0581007306382642</v>
      </c>
      <c r="AA51" s="73">
        <f t="shared" si="3"/>
        <v>0.99151690138020532</v>
      </c>
      <c r="AB51" s="73">
        <f t="shared" si="4"/>
        <v>0.98854170425485155</v>
      </c>
      <c r="AC51" s="73">
        <f t="shared" si="5"/>
        <v>0.89479643663202524</v>
      </c>
    </row>
    <row r="52" spans="1:29" x14ac:dyDescent="0.25">
      <c r="A52" s="5">
        <v>48</v>
      </c>
      <c r="B52" s="19" t="s">
        <v>424</v>
      </c>
      <c r="C52" s="19" t="s">
        <v>425</v>
      </c>
      <c r="D52" s="6">
        <v>43003</v>
      </c>
      <c r="E52" s="85">
        <v>270</v>
      </c>
      <c r="F52" s="85">
        <v>199</v>
      </c>
      <c r="G52" s="85">
        <v>232</v>
      </c>
      <c r="H52" s="85">
        <v>204</v>
      </c>
      <c r="I52" s="81">
        <v>185</v>
      </c>
      <c r="J52" s="10">
        <v>2131776780</v>
      </c>
      <c r="K52" s="10">
        <v>2530150002</v>
      </c>
      <c r="L52" s="10">
        <v>2530150002</v>
      </c>
      <c r="M52" s="10">
        <v>2530150002</v>
      </c>
      <c r="N52" s="10">
        <v>2530150002</v>
      </c>
      <c r="O52" s="87">
        <v>82613000000</v>
      </c>
      <c r="P52" s="88">
        <v>89397000000</v>
      </c>
      <c r="Q52" s="88">
        <v>83704000000</v>
      </c>
      <c r="R52" s="9">
        <v>80106000000</v>
      </c>
      <c r="S52" s="9">
        <v>105711000000</v>
      </c>
      <c r="T52" s="7">
        <v>914065000000</v>
      </c>
      <c r="U52" s="7">
        <v>923795000000</v>
      </c>
      <c r="V52" s="7">
        <v>973684000000</v>
      </c>
      <c r="W52" s="8">
        <v>985400000000</v>
      </c>
      <c r="X52" s="8">
        <v>1045929000000</v>
      </c>
      <c r="Y52" s="73">
        <f t="shared" si="1"/>
        <v>0.72007212900614292</v>
      </c>
      <c r="Z52" s="73">
        <f t="shared" si="2"/>
        <v>0.641805649952641</v>
      </c>
      <c r="AA52" s="73">
        <f t="shared" si="3"/>
        <v>0.68882594400647434</v>
      </c>
      <c r="AB52" s="73">
        <f t="shared" si="4"/>
        <v>0.60509092795615993</v>
      </c>
      <c r="AC52" s="73">
        <f t="shared" si="5"/>
        <v>0.54859244783345718</v>
      </c>
    </row>
    <row r="53" spans="1:29" x14ac:dyDescent="0.25">
      <c r="A53" s="5">
        <v>49</v>
      </c>
      <c r="B53" s="5" t="s">
        <v>438</v>
      </c>
      <c r="C53" s="5" t="s">
        <v>439</v>
      </c>
      <c r="D53" s="6">
        <v>29962</v>
      </c>
      <c r="E53" s="79">
        <v>9080</v>
      </c>
      <c r="F53" s="79">
        <v>11000</v>
      </c>
      <c r="G53" s="79">
        <v>7350</v>
      </c>
      <c r="H53" s="80">
        <v>4110</v>
      </c>
      <c r="I53" s="81">
        <v>4700</v>
      </c>
      <c r="J53" s="10">
        <v>7630000000</v>
      </c>
      <c r="K53" s="10">
        <v>7630000000</v>
      </c>
      <c r="L53" s="9">
        <v>38150000000</v>
      </c>
      <c r="M53" s="9">
        <v>38150000000</v>
      </c>
      <c r="N53" s="9">
        <v>38150000000</v>
      </c>
      <c r="O53" s="7">
        <v>11944837000000</v>
      </c>
      <c r="P53" s="10">
        <v>15367509000000</v>
      </c>
      <c r="Q53" s="9">
        <v>15597264000000</v>
      </c>
      <c r="R53" s="9">
        <v>14747263000000</v>
      </c>
      <c r="S53" s="17">
        <v>14320858000000</v>
      </c>
      <c r="T53" s="7">
        <v>19522970000000</v>
      </c>
      <c r="U53" s="7">
        <v>20649371000000</v>
      </c>
      <c r="V53" s="9">
        <v>20534632000000</v>
      </c>
      <c r="W53" s="17">
        <v>19068532000000</v>
      </c>
      <c r="X53" s="17">
        <v>18318114000000</v>
      </c>
      <c r="Y53" s="73">
        <f t="shared" si="1"/>
        <v>4.160495918397662</v>
      </c>
      <c r="Z53" s="73">
        <f t="shared" si="2"/>
        <v>4.8087425520128431</v>
      </c>
      <c r="AA53" s="73">
        <f t="shared" si="3"/>
        <v>14.414661241555242</v>
      </c>
      <c r="AB53" s="73">
        <f t="shared" si="4"/>
        <v>8.9961703921413569</v>
      </c>
      <c r="AC53" s="73">
        <f t="shared" si="5"/>
        <v>10.57018522758402</v>
      </c>
    </row>
  </sheetData>
  <mergeCells count="5">
    <mergeCell ref="T3:X3"/>
    <mergeCell ref="Y3:AC3"/>
    <mergeCell ref="E3:I3"/>
    <mergeCell ref="J3:N3"/>
    <mergeCell ref="O3:S3"/>
  </mergeCells>
  <hyperlinks>
    <hyperlink ref="O47" r:id="rId1" display="javascript:void(0)" xr:uid="{7C6C3341-50BE-48E7-A403-E1BA157163F2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F5FD0-30AA-47EC-893F-40CF0D2A4DBB}">
  <dimension ref="A3:N53"/>
  <sheetViews>
    <sheetView tabSelected="1" topLeftCell="D1" workbookViewId="0">
      <selection activeCell="H6" sqref="H6"/>
    </sheetView>
  </sheetViews>
  <sheetFormatPr defaultColWidth="9" defaultRowHeight="15" x14ac:dyDescent="0.25"/>
  <cols>
    <col min="1" max="1" width="3.85546875" bestFit="1" customWidth="1"/>
    <col min="2" max="2" width="6.85546875" bestFit="1" customWidth="1"/>
    <col min="3" max="3" width="46.42578125" customWidth="1"/>
    <col min="4" max="4" width="14" customWidth="1"/>
    <col min="5" max="6" width="18.5703125" bestFit="1" customWidth="1"/>
    <col min="7" max="9" width="18.140625" customWidth="1"/>
  </cols>
  <sheetData>
    <row r="3" spans="1:14" x14ac:dyDescent="0.25">
      <c r="A3" s="1" t="s">
        <v>0</v>
      </c>
      <c r="B3" s="1" t="s">
        <v>1</v>
      </c>
      <c r="C3" s="2" t="s">
        <v>2</v>
      </c>
      <c r="D3" s="2" t="s">
        <v>3</v>
      </c>
      <c r="E3" s="95" t="s">
        <v>4</v>
      </c>
      <c r="F3" s="95"/>
      <c r="G3" s="95"/>
      <c r="H3" s="95"/>
      <c r="I3" s="95"/>
      <c r="J3" s="95" t="s">
        <v>494</v>
      </c>
      <c r="K3" s="95"/>
      <c r="L3" s="95"/>
      <c r="M3" s="95"/>
      <c r="N3" s="95"/>
    </row>
    <row r="4" spans="1:14" x14ac:dyDescent="0.25">
      <c r="A4" s="3"/>
      <c r="B4" s="3"/>
      <c r="C4" s="3"/>
      <c r="D4" s="3"/>
      <c r="E4" s="3">
        <v>2018</v>
      </c>
      <c r="F4" s="3">
        <v>2019</v>
      </c>
      <c r="G4" s="4">
        <v>2020</v>
      </c>
      <c r="H4" s="4">
        <v>2021</v>
      </c>
      <c r="I4" s="4">
        <v>2022</v>
      </c>
      <c r="J4" s="3">
        <v>2018</v>
      </c>
      <c r="K4" s="3">
        <v>2019</v>
      </c>
      <c r="L4" s="4">
        <v>2020</v>
      </c>
      <c r="M4" s="4">
        <v>2021</v>
      </c>
      <c r="N4" s="4">
        <v>2022</v>
      </c>
    </row>
    <row r="5" spans="1:14" x14ac:dyDescent="0.25">
      <c r="A5" s="5">
        <v>1</v>
      </c>
      <c r="B5" s="5" t="s">
        <v>10</v>
      </c>
      <c r="C5" s="5" t="s">
        <v>11</v>
      </c>
      <c r="D5" s="6">
        <v>32847</v>
      </c>
      <c r="E5" s="7">
        <v>27788562000000</v>
      </c>
      <c r="F5" s="7">
        <v>27707749000000</v>
      </c>
      <c r="G5" s="7">
        <v>27344672000000</v>
      </c>
      <c r="H5" s="7">
        <v>26136114000000</v>
      </c>
      <c r="I5" s="8">
        <v>25706169000000</v>
      </c>
      <c r="J5" s="73">
        <f>LN(E5)</f>
        <v>30.955645613112033</v>
      </c>
      <c r="K5" s="73">
        <f t="shared" ref="K5:N5" si="0">LN(F5)</f>
        <v>30.952733237292282</v>
      </c>
      <c r="L5" s="73">
        <f t="shared" si="0"/>
        <v>30.939542817775113</v>
      </c>
      <c r="M5" s="73">
        <f t="shared" si="0"/>
        <v>30.894339152017622</v>
      </c>
      <c r="N5" s="73">
        <f t="shared" si="0"/>
        <v>30.877752117935497</v>
      </c>
    </row>
    <row r="6" spans="1:14" x14ac:dyDescent="0.25">
      <c r="A6" s="5">
        <v>2</v>
      </c>
      <c r="B6" s="5" t="s">
        <v>18</v>
      </c>
      <c r="C6" s="5" t="s">
        <v>19</v>
      </c>
      <c r="D6" s="6">
        <v>33427</v>
      </c>
      <c r="E6" s="7">
        <v>51155890227000</v>
      </c>
      <c r="F6" s="7">
        <v>79807067000000</v>
      </c>
      <c r="G6" s="7">
        <v>78006244000000</v>
      </c>
      <c r="H6" s="8">
        <v>81766327000000</v>
      </c>
      <c r="I6" s="8">
        <v>82960012000000</v>
      </c>
      <c r="J6" s="73">
        <f t="shared" ref="J6:J53" si="1">LN(E6)</f>
        <v>31.565898757649325</v>
      </c>
      <c r="K6" s="73">
        <f t="shared" ref="K6:K53" si="2">LN(F6)</f>
        <v>32.010633175360447</v>
      </c>
      <c r="L6" s="73">
        <f t="shared" ref="L6:L53" si="3">LN(G6)</f>
        <v>31.98780999069626</v>
      </c>
      <c r="M6" s="73">
        <f t="shared" ref="M6:M53" si="4">LN(H6)</f>
        <v>32.034886624419229</v>
      </c>
      <c r="N6" s="73">
        <f t="shared" ref="N6:N53" si="5">LN(I6)</f>
        <v>32.049379824497834</v>
      </c>
    </row>
    <row r="7" spans="1:14" x14ac:dyDescent="0.25">
      <c r="A7" s="5">
        <v>3</v>
      </c>
      <c r="B7" s="5" t="s">
        <v>24</v>
      </c>
      <c r="C7" s="5" t="s">
        <v>25</v>
      </c>
      <c r="D7" s="6">
        <v>42633</v>
      </c>
      <c r="E7" s="7">
        <v>8881778299672</v>
      </c>
      <c r="F7" s="7">
        <v>10337895087207</v>
      </c>
      <c r="G7" s="7">
        <v>8509017299594</v>
      </c>
      <c r="H7" s="8">
        <v>9082511044439</v>
      </c>
      <c r="I7" s="17">
        <v>9447528704261</v>
      </c>
      <c r="J7" s="73">
        <f t="shared" si="1"/>
        <v>29.815022911855547</v>
      </c>
      <c r="K7" s="73">
        <f t="shared" si="2"/>
        <v>29.966837394383056</v>
      </c>
      <c r="L7" s="73">
        <f t="shared" si="3"/>
        <v>29.772147575887566</v>
      </c>
      <c r="M7" s="73">
        <f t="shared" si="4"/>
        <v>29.83737181705413</v>
      </c>
      <c r="N7" s="73">
        <f t="shared" si="5"/>
        <v>29.876774310457158</v>
      </c>
    </row>
    <row r="8" spans="1:14" x14ac:dyDescent="0.25">
      <c r="A8" s="5">
        <v>4</v>
      </c>
      <c r="B8" s="5" t="s">
        <v>30</v>
      </c>
      <c r="C8" s="5" t="s">
        <v>31</v>
      </c>
      <c r="D8" s="6">
        <v>37089</v>
      </c>
      <c r="E8" s="7">
        <v>1652905985730</v>
      </c>
      <c r="F8" s="7">
        <v>1799137069343</v>
      </c>
      <c r="G8" s="7">
        <v>1970340289520</v>
      </c>
      <c r="H8" s="8">
        <v>2243523072803</v>
      </c>
      <c r="I8" s="8">
        <v>2578868615545</v>
      </c>
      <c r="J8" s="73">
        <f t="shared" si="1"/>
        <v>28.133556058213514</v>
      </c>
      <c r="K8" s="73">
        <f t="shared" si="2"/>
        <v>28.218328259958351</v>
      </c>
      <c r="L8" s="73">
        <f t="shared" si="3"/>
        <v>28.30922737955829</v>
      </c>
      <c r="M8" s="73">
        <f t="shared" si="4"/>
        <v>28.439068546598847</v>
      </c>
      <c r="N8" s="73">
        <f t="shared" si="5"/>
        <v>28.578371897576986</v>
      </c>
    </row>
    <row r="9" spans="1:14" x14ac:dyDescent="0.25">
      <c r="A9" s="5">
        <v>5</v>
      </c>
      <c r="B9" s="5" t="s">
        <v>36</v>
      </c>
      <c r="C9" s="5" t="s">
        <v>37</v>
      </c>
      <c r="D9" s="6">
        <v>42928</v>
      </c>
      <c r="E9" s="7">
        <v>318080326465</v>
      </c>
      <c r="F9" s="7">
        <v>441254067741</v>
      </c>
      <c r="G9" s="7">
        <v>719726855599</v>
      </c>
      <c r="H9" s="8">
        <v>1078458868349</v>
      </c>
      <c r="I9" s="8">
        <v>1005368365991</v>
      </c>
      <c r="J9" s="73">
        <f t="shared" si="1"/>
        <v>26.485569786775386</v>
      </c>
      <c r="K9" s="73">
        <f t="shared" si="2"/>
        <v>26.812886663827914</v>
      </c>
      <c r="L9" s="73">
        <f t="shared" si="3"/>
        <v>27.302137609754951</v>
      </c>
      <c r="M9" s="73">
        <f t="shared" si="4"/>
        <v>27.70655416421711</v>
      </c>
      <c r="N9" s="73">
        <f t="shared" si="5"/>
        <v>27.636375123607035</v>
      </c>
    </row>
    <row r="10" spans="1:14" x14ac:dyDescent="0.25">
      <c r="A10" s="5">
        <v>6</v>
      </c>
      <c r="B10" s="5" t="s">
        <v>40</v>
      </c>
      <c r="C10" s="5" t="s">
        <v>41</v>
      </c>
      <c r="D10" s="6">
        <v>33176</v>
      </c>
      <c r="E10" s="7">
        <v>1558071752917</v>
      </c>
      <c r="F10" s="7">
        <v>2918467252139</v>
      </c>
      <c r="G10" s="7">
        <v>3107410113178</v>
      </c>
      <c r="H10" s="17">
        <v>3236330922409</v>
      </c>
      <c r="I10" s="8">
        <v>3304972191991</v>
      </c>
      <c r="J10" s="73">
        <f t="shared" si="1"/>
        <v>28.074470116820478</v>
      </c>
      <c r="K10" s="73">
        <f t="shared" si="2"/>
        <v>28.702079680742312</v>
      </c>
      <c r="L10" s="73">
        <f t="shared" si="3"/>
        <v>28.764810734145581</v>
      </c>
      <c r="M10" s="73">
        <f t="shared" si="4"/>
        <v>28.805461372692665</v>
      </c>
      <c r="N10" s="73">
        <f t="shared" si="5"/>
        <v>28.826449175275773</v>
      </c>
    </row>
    <row r="11" spans="1:14" x14ac:dyDescent="0.25">
      <c r="A11" s="5">
        <v>7</v>
      </c>
      <c r="B11" s="5" t="s">
        <v>82</v>
      </c>
      <c r="C11" s="5" t="s">
        <v>83</v>
      </c>
      <c r="D11" s="6">
        <v>34243</v>
      </c>
      <c r="E11" s="7">
        <f>14481*7042491000</f>
        <v>101982312171000</v>
      </c>
      <c r="F11" s="7">
        <f>13901*7182435000</f>
        <v>99843028935000</v>
      </c>
      <c r="G11" s="7">
        <f>14105*7683159000</f>
        <v>108370957695000</v>
      </c>
      <c r="H11" s="8">
        <f>14311*9241551000</f>
        <v>132255836361000</v>
      </c>
      <c r="I11" s="8">
        <f>15731*9248254000</f>
        <v>145484283674000</v>
      </c>
      <c r="J11" s="73">
        <f t="shared" si="1"/>
        <v>32.255820504087318</v>
      </c>
      <c r="K11" s="73">
        <f t="shared" si="2"/>
        <v>32.234620357980106</v>
      </c>
      <c r="L11" s="73">
        <f t="shared" si="3"/>
        <v>32.316581251094867</v>
      </c>
      <c r="M11" s="73">
        <f t="shared" si="4"/>
        <v>32.515759316967305</v>
      </c>
      <c r="N11" s="73">
        <f t="shared" si="5"/>
        <v>32.611089180719695</v>
      </c>
    </row>
    <row r="12" spans="1:14" x14ac:dyDescent="0.25">
      <c r="A12" s="5">
        <v>8</v>
      </c>
      <c r="B12" s="5" t="s">
        <v>89</v>
      </c>
      <c r="C12" s="5" t="s">
        <v>90</v>
      </c>
      <c r="D12" s="6">
        <v>33099</v>
      </c>
      <c r="E12" s="7">
        <v>853267454400</v>
      </c>
      <c r="F12" s="7">
        <v>968234349565</v>
      </c>
      <c r="G12" s="7">
        <v>1081979820386</v>
      </c>
      <c r="H12" s="8">
        <v>1165564745263</v>
      </c>
      <c r="I12" s="8">
        <v>1221291885832</v>
      </c>
      <c r="J12" s="73">
        <f t="shared" si="1"/>
        <v>27.472338880896693</v>
      </c>
      <c r="K12" s="73">
        <f t="shared" si="2"/>
        <v>27.598739991580381</v>
      </c>
      <c r="L12" s="73">
        <f t="shared" si="3"/>
        <v>27.709813645888715</v>
      </c>
      <c r="M12" s="73">
        <f t="shared" si="4"/>
        <v>27.784226845370501</v>
      </c>
      <c r="N12" s="73">
        <f t="shared" si="5"/>
        <v>27.830930337223549</v>
      </c>
    </row>
    <row r="13" spans="1:14" x14ac:dyDescent="0.25">
      <c r="A13" s="5">
        <v>9</v>
      </c>
      <c r="B13" s="5" t="s">
        <v>99</v>
      </c>
      <c r="C13" s="5" t="s">
        <v>100</v>
      </c>
      <c r="D13" s="6">
        <v>43342</v>
      </c>
      <c r="E13" s="74">
        <v>1868245599000</v>
      </c>
      <c r="F13" s="7">
        <v>1872712715000</v>
      </c>
      <c r="G13" s="7">
        <v>2279580714000</v>
      </c>
      <c r="H13" s="8">
        <v>2275216679000</v>
      </c>
      <c r="I13" s="8">
        <v>2182945756000</v>
      </c>
      <c r="J13" s="73">
        <f t="shared" si="1"/>
        <v>28.256020924073585</v>
      </c>
      <c r="K13" s="73">
        <f t="shared" si="2"/>
        <v>28.258409145351809</v>
      </c>
      <c r="L13" s="73">
        <f t="shared" si="3"/>
        <v>28.455012644615284</v>
      </c>
      <c r="M13" s="73">
        <f t="shared" si="4"/>
        <v>28.453096407312568</v>
      </c>
      <c r="N13" s="73">
        <f t="shared" si="5"/>
        <v>28.41169634481383</v>
      </c>
    </row>
    <row r="14" spans="1:14" x14ac:dyDescent="0.25">
      <c r="A14" s="5">
        <v>10</v>
      </c>
      <c r="B14" s="11" t="s">
        <v>111</v>
      </c>
      <c r="C14" s="11" t="s">
        <v>112</v>
      </c>
      <c r="D14" s="6">
        <v>43199</v>
      </c>
      <c r="E14" s="8">
        <f>14481*304204072</f>
        <v>4405179166632</v>
      </c>
      <c r="F14" s="8">
        <f>13901*356285764</f>
        <v>4952728405364</v>
      </c>
      <c r="G14" s="7">
        <f>14105*349209327</f>
        <v>4925597557335</v>
      </c>
      <c r="H14" s="7">
        <f>14311*210575452</f>
        <v>3013545293572</v>
      </c>
      <c r="I14" s="7">
        <f>15731*146631100</f>
        <v>2306653834100</v>
      </c>
      <c r="J14" s="73">
        <f t="shared" si="1"/>
        <v>29.113802047958789</v>
      </c>
      <c r="K14" s="73">
        <f t="shared" si="2"/>
        <v>29.23095973366091</v>
      </c>
      <c r="L14" s="73">
        <f t="shared" si="3"/>
        <v>29.225466714631114</v>
      </c>
      <c r="M14" s="73">
        <f t="shared" si="4"/>
        <v>28.734138339977896</v>
      </c>
      <c r="N14" s="73">
        <f t="shared" si="5"/>
        <v>28.466819033623096</v>
      </c>
    </row>
    <row r="15" spans="1:14" x14ac:dyDescent="0.25">
      <c r="A15" s="5">
        <v>11</v>
      </c>
      <c r="B15" s="5" t="s">
        <v>113</v>
      </c>
      <c r="C15" s="5" t="s">
        <v>114</v>
      </c>
      <c r="D15" s="6">
        <v>39594</v>
      </c>
      <c r="E15" s="7">
        <f>14481*3173486000</f>
        <v>45955250766000</v>
      </c>
      <c r="F15" s="7">
        <f>14481*3451211000</f>
        <v>49976986491000</v>
      </c>
      <c r="G15" s="7">
        <f>14105*3593747000</f>
        <v>50689801435000</v>
      </c>
      <c r="H15" s="8">
        <f>14311*4993060000</f>
        <v>71455681660000</v>
      </c>
      <c r="I15" s="8">
        <f>15731*4929871000</f>
        <v>77551800701000</v>
      </c>
      <c r="J15" s="73">
        <f t="shared" si="1"/>
        <v>31.458689229496663</v>
      </c>
      <c r="K15" s="73">
        <f t="shared" si="2"/>
        <v>31.542583745219861</v>
      </c>
      <c r="L15" s="73">
        <f t="shared" si="3"/>
        <v>31.556745851163075</v>
      </c>
      <c r="M15" s="73">
        <f t="shared" si="4"/>
        <v>31.900098536527111</v>
      </c>
      <c r="N15" s="73">
        <f t="shared" si="5"/>
        <v>31.98196722515257</v>
      </c>
    </row>
    <row r="16" spans="1:14" x14ac:dyDescent="0.25">
      <c r="A16" s="5">
        <v>12</v>
      </c>
      <c r="B16" s="5" t="s">
        <v>115</v>
      </c>
      <c r="C16" s="5" t="s">
        <v>116</v>
      </c>
      <c r="D16" s="6">
        <v>32818</v>
      </c>
      <c r="E16" s="7">
        <f>14481*236410388</f>
        <v>3423458828628</v>
      </c>
      <c r="F16" s="7">
        <f>14481*219757421</f>
        <v>3182307213501</v>
      </c>
      <c r="G16" s="7">
        <f>14105*242256371</f>
        <v>3417026112955</v>
      </c>
      <c r="H16" s="7">
        <f>14311*292723782</f>
        <v>4189170044202</v>
      </c>
      <c r="I16" s="8">
        <f>15731*317577675</f>
        <v>4995814405425</v>
      </c>
      <c r="J16" s="73">
        <f t="shared" si="1"/>
        <v>28.861672509329768</v>
      </c>
      <c r="K16" s="73">
        <f t="shared" si="2"/>
        <v>28.788627588481365</v>
      </c>
      <c r="L16" s="73">
        <f t="shared" si="3"/>
        <v>28.859791731103034</v>
      </c>
      <c r="M16" s="73">
        <f t="shared" si="4"/>
        <v>29.06352375009941</v>
      </c>
      <c r="N16" s="73">
        <f t="shared" si="5"/>
        <v>29.239621558867945</v>
      </c>
    </row>
    <row r="17" spans="1:14" x14ac:dyDescent="0.25">
      <c r="A17" s="5">
        <v>13</v>
      </c>
      <c r="B17" s="5" t="s">
        <v>129</v>
      </c>
      <c r="C17" s="5" t="s">
        <v>130</v>
      </c>
      <c r="D17" s="6">
        <v>33182</v>
      </c>
      <c r="E17" s="7">
        <v>570197810698</v>
      </c>
      <c r="F17" s="7">
        <v>617594780669</v>
      </c>
      <c r="G17" s="7">
        <v>665863417235</v>
      </c>
      <c r="H17" s="8">
        <v>809371584010</v>
      </c>
      <c r="I17" s="8">
        <v>863638556466</v>
      </c>
      <c r="J17" s="73">
        <f t="shared" si="1"/>
        <v>27.069249173884113</v>
      </c>
      <c r="K17" s="73">
        <f t="shared" si="2"/>
        <v>27.149098384631955</v>
      </c>
      <c r="L17" s="73">
        <f t="shared" si="3"/>
        <v>27.224350407228453</v>
      </c>
      <c r="M17" s="73">
        <f t="shared" si="4"/>
        <v>27.419523961297223</v>
      </c>
      <c r="N17" s="73">
        <f t="shared" si="5"/>
        <v>27.484420180799344</v>
      </c>
    </row>
    <row r="18" spans="1:14" x14ac:dyDescent="0.25">
      <c r="A18" s="5">
        <v>14</v>
      </c>
      <c r="B18" s="5" t="s">
        <v>131</v>
      </c>
      <c r="C18" s="5" t="s">
        <v>132</v>
      </c>
      <c r="D18" s="6">
        <v>41990</v>
      </c>
      <c r="E18" s="7">
        <v>2370198817803</v>
      </c>
      <c r="F18" s="7">
        <v>2501132856219</v>
      </c>
      <c r="G18" s="7">
        <v>2697100062756</v>
      </c>
      <c r="H18" s="8">
        <v>1383431547987</v>
      </c>
      <c r="I18" s="17">
        <v>3435475875401</v>
      </c>
      <c r="J18" s="73">
        <f t="shared" si="1"/>
        <v>28.493994956925427</v>
      </c>
      <c r="K18" s="73">
        <f t="shared" si="2"/>
        <v>28.547764887652253</v>
      </c>
      <c r="L18" s="73">
        <f t="shared" si="3"/>
        <v>28.623198260901791</v>
      </c>
      <c r="M18" s="73">
        <f t="shared" si="4"/>
        <v>27.955588157527586</v>
      </c>
      <c r="N18" s="73">
        <f t="shared" si="5"/>
        <v>28.865176569242109</v>
      </c>
    </row>
    <row r="19" spans="1:14" x14ac:dyDescent="0.25">
      <c r="A19" s="5">
        <v>15</v>
      </c>
      <c r="B19" s="36" t="s">
        <v>135</v>
      </c>
      <c r="C19" s="5" t="s">
        <v>136</v>
      </c>
      <c r="D19" s="6">
        <v>43082</v>
      </c>
      <c r="E19" s="7">
        <v>2295734967000</v>
      </c>
      <c r="F19" s="7">
        <v>2338919728000</v>
      </c>
      <c r="G19" s="7">
        <v>2421301079000</v>
      </c>
      <c r="H19" s="8">
        <v>2795959663000</v>
      </c>
      <c r="I19" s="8">
        <v>3040363137000</v>
      </c>
      <c r="J19" s="73">
        <f t="shared" si="1"/>
        <v>28.462074155231736</v>
      </c>
      <c r="K19" s="73">
        <f t="shared" si="2"/>
        <v>28.480710284001965</v>
      </c>
      <c r="L19" s="73">
        <f t="shared" si="3"/>
        <v>28.515326147573131</v>
      </c>
      <c r="M19" s="73">
        <f t="shared" si="4"/>
        <v>28.659196513515074</v>
      </c>
      <c r="N19" s="73">
        <f t="shared" si="5"/>
        <v>28.742998077173269</v>
      </c>
    </row>
    <row r="20" spans="1:14" x14ac:dyDescent="0.25">
      <c r="A20" s="5">
        <v>16</v>
      </c>
      <c r="B20" s="36" t="s">
        <v>147</v>
      </c>
      <c r="C20" s="5" t="s">
        <v>148</v>
      </c>
      <c r="D20" s="6">
        <v>33315</v>
      </c>
      <c r="E20" s="7">
        <v>27645118000000</v>
      </c>
      <c r="F20" s="7">
        <v>29109408000000</v>
      </c>
      <c r="G20" s="7">
        <v>31159291000000</v>
      </c>
      <c r="H20" s="17">
        <v>35446051000000</v>
      </c>
      <c r="I20" s="17">
        <v>39847545000000</v>
      </c>
      <c r="J20" s="73">
        <f t="shared" si="1"/>
        <v>30.950470264112301</v>
      </c>
      <c r="K20" s="73">
        <f t="shared" si="2"/>
        <v>31.002082536825217</v>
      </c>
      <c r="L20" s="73">
        <f t="shared" si="3"/>
        <v>31.070133583142063</v>
      </c>
      <c r="M20" s="73">
        <f t="shared" si="4"/>
        <v>31.19903296636879</v>
      </c>
      <c r="N20" s="73">
        <f t="shared" si="5"/>
        <v>31.31608191324446</v>
      </c>
    </row>
    <row r="21" spans="1:14" x14ac:dyDescent="0.25">
      <c r="A21" s="5">
        <v>17</v>
      </c>
      <c r="B21" s="5" t="s">
        <v>168</v>
      </c>
      <c r="C21" s="5" t="s">
        <v>169</v>
      </c>
      <c r="D21" s="6">
        <v>40736</v>
      </c>
      <c r="E21" s="7">
        <v>526129315163</v>
      </c>
      <c r="F21" s="7">
        <v>925114449507</v>
      </c>
      <c r="G21" s="7">
        <v>953551967212</v>
      </c>
      <c r="H21" s="8">
        <v>1210809442028</v>
      </c>
      <c r="I21" s="8">
        <v>1568806950187</v>
      </c>
      <c r="J21" s="73">
        <f t="shared" si="1"/>
        <v>26.988812865786358</v>
      </c>
      <c r="K21" s="73">
        <f t="shared" si="2"/>
        <v>27.553183296001766</v>
      </c>
      <c r="L21" s="73">
        <f t="shared" si="3"/>
        <v>27.58345976203503</v>
      </c>
      <c r="M21" s="73">
        <f t="shared" si="4"/>
        <v>27.822310212236676</v>
      </c>
      <c r="N21" s="73">
        <f t="shared" si="5"/>
        <v>28.081336542075618</v>
      </c>
    </row>
    <row r="22" spans="1:14" x14ac:dyDescent="0.25">
      <c r="A22" s="5">
        <v>18</v>
      </c>
      <c r="B22" s="5" t="s">
        <v>170</v>
      </c>
      <c r="C22" s="5" t="s">
        <v>171</v>
      </c>
      <c r="D22" s="6">
        <v>34669</v>
      </c>
      <c r="E22" s="7">
        <v>10965118708784</v>
      </c>
      <c r="F22" s="7">
        <v>10751992944302</v>
      </c>
      <c r="G22" s="9">
        <v>11513044288721</v>
      </c>
      <c r="H22" s="8">
        <v>13302224000000</v>
      </c>
      <c r="I22" s="8">
        <v>12877846000000</v>
      </c>
      <c r="J22" s="73">
        <f t="shared" si="1"/>
        <v>30.02574032389429</v>
      </c>
      <c r="K22" s="73">
        <f t="shared" si="2"/>
        <v>30.006112243487216</v>
      </c>
      <c r="L22" s="73">
        <f t="shared" si="3"/>
        <v>30.074501794457198</v>
      </c>
      <c r="M22" s="73">
        <f t="shared" si="4"/>
        <v>30.21895235522199</v>
      </c>
      <c r="N22" s="73">
        <f t="shared" si="5"/>
        <v>30.186529586594407</v>
      </c>
    </row>
    <row r="23" spans="1:14" x14ac:dyDescent="0.25">
      <c r="A23" s="5">
        <v>19</v>
      </c>
      <c r="B23" s="5" t="s">
        <v>172</v>
      </c>
      <c r="C23" s="5" t="s">
        <v>173</v>
      </c>
      <c r="D23" s="6">
        <v>33070</v>
      </c>
      <c r="E23" s="7">
        <f>14481*8751013000</f>
        <v>126723419253000</v>
      </c>
      <c r="F23" s="7">
        <f>13901*8502050000</f>
        <v>118186997050000</v>
      </c>
      <c r="G23" s="9">
        <f>14105*8496277000</f>
        <v>119839987085000</v>
      </c>
      <c r="H23" s="17">
        <f>14311*13302224000</f>
        <v>190368127664000</v>
      </c>
      <c r="I23" s="17">
        <f>15731*9640721000</f>
        <v>151658182051000</v>
      </c>
      <c r="J23" s="73">
        <f t="shared" si="1"/>
        <v>32.473028026372113</v>
      </c>
      <c r="K23" s="73">
        <f t="shared" si="2"/>
        <v>32.403289206811991</v>
      </c>
      <c r="L23" s="73">
        <f t="shared" si="3"/>
        <v>32.417178527928762</v>
      </c>
      <c r="M23" s="73">
        <f t="shared" si="4"/>
        <v>32.879980827550732</v>
      </c>
      <c r="N23" s="73">
        <f t="shared" si="5"/>
        <v>32.652650302125672</v>
      </c>
    </row>
    <row r="24" spans="1:14" x14ac:dyDescent="0.25">
      <c r="A24" s="5">
        <v>20</v>
      </c>
      <c r="B24" s="5" t="s">
        <v>184</v>
      </c>
      <c r="C24" s="5" t="s">
        <v>185</v>
      </c>
      <c r="D24" s="6">
        <v>32966</v>
      </c>
      <c r="E24" s="7">
        <f>14481*2965136000</f>
        <v>42938134416000</v>
      </c>
      <c r="F24" s="7">
        <f>13901*3062331000</f>
        <v>42569463231000</v>
      </c>
      <c r="G24" s="9">
        <f>14105*3073164000</f>
        <v>43346978220000</v>
      </c>
      <c r="H24" s="17">
        <f>14311*3161834000</f>
        <v>45249006374000</v>
      </c>
      <c r="I24" s="17">
        <f>15731*3545180000</f>
        <v>55769226580000</v>
      </c>
      <c r="J24" s="73">
        <f t="shared" si="1"/>
        <v>31.390781461138207</v>
      </c>
      <c r="K24" s="73">
        <f t="shared" si="2"/>
        <v>31.382158286598205</v>
      </c>
      <c r="L24" s="73">
        <f t="shared" si="3"/>
        <v>31.400258110151089</v>
      </c>
      <c r="M24" s="73">
        <f t="shared" si="4"/>
        <v>31.443201827247755</v>
      </c>
      <c r="N24" s="73">
        <f t="shared" si="5"/>
        <v>31.652243338204443</v>
      </c>
    </row>
    <row r="25" spans="1:14" x14ac:dyDescent="0.25">
      <c r="A25" s="5">
        <v>21</v>
      </c>
      <c r="B25" s="5" t="s">
        <v>208</v>
      </c>
      <c r="C25" s="5" t="s">
        <v>209</v>
      </c>
      <c r="D25" s="6">
        <v>32967</v>
      </c>
      <c r="E25" s="7">
        <v>344711000000000</v>
      </c>
      <c r="F25" s="7">
        <v>351958000000000</v>
      </c>
      <c r="G25" s="9">
        <v>338203000000000</v>
      </c>
      <c r="H25" s="8">
        <v>367311000000000</v>
      </c>
      <c r="I25" s="8">
        <v>413297000000000</v>
      </c>
      <c r="J25" s="73">
        <f t="shared" si="1"/>
        <v>33.473727500749568</v>
      </c>
      <c r="K25" s="73">
        <f t="shared" si="2"/>
        <v>33.494532966225847</v>
      </c>
      <c r="L25" s="73">
        <f t="shared" si="3"/>
        <v>33.454667422844523</v>
      </c>
      <c r="M25" s="73">
        <f t="shared" si="4"/>
        <v>33.537230016576899</v>
      </c>
      <c r="N25" s="73">
        <f t="shared" si="5"/>
        <v>33.655187578769997</v>
      </c>
    </row>
    <row r="26" spans="1:14" x14ac:dyDescent="0.25">
      <c r="A26" s="5">
        <v>22</v>
      </c>
      <c r="B26" s="5" t="s">
        <v>210</v>
      </c>
      <c r="C26" s="5" t="s">
        <v>211</v>
      </c>
      <c r="D26" s="6">
        <v>35961</v>
      </c>
      <c r="E26" s="7">
        <v>15889648000000</v>
      </c>
      <c r="F26" s="7">
        <v>16015709000000</v>
      </c>
      <c r="G26" s="7">
        <v>15180094000000</v>
      </c>
      <c r="H26" s="8">
        <v>16947148000000</v>
      </c>
      <c r="I26" s="17">
        <v>18521261000000</v>
      </c>
      <c r="J26" s="73">
        <f t="shared" si="1"/>
        <v>30.396688943934766</v>
      </c>
      <c r="K26" s="73">
        <f t="shared" si="2"/>
        <v>30.40459116900568</v>
      </c>
      <c r="L26" s="73">
        <f t="shared" si="3"/>
        <v>30.351006080235226</v>
      </c>
      <c r="M26" s="73">
        <f t="shared" si="4"/>
        <v>30.461120676010754</v>
      </c>
      <c r="N26" s="73">
        <f t="shared" si="5"/>
        <v>30.549940431381575</v>
      </c>
    </row>
    <row r="27" spans="1:14" x14ac:dyDescent="0.25">
      <c r="A27" s="5">
        <v>23</v>
      </c>
      <c r="B27" s="5" t="s">
        <v>214</v>
      </c>
      <c r="C27" s="5" t="s">
        <v>215</v>
      </c>
      <c r="D27" s="6">
        <v>33121</v>
      </c>
      <c r="E27" s="7">
        <f>14481*296400018</f>
        <v>4292168660658</v>
      </c>
      <c r="F27" s="7">
        <f>13901*279484828</f>
        <v>3885118594028</v>
      </c>
      <c r="G27" s="9">
        <f>14105*263740526</f>
        <v>3720060119230</v>
      </c>
      <c r="H27" s="17">
        <f>14311*289992314</f>
        <v>4150080005654</v>
      </c>
      <c r="I27" s="17">
        <f>15731*290896966</f>
        <v>4576100172146</v>
      </c>
      <c r="J27" s="73">
        <f t="shared" si="1"/>
        <v>29.087813236443552</v>
      </c>
      <c r="K27" s="73">
        <f t="shared" si="2"/>
        <v>28.988174625415578</v>
      </c>
      <c r="L27" s="73">
        <f t="shared" si="3"/>
        <v>28.944760945166347</v>
      </c>
      <c r="M27" s="73">
        <f t="shared" si="4"/>
        <v>29.05414872845617</v>
      </c>
      <c r="N27" s="73">
        <f t="shared" si="5"/>
        <v>29.151868260532616</v>
      </c>
    </row>
    <row r="28" spans="1:14" x14ac:dyDescent="0.25">
      <c r="A28" s="5">
        <v>24</v>
      </c>
      <c r="B28" s="5" t="s">
        <v>222</v>
      </c>
      <c r="C28" s="5" t="s">
        <v>223</v>
      </c>
      <c r="D28" s="6">
        <v>34227</v>
      </c>
      <c r="E28" s="7">
        <v>40955996273862</v>
      </c>
      <c r="F28" s="7">
        <v>44697971458665</v>
      </c>
      <c r="G28" s="9">
        <v>48408700495082</v>
      </c>
      <c r="H28" s="17">
        <v>51023608000000</v>
      </c>
      <c r="I28" s="8">
        <v>57445068000000</v>
      </c>
      <c r="J28" s="73">
        <f t="shared" si="1"/>
        <v>31.343519344662063</v>
      </c>
      <c r="K28" s="73">
        <f t="shared" si="2"/>
        <v>31.430949235280391</v>
      </c>
      <c r="L28" s="73">
        <f t="shared" si="3"/>
        <v>31.510700675790911</v>
      </c>
      <c r="M28" s="73">
        <f t="shared" si="4"/>
        <v>31.563309543507597</v>
      </c>
      <c r="N28" s="73">
        <f t="shared" si="5"/>
        <v>31.681850267974145</v>
      </c>
    </row>
    <row r="29" spans="1:14" x14ac:dyDescent="0.25">
      <c r="A29" s="5">
        <v>25</v>
      </c>
      <c r="B29" s="5" t="s">
        <v>224</v>
      </c>
      <c r="C29" s="5" t="s">
        <v>225</v>
      </c>
      <c r="D29" s="6">
        <v>33095</v>
      </c>
      <c r="E29" s="7">
        <v>2482337567967</v>
      </c>
      <c r="F29" s="7">
        <v>2834422741208</v>
      </c>
      <c r="G29" s="7">
        <v>2826260084696</v>
      </c>
      <c r="H29" s="8">
        <v>3538818568392</v>
      </c>
      <c r="I29" s="8">
        <v>3882465049707</v>
      </c>
      <c r="J29" s="73">
        <f t="shared" si="1"/>
        <v>28.540221799896045</v>
      </c>
      <c r="K29" s="73">
        <f t="shared" si="2"/>
        <v>28.67285941375366</v>
      </c>
      <c r="L29" s="73">
        <f t="shared" si="3"/>
        <v>28.669975428757258</v>
      </c>
      <c r="M29" s="73">
        <f t="shared" si="4"/>
        <v>28.894814049629023</v>
      </c>
      <c r="N29" s="73">
        <f t="shared" si="5"/>
        <v>28.987491389921523</v>
      </c>
    </row>
    <row r="30" spans="1:14" x14ac:dyDescent="0.25">
      <c r="A30" s="5">
        <v>26</v>
      </c>
      <c r="B30" s="5" t="s">
        <v>236</v>
      </c>
      <c r="C30" s="5" t="s">
        <v>237</v>
      </c>
      <c r="D30" s="6">
        <v>35317</v>
      </c>
      <c r="E30" s="7">
        <v>2801203000000</v>
      </c>
      <c r="F30" s="7">
        <v>3106981000000</v>
      </c>
      <c r="G30" s="7">
        <v>3375526000000</v>
      </c>
      <c r="H30" s="17">
        <v>3868862000000</v>
      </c>
      <c r="I30" s="17">
        <v>4379577000000</v>
      </c>
      <c r="J30" s="73">
        <f t="shared" si="1"/>
        <v>28.661070083696785</v>
      </c>
      <c r="K30" s="73">
        <f t="shared" si="2"/>
        <v>28.764672631097071</v>
      </c>
      <c r="L30" s="73">
        <f t="shared" si="3"/>
        <v>28.847572279961256</v>
      </c>
      <c r="M30" s="73">
        <f t="shared" si="4"/>
        <v>28.9839815228795</v>
      </c>
      <c r="N30" s="73">
        <f t="shared" si="5"/>
        <v>29.10797326031074</v>
      </c>
    </row>
    <row r="31" spans="1:14" x14ac:dyDescent="0.25">
      <c r="A31" s="5">
        <v>27</v>
      </c>
      <c r="B31" s="5" t="s">
        <v>242</v>
      </c>
      <c r="C31" s="5" t="s">
        <v>243</v>
      </c>
      <c r="D31" s="6">
        <v>43017</v>
      </c>
      <c r="E31" s="7">
        <v>514962171773</v>
      </c>
      <c r="F31" s="7">
        <v>590884444113</v>
      </c>
      <c r="G31" s="7">
        <v>554235931111</v>
      </c>
      <c r="H31" s="17">
        <v>524473606697</v>
      </c>
      <c r="I31" s="17">
        <v>525780962665</v>
      </c>
      <c r="J31" s="73">
        <f t="shared" si="1"/>
        <v>26.967359282044391</v>
      </c>
      <c r="K31" s="73">
        <f t="shared" si="2"/>
        <v>27.104886309199269</v>
      </c>
      <c r="L31" s="73">
        <f t="shared" si="3"/>
        <v>27.040856301468882</v>
      </c>
      <c r="M31" s="73">
        <f t="shared" si="4"/>
        <v>26.985660942633878</v>
      </c>
      <c r="N31" s="73">
        <f t="shared" si="5"/>
        <v>26.988150542167933</v>
      </c>
    </row>
    <row r="32" spans="1:14" x14ac:dyDescent="0.25">
      <c r="A32" s="5">
        <v>28</v>
      </c>
      <c r="B32" s="5" t="s">
        <v>274</v>
      </c>
      <c r="C32" s="5" t="s">
        <v>275</v>
      </c>
      <c r="D32" s="6">
        <v>41088</v>
      </c>
      <c r="E32" s="7">
        <v>633014281325</v>
      </c>
      <c r="F32" s="7">
        <v>1147246311331</v>
      </c>
      <c r="G32" s="7">
        <v>1068940700530</v>
      </c>
      <c r="H32" s="17">
        <v>1060742742644</v>
      </c>
      <c r="I32" s="17">
        <v>1177807599498</v>
      </c>
      <c r="J32" s="73">
        <f t="shared" si="1"/>
        <v>27.173758820170999</v>
      </c>
      <c r="K32" s="73">
        <f t="shared" si="2"/>
        <v>27.768385674989339</v>
      </c>
      <c r="L32" s="73">
        <f t="shared" si="3"/>
        <v>27.697689274524507</v>
      </c>
      <c r="M32" s="73">
        <f t="shared" si="4"/>
        <v>27.689990479284017</v>
      </c>
      <c r="N32" s="73">
        <f t="shared" si="5"/>
        <v>27.794675859718286</v>
      </c>
    </row>
    <row r="33" spans="1:14" x14ac:dyDescent="0.25">
      <c r="A33" s="5">
        <v>29</v>
      </c>
      <c r="B33" s="5" t="s">
        <v>296</v>
      </c>
      <c r="C33" s="5" t="s">
        <v>297</v>
      </c>
      <c r="D33" s="6">
        <v>30152</v>
      </c>
      <c r="E33" s="7">
        <v>4165196478857</v>
      </c>
      <c r="F33" s="7">
        <v>4400655628146</v>
      </c>
      <c r="G33" s="7">
        <v>3743659818718</v>
      </c>
      <c r="H33" s="8">
        <v>4698864127234</v>
      </c>
      <c r="I33" s="8">
        <v>5128133329237</v>
      </c>
      <c r="J33" s="73">
        <f t="shared" si="1"/>
        <v>29.057784564229905</v>
      </c>
      <c r="K33" s="73">
        <f t="shared" si="2"/>
        <v>29.112774652149231</v>
      </c>
      <c r="L33" s="73">
        <f t="shared" si="3"/>
        <v>28.951084810030689</v>
      </c>
      <c r="M33" s="73">
        <f t="shared" si="4"/>
        <v>29.178341920379843</v>
      </c>
      <c r="N33" s="73">
        <f t="shared" si="5"/>
        <v>29.26576283545014</v>
      </c>
    </row>
    <row r="34" spans="1:14" x14ac:dyDescent="0.25">
      <c r="A34" s="5">
        <v>30</v>
      </c>
      <c r="B34" s="5" t="s">
        <v>316</v>
      </c>
      <c r="C34" s="50" t="s">
        <v>317</v>
      </c>
      <c r="D34" s="6">
        <v>34827</v>
      </c>
      <c r="E34" s="7">
        <v>3392980000000</v>
      </c>
      <c r="F34" s="7">
        <v>2999767000000</v>
      </c>
      <c r="G34" s="7">
        <v>2963007000000</v>
      </c>
      <c r="H34" s="17">
        <v>2993218000000</v>
      </c>
      <c r="I34" s="17">
        <v>3173651000000</v>
      </c>
      <c r="J34" s="73">
        <f t="shared" si="1"/>
        <v>28.852729707224615</v>
      </c>
      <c r="K34" s="73">
        <f t="shared" si="2"/>
        <v>28.729555734913781</v>
      </c>
      <c r="L34" s="73">
        <f t="shared" si="3"/>
        <v>28.717225746987655</v>
      </c>
      <c r="M34" s="73">
        <f t="shared" si="4"/>
        <v>28.72737017876543</v>
      </c>
      <c r="N34" s="73">
        <f t="shared" si="5"/>
        <v>28.785903776095555</v>
      </c>
    </row>
    <row r="35" spans="1:14" x14ac:dyDescent="0.25">
      <c r="A35" s="5">
        <v>31</v>
      </c>
      <c r="B35" s="5" t="s">
        <v>320</v>
      </c>
      <c r="C35" s="5" t="s">
        <v>321</v>
      </c>
      <c r="D35" s="6">
        <v>35255</v>
      </c>
      <c r="E35" s="7">
        <v>1168956042706</v>
      </c>
      <c r="F35" s="7">
        <v>1393079542074</v>
      </c>
      <c r="G35" s="7">
        <v>1566673828068</v>
      </c>
      <c r="H35" s="8">
        <v>1697387196209</v>
      </c>
      <c r="I35" s="8">
        <v>1718287453575</v>
      </c>
      <c r="J35" s="73">
        <f t="shared" si="1"/>
        <v>27.78713219523587</v>
      </c>
      <c r="K35" s="73">
        <f t="shared" si="2"/>
        <v>27.962537910369512</v>
      </c>
      <c r="L35" s="73">
        <f t="shared" si="3"/>
        <v>28.079975907073237</v>
      </c>
      <c r="M35" s="73">
        <f t="shared" si="4"/>
        <v>28.160111241275146</v>
      </c>
      <c r="N35" s="73">
        <f t="shared" si="5"/>
        <v>28.172349244222566</v>
      </c>
    </row>
    <row r="36" spans="1:14" x14ac:dyDescent="0.25">
      <c r="A36" s="5">
        <v>32</v>
      </c>
      <c r="B36" s="5" t="s">
        <v>330</v>
      </c>
      <c r="C36" s="5" t="s">
        <v>331</v>
      </c>
      <c r="D36" s="6">
        <v>30724</v>
      </c>
      <c r="E36" s="7">
        <v>1523517170000</v>
      </c>
      <c r="F36" s="7">
        <v>1425983722000</v>
      </c>
      <c r="G36" s="7">
        <v>1225580913000</v>
      </c>
      <c r="H36" s="7">
        <v>1308722065000</v>
      </c>
      <c r="I36" s="7">
        <v>1307186367000</v>
      </c>
      <c r="J36" s="73">
        <f t="shared" si="1"/>
        <v>28.052042705410408</v>
      </c>
      <c r="K36" s="73">
        <f t="shared" si="2"/>
        <v>27.985883022708233</v>
      </c>
      <c r="L36" s="73">
        <f t="shared" si="3"/>
        <v>27.834436062214863</v>
      </c>
      <c r="M36" s="73">
        <f t="shared" si="4"/>
        <v>27.900072254108704</v>
      </c>
      <c r="N36" s="73">
        <f t="shared" si="5"/>
        <v>27.898898131836198</v>
      </c>
    </row>
    <row r="37" spans="1:14" x14ac:dyDescent="0.25">
      <c r="A37" s="5">
        <v>33</v>
      </c>
      <c r="B37" s="5" t="s">
        <v>338</v>
      </c>
      <c r="C37" s="5" t="s">
        <v>339</v>
      </c>
      <c r="D37" s="6">
        <v>43383</v>
      </c>
      <c r="E37" s="9">
        <v>4212408305683</v>
      </c>
      <c r="F37" s="7">
        <v>5063067672414</v>
      </c>
      <c r="G37" s="9">
        <v>6570969641033</v>
      </c>
      <c r="H37" s="17">
        <v>6766602280143</v>
      </c>
      <c r="I37" s="17">
        <v>7327371934290</v>
      </c>
      <c r="J37" s="73">
        <f t="shared" si="1"/>
        <v>29.069055644173204</v>
      </c>
      <c r="K37" s="73">
        <f t="shared" si="2"/>
        <v>29.252993674897308</v>
      </c>
      <c r="L37" s="73">
        <f t="shared" si="3"/>
        <v>29.513682523689489</v>
      </c>
      <c r="M37" s="73">
        <f t="shared" si="4"/>
        <v>29.543020198013107</v>
      </c>
      <c r="N37" s="73">
        <f t="shared" si="5"/>
        <v>29.622638031970332</v>
      </c>
    </row>
    <row r="38" spans="1:14" x14ac:dyDescent="0.25">
      <c r="A38" s="5">
        <v>34</v>
      </c>
      <c r="B38" s="5" t="s">
        <v>340</v>
      </c>
      <c r="C38" s="5" t="s">
        <v>341</v>
      </c>
      <c r="D38" s="6">
        <v>42908</v>
      </c>
      <c r="E38" s="7">
        <v>758846556031</v>
      </c>
      <c r="F38" s="7">
        <v>848676035300</v>
      </c>
      <c r="G38" s="7">
        <v>906924214166</v>
      </c>
      <c r="H38" s="8">
        <v>987563580363</v>
      </c>
      <c r="I38" s="8">
        <v>811603660216</v>
      </c>
      <c r="J38" s="73">
        <f t="shared" si="1"/>
        <v>27.355065427936687</v>
      </c>
      <c r="K38" s="73">
        <f t="shared" si="2"/>
        <v>27.466943366572742</v>
      </c>
      <c r="L38" s="73">
        <f t="shared" si="3"/>
        <v>27.533324726972925</v>
      </c>
      <c r="M38" s="73">
        <f t="shared" si="4"/>
        <v>27.618506716826772</v>
      </c>
      <c r="N38" s="73">
        <f t="shared" si="5"/>
        <v>27.422277954764688</v>
      </c>
    </row>
    <row r="39" spans="1:14" x14ac:dyDescent="0.25">
      <c r="A39" s="5">
        <v>35</v>
      </c>
      <c r="B39" s="5" t="s">
        <v>344</v>
      </c>
      <c r="C39" s="5" t="s">
        <v>345</v>
      </c>
      <c r="D39" s="6">
        <v>40458</v>
      </c>
      <c r="E39" s="7">
        <v>34367153000000</v>
      </c>
      <c r="F39" s="7">
        <v>38709314000000</v>
      </c>
      <c r="G39" s="9">
        <v>103588325000000</v>
      </c>
      <c r="H39" s="8">
        <v>118015311000000</v>
      </c>
      <c r="I39" s="8">
        <v>115305536000000</v>
      </c>
      <c r="J39" s="73">
        <f t="shared" si="1"/>
        <v>31.168122369492632</v>
      </c>
      <c r="K39" s="73">
        <f t="shared" si="2"/>
        <v>31.28710135884209</v>
      </c>
      <c r="L39" s="73">
        <f t="shared" si="3"/>
        <v>32.2714457463534</v>
      </c>
      <c r="M39" s="73">
        <f t="shared" si="4"/>
        <v>32.401835486214146</v>
      </c>
      <c r="N39" s="73">
        <f t="shared" si="5"/>
        <v>32.378606555927774</v>
      </c>
    </row>
    <row r="40" spans="1:14" x14ac:dyDescent="0.25">
      <c r="A40" s="5">
        <v>36</v>
      </c>
      <c r="B40" s="5" t="s">
        <v>350</v>
      </c>
      <c r="C40" s="5" t="s">
        <v>351</v>
      </c>
      <c r="D40" s="6">
        <v>34529</v>
      </c>
      <c r="E40" s="9">
        <v>96537796000000</v>
      </c>
      <c r="F40" s="7">
        <v>96198559000000</v>
      </c>
      <c r="G40" s="9">
        <v>163136516000000</v>
      </c>
      <c r="H40" s="8">
        <v>179271840000000</v>
      </c>
      <c r="I40" s="8">
        <v>180433300000000</v>
      </c>
      <c r="J40" s="73">
        <f t="shared" si="1"/>
        <v>32.200955715985231</v>
      </c>
      <c r="K40" s="73">
        <f t="shared" si="2"/>
        <v>32.197435494278039</v>
      </c>
      <c r="L40" s="73">
        <f t="shared" si="3"/>
        <v>32.725608487682294</v>
      </c>
      <c r="M40" s="73">
        <f t="shared" si="4"/>
        <v>32.819924428990447</v>
      </c>
      <c r="N40" s="73">
        <f t="shared" si="5"/>
        <v>32.826382296322912</v>
      </c>
    </row>
    <row r="41" spans="1:14" x14ac:dyDescent="0.25">
      <c r="A41" s="5">
        <v>37</v>
      </c>
      <c r="B41" s="5" t="s">
        <v>360</v>
      </c>
      <c r="C41" s="5" t="s">
        <v>361</v>
      </c>
      <c r="D41" s="6">
        <v>33058</v>
      </c>
      <c r="E41" s="7">
        <v>17591706426634</v>
      </c>
      <c r="F41" s="7">
        <v>19037918806473</v>
      </c>
      <c r="G41" s="7">
        <v>19777500514550</v>
      </c>
      <c r="H41" s="8">
        <v>19917653265528</v>
      </c>
      <c r="I41" s="8">
        <v>22276160695411</v>
      </c>
      <c r="J41" s="73">
        <f t="shared" si="1"/>
        <v>30.498448681151473</v>
      </c>
      <c r="K41" s="73">
        <f t="shared" si="2"/>
        <v>30.577453832934669</v>
      </c>
      <c r="L41" s="73">
        <f t="shared" si="3"/>
        <v>30.6155660698589</v>
      </c>
      <c r="M41" s="73">
        <f t="shared" si="4"/>
        <v>30.622627553189677</v>
      </c>
      <c r="N41" s="73">
        <f t="shared" si="5"/>
        <v>30.734538195465962</v>
      </c>
    </row>
    <row r="42" spans="1:14" x14ac:dyDescent="0.25">
      <c r="A42" s="5">
        <v>38</v>
      </c>
      <c r="B42" s="5" t="s">
        <v>374</v>
      </c>
      <c r="C42" s="5" t="s">
        <v>375</v>
      </c>
      <c r="D42" s="6">
        <v>40357</v>
      </c>
      <c r="E42" s="7">
        <v>4393810380883</v>
      </c>
      <c r="F42" s="7">
        <v>4682083844951</v>
      </c>
      <c r="G42" s="9">
        <v>4452166671985</v>
      </c>
      <c r="H42" s="17">
        <v>4191284422677</v>
      </c>
      <c r="I42" s="17">
        <v>4130321616083</v>
      </c>
      <c r="J42" s="73">
        <f t="shared" si="1"/>
        <v>29.111217934859436</v>
      </c>
      <c r="K42" s="73">
        <f t="shared" si="2"/>
        <v>29.174764392771777</v>
      </c>
      <c r="L42" s="73">
        <f t="shared" si="3"/>
        <v>29.124411986193863</v>
      </c>
      <c r="M42" s="73">
        <f t="shared" si="4"/>
        <v>29.064028347678988</v>
      </c>
      <c r="N42" s="73">
        <f t="shared" si="5"/>
        <v>29.049376393013116</v>
      </c>
    </row>
    <row r="43" spans="1:14" x14ac:dyDescent="0.25">
      <c r="A43" s="5">
        <v>39</v>
      </c>
      <c r="B43" s="5" t="s">
        <v>378</v>
      </c>
      <c r="C43" s="5" t="s">
        <v>379</v>
      </c>
      <c r="D43" s="6">
        <v>34220</v>
      </c>
      <c r="E43" s="7">
        <v>747293725435</v>
      </c>
      <c r="F43" s="7">
        <v>790845543826</v>
      </c>
      <c r="G43" s="7">
        <v>773863042440</v>
      </c>
      <c r="H43" s="17">
        <v>889125250792</v>
      </c>
      <c r="I43" s="17">
        <v>1033289474829</v>
      </c>
      <c r="J43" s="73">
        <f t="shared" si="1"/>
        <v>27.339724151534011</v>
      </c>
      <c r="K43" s="73">
        <f t="shared" si="2"/>
        <v>27.396368518676066</v>
      </c>
      <c r="L43" s="73">
        <f t="shared" si="3"/>
        <v>27.374660747127098</v>
      </c>
      <c r="M43" s="73">
        <f t="shared" si="4"/>
        <v>27.513503952066127</v>
      </c>
      <c r="N43" s="73">
        <f t="shared" si="5"/>
        <v>27.663768494136907</v>
      </c>
    </row>
    <row r="44" spans="1:14" x14ac:dyDescent="0.25">
      <c r="A44" s="5">
        <v>40</v>
      </c>
      <c r="B44" s="5" t="s">
        <v>386</v>
      </c>
      <c r="C44" s="5" t="s">
        <v>387</v>
      </c>
      <c r="D44" s="6">
        <v>33056</v>
      </c>
      <c r="E44" s="7">
        <v>5555871000000</v>
      </c>
      <c r="F44" s="7">
        <v>6608422000000</v>
      </c>
      <c r="G44" s="9">
        <v>8754116000000</v>
      </c>
      <c r="H44" s="17">
        <v>7406856000000</v>
      </c>
      <c r="I44" s="8">
        <v>7376375000000</v>
      </c>
      <c r="J44" s="73">
        <f t="shared" si="1"/>
        <v>29.34587632240855</v>
      </c>
      <c r="K44" s="73">
        <f t="shared" si="2"/>
        <v>29.519366012093606</v>
      </c>
      <c r="L44" s="73">
        <f t="shared" si="3"/>
        <v>29.800545105694674</v>
      </c>
      <c r="M44" s="73">
        <f t="shared" si="4"/>
        <v>29.633427173701463</v>
      </c>
      <c r="N44" s="73">
        <f t="shared" si="5"/>
        <v>29.629303441454496</v>
      </c>
    </row>
    <row r="45" spans="1:14" x14ac:dyDescent="0.25">
      <c r="A45" s="5">
        <v>41</v>
      </c>
      <c r="B45" s="5" t="s">
        <v>394</v>
      </c>
      <c r="C45" s="5" t="s">
        <v>395</v>
      </c>
      <c r="D45" s="6">
        <v>33100</v>
      </c>
      <c r="E45" s="7">
        <v>46602420000000</v>
      </c>
      <c r="F45" s="7">
        <v>50902806000000</v>
      </c>
      <c r="G45" s="9">
        <v>49674030000000</v>
      </c>
      <c r="H45" s="17">
        <v>53090428000000</v>
      </c>
      <c r="I45" s="17">
        <v>54786992000000</v>
      </c>
      <c r="J45" s="73">
        <f t="shared" si="1"/>
        <v>31.472673587042237</v>
      </c>
      <c r="K45" s="73">
        <f t="shared" si="2"/>
        <v>31.560939165666923</v>
      </c>
      <c r="L45" s="73">
        <f t="shared" si="3"/>
        <v>31.536503377250764</v>
      </c>
      <c r="M45" s="73">
        <f t="shared" si="4"/>
        <v>31.603017764273513</v>
      </c>
      <c r="N45" s="73">
        <f t="shared" si="5"/>
        <v>31.634473909442491</v>
      </c>
    </row>
    <row r="46" spans="1:14" x14ac:dyDescent="0.25">
      <c r="A46" s="5">
        <v>42</v>
      </c>
      <c r="B46" s="5" t="s">
        <v>400</v>
      </c>
      <c r="C46" s="5" t="s">
        <v>401</v>
      </c>
      <c r="D46" s="6">
        <v>34649</v>
      </c>
      <c r="E46" s="7">
        <v>1682821739000</v>
      </c>
      <c r="F46" s="7">
        <v>1829960714000</v>
      </c>
      <c r="G46" s="9">
        <v>1986711872000</v>
      </c>
      <c r="H46" s="8">
        <v>2082911322000</v>
      </c>
      <c r="I46" s="8">
        <v>2009139485000</v>
      </c>
      <c r="J46" s="73">
        <f t="shared" si="1"/>
        <v>28.151493106929703</v>
      </c>
      <c r="K46" s="73">
        <f t="shared" si="2"/>
        <v>28.23531561479188</v>
      </c>
      <c r="L46" s="73">
        <f t="shared" si="3"/>
        <v>28.317502062441235</v>
      </c>
      <c r="M46" s="73">
        <f t="shared" si="4"/>
        <v>28.364787705049597</v>
      </c>
      <c r="N46" s="73">
        <f t="shared" si="5"/>
        <v>28.328727629415898</v>
      </c>
    </row>
    <row r="47" spans="1:14" x14ac:dyDescent="0.25">
      <c r="A47" s="5">
        <v>43</v>
      </c>
      <c r="B47" s="5" t="s">
        <v>404</v>
      </c>
      <c r="C47" s="5" t="s">
        <v>405</v>
      </c>
      <c r="D47" s="6">
        <v>37076</v>
      </c>
      <c r="E47" s="7">
        <v>9460427317681</v>
      </c>
      <c r="F47" s="7">
        <v>18352877132000</v>
      </c>
      <c r="G47" s="7">
        <v>17562816674000</v>
      </c>
      <c r="H47" s="8">
        <v>17760195040000</v>
      </c>
      <c r="I47" s="8">
        <v>20353992893000</v>
      </c>
      <c r="J47" s="73">
        <f t="shared" si="1"/>
        <v>29.878138668974376</v>
      </c>
      <c r="K47" s="73">
        <f t="shared" si="2"/>
        <v>30.540807470073162</v>
      </c>
      <c r="L47" s="73">
        <f t="shared" si="3"/>
        <v>30.49680509411974</v>
      </c>
      <c r="M47" s="73">
        <f t="shared" si="4"/>
        <v>30.507980835414251</v>
      </c>
      <c r="N47" s="73">
        <f t="shared" si="5"/>
        <v>30.64429821952853</v>
      </c>
    </row>
    <row r="48" spans="1:14" x14ac:dyDescent="0.25">
      <c r="A48" s="5">
        <v>44</v>
      </c>
      <c r="B48" s="5" t="s">
        <v>406</v>
      </c>
      <c r="C48" s="5" t="s">
        <v>407</v>
      </c>
      <c r="D48" s="6">
        <v>33449</v>
      </c>
      <c r="E48" s="7">
        <v>18146206145369</v>
      </c>
      <c r="F48" s="7">
        <v>20264726862584</v>
      </c>
      <c r="G48" s="9">
        <v>22564300317374</v>
      </c>
      <c r="H48" s="8">
        <v>25666635156271</v>
      </c>
      <c r="I48" s="8">
        <v>27241313025674</v>
      </c>
      <c r="J48" s="73">
        <f t="shared" si="1"/>
        <v>30.529482626986692</v>
      </c>
      <c r="K48" s="73">
        <f t="shared" si="2"/>
        <v>30.639902897634443</v>
      </c>
      <c r="L48" s="73">
        <f t="shared" si="3"/>
        <v>30.747390141298187</v>
      </c>
      <c r="M48" s="73">
        <f t="shared" si="4"/>
        <v>30.876213021435614</v>
      </c>
      <c r="N48" s="73">
        <f t="shared" si="5"/>
        <v>30.935755798165427</v>
      </c>
    </row>
    <row r="49" spans="1:14" x14ac:dyDescent="0.25">
      <c r="A49" s="5">
        <v>45</v>
      </c>
      <c r="B49" s="5" t="s">
        <v>410</v>
      </c>
      <c r="C49" s="5" t="s">
        <v>411</v>
      </c>
      <c r="D49" s="6">
        <v>43460</v>
      </c>
      <c r="E49" s="7">
        <v>1868663546000</v>
      </c>
      <c r="F49" s="7">
        <v>2096719180000</v>
      </c>
      <c r="G49" s="7">
        <v>1915989375000</v>
      </c>
      <c r="H49" s="8">
        <v>1838539299000</v>
      </c>
      <c r="I49" s="8">
        <v>1806280965000</v>
      </c>
      <c r="J49" s="73">
        <f t="shared" si="1"/>
        <v>28.256244610005208</v>
      </c>
      <c r="K49" s="73">
        <f t="shared" si="2"/>
        <v>28.371394943764066</v>
      </c>
      <c r="L49" s="73">
        <f t="shared" si="3"/>
        <v>28.281255250054745</v>
      </c>
      <c r="M49" s="73">
        <f t="shared" si="4"/>
        <v>28.239992513037201</v>
      </c>
      <c r="N49" s="73">
        <f t="shared" si="5"/>
        <v>28.222291131912804</v>
      </c>
    </row>
    <row r="50" spans="1:14" x14ac:dyDescent="0.25">
      <c r="A50" s="5">
        <v>46</v>
      </c>
      <c r="B50" s="5" t="s">
        <v>416</v>
      </c>
      <c r="C50" s="5" t="s">
        <v>417</v>
      </c>
      <c r="D50" s="6">
        <v>41626</v>
      </c>
      <c r="E50" s="7">
        <v>3337628000000</v>
      </c>
      <c r="F50" s="7">
        <v>3529557000000</v>
      </c>
      <c r="G50" s="7">
        <v>3849516000000</v>
      </c>
      <c r="H50" s="17">
        <v>4068970000000</v>
      </c>
      <c r="I50" s="17">
        <v>4081442000000</v>
      </c>
      <c r="J50" s="73">
        <f t="shared" si="1"/>
        <v>28.83628149097942</v>
      </c>
      <c r="K50" s="73">
        <f t="shared" si="2"/>
        <v>28.892193483247794</v>
      </c>
      <c r="L50" s="73">
        <f t="shared" si="3"/>
        <v>28.978968542039823</v>
      </c>
      <c r="M50" s="73">
        <f t="shared" si="4"/>
        <v>29.034411012102048</v>
      </c>
      <c r="N50" s="73">
        <f t="shared" si="5"/>
        <v>29.037471473275012</v>
      </c>
    </row>
    <row r="51" spans="1:14" x14ac:dyDescent="0.25">
      <c r="A51" s="5">
        <v>47</v>
      </c>
      <c r="B51" s="5" t="s">
        <v>420</v>
      </c>
      <c r="C51" s="5" t="s">
        <v>421</v>
      </c>
      <c r="D51" s="6">
        <v>34351</v>
      </c>
      <c r="E51" s="7">
        <v>7869975060326</v>
      </c>
      <c r="F51" s="7">
        <v>8372769580743</v>
      </c>
      <c r="G51" s="7">
        <v>9104657533366</v>
      </c>
      <c r="H51" s="17">
        <v>9644326662784</v>
      </c>
      <c r="I51" s="17">
        <v>11328974079150</v>
      </c>
      <c r="J51" s="73">
        <f t="shared" si="1"/>
        <v>29.694076009398074</v>
      </c>
      <c r="K51" s="73">
        <f t="shared" si="2"/>
        <v>29.756005839453298</v>
      </c>
      <c r="L51" s="73">
        <f t="shared" si="3"/>
        <v>29.839807215371188</v>
      </c>
      <c r="M51" s="73">
        <f t="shared" si="4"/>
        <v>29.897390947799913</v>
      </c>
      <c r="N51" s="73">
        <f t="shared" si="5"/>
        <v>30.058384637808633</v>
      </c>
    </row>
    <row r="52" spans="1:14" x14ac:dyDescent="0.25">
      <c r="A52" s="5">
        <v>48</v>
      </c>
      <c r="B52" s="19" t="s">
        <v>424</v>
      </c>
      <c r="C52" s="19" t="s">
        <v>425</v>
      </c>
      <c r="D52" s="6">
        <v>43003</v>
      </c>
      <c r="E52" s="7">
        <v>914065000000</v>
      </c>
      <c r="F52" s="7">
        <v>923795000000</v>
      </c>
      <c r="G52" s="7">
        <v>973684000000</v>
      </c>
      <c r="H52" s="8">
        <v>985400000000</v>
      </c>
      <c r="I52" s="8">
        <v>1045929000000</v>
      </c>
      <c r="J52" s="73">
        <f t="shared" si="1"/>
        <v>27.541167521845683</v>
      </c>
      <c r="K52" s="73">
        <f t="shared" si="2"/>
        <v>27.551756022501337</v>
      </c>
      <c r="L52" s="73">
        <f t="shared" si="3"/>
        <v>27.604352652630148</v>
      </c>
      <c r="M52" s="73">
        <f t="shared" si="4"/>
        <v>27.616313487056274</v>
      </c>
      <c r="N52" s="73">
        <f t="shared" si="5"/>
        <v>27.675926601638427</v>
      </c>
    </row>
    <row r="53" spans="1:14" x14ac:dyDescent="0.25">
      <c r="A53" s="5">
        <v>49</v>
      </c>
      <c r="B53" s="5" t="s">
        <v>438</v>
      </c>
      <c r="C53" s="5" t="s">
        <v>439</v>
      </c>
      <c r="D53" s="6">
        <v>29962</v>
      </c>
      <c r="E53" s="7">
        <v>19522970000000</v>
      </c>
      <c r="F53" s="7">
        <v>20649371000000</v>
      </c>
      <c r="G53" s="9">
        <v>20534632000000</v>
      </c>
      <c r="H53" s="17">
        <v>19068532000000</v>
      </c>
      <c r="I53" s="17">
        <v>18318114000000</v>
      </c>
      <c r="J53" s="73">
        <f t="shared" si="1"/>
        <v>30.602612836978953</v>
      </c>
      <c r="K53" s="73">
        <f t="shared" si="2"/>
        <v>30.658705974823246</v>
      </c>
      <c r="L53" s="73">
        <f t="shared" si="3"/>
        <v>30.653133942553168</v>
      </c>
      <c r="M53" s="73">
        <f t="shared" si="4"/>
        <v>30.579060553028768</v>
      </c>
      <c r="N53" s="73">
        <f t="shared" si="5"/>
        <v>30.538911522276813</v>
      </c>
    </row>
  </sheetData>
  <mergeCells count="2">
    <mergeCell ref="E3:I3"/>
    <mergeCell ref="J3:N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47568-A266-4475-BE42-DF00488EB443}">
  <dimension ref="A1:H10"/>
  <sheetViews>
    <sheetView workbookViewId="0">
      <selection activeCell="B12" sqref="B12"/>
    </sheetView>
  </sheetViews>
  <sheetFormatPr defaultRowHeight="15" x14ac:dyDescent="0.25"/>
  <cols>
    <col min="1" max="1" width="67.85546875" customWidth="1"/>
  </cols>
  <sheetData>
    <row r="1" spans="1:8" ht="16.5" x14ac:dyDescent="0.3">
      <c r="G1" s="65"/>
      <c r="H1" s="65"/>
    </row>
    <row r="2" spans="1:8" ht="15.75" thickBot="1" x14ac:dyDescent="0.3"/>
    <row r="3" spans="1:8" ht="18.75" thickBot="1" x14ac:dyDescent="0.3">
      <c r="A3" s="66" t="s">
        <v>473</v>
      </c>
      <c r="B3" s="67" t="s">
        <v>474</v>
      </c>
    </row>
    <row r="4" spans="1:8" ht="18.75" thickBot="1" x14ac:dyDescent="0.3">
      <c r="A4" s="68" t="s">
        <v>475</v>
      </c>
      <c r="B4" s="69">
        <v>228</v>
      </c>
    </row>
    <row r="5" spans="1:8" ht="19.5" thickBot="1" x14ac:dyDescent="0.3">
      <c r="A5" s="68" t="s">
        <v>476</v>
      </c>
      <c r="B5" s="69"/>
    </row>
    <row r="6" spans="1:8" ht="36.75" thickBot="1" x14ac:dyDescent="0.3">
      <c r="A6" s="68" t="s">
        <v>477</v>
      </c>
      <c r="B6" s="69">
        <v>-85</v>
      </c>
    </row>
    <row r="7" spans="1:8" ht="36.75" thickBot="1" x14ac:dyDescent="0.3">
      <c r="A7" s="68" t="s">
        <v>478</v>
      </c>
      <c r="B7" s="69">
        <v>-20</v>
      </c>
    </row>
    <row r="8" spans="1:8" ht="18.75" thickBot="1" x14ac:dyDescent="0.3">
      <c r="A8" s="68" t="s">
        <v>479</v>
      </c>
      <c r="B8" s="69">
        <v>-103</v>
      </c>
    </row>
    <row r="9" spans="1:8" ht="18.75" thickBot="1" x14ac:dyDescent="0.3">
      <c r="A9" s="68" t="s">
        <v>480</v>
      </c>
      <c r="B9" s="69">
        <f>SUM(B4:B8)</f>
        <v>20</v>
      </c>
    </row>
    <row r="10" spans="1:8" ht="18.75" thickBot="1" x14ac:dyDescent="0.3">
      <c r="A10" s="68" t="s">
        <v>481</v>
      </c>
      <c r="B10" s="69">
        <f>B9*5</f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17508-6E99-44C4-B487-BB4067C41D46}">
  <dimension ref="A1:AH234"/>
  <sheetViews>
    <sheetView workbookViewId="0">
      <selection activeCell="F12" sqref="F12"/>
    </sheetView>
  </sheetViews>
  <sheetFormatPr defaultRowHeight="15" x14ac:dyDescent="0.25"/>
  <cols>
    <col min="1" max="1" width="3.85546875" bestFit="1" customWidth="1"/>
    <col min="2" max="2" width="6.85546875" bestFit="1" customWidth="1"/>
    <col min="3" max="3" width="46.42578125" hidden="1" customWidth="1"/>
    <col min="4" max="4" width="14" customWidth="1"/>
    <col min="5" max="6" width="18.5703125" bestFit="1" customWidth="1"/>
    <col min="7" max="9" width="18.140625" customWidth="1"/>
    <col min="10" max="11" width="18.140625" hidden="1" customWidth="1"/>
    <col min="12" max="14" width="17.140625" hidden="1" customWidth="1"/>
    <col min="15" max="24" width="0" hidden="1" customWidth="1"/>
    <col min="25" max="28" width="16" hidden="1" customWidth="1"/>
    <col min="29" max="29" width="17.140625" hidden="1" customWidth="1"/>
    <col min="30" max="34" width="14.42578125" hidden="1" customWidth="1"/>
    <col min="35" max="35" width="0" hidden="1" customWidth="1"/>
  </cols>
  <sheetData>
    <row r="1" spans="1:34" x14ac:dyDescent="0.25">
      <c r="A1" t="s">
        <v>482</v>
      </c>
    </row>
    <row r="3" spans="1:34" x14ac:dyDescent="0.25">
      <c r="A3" s="1" t="s">
        <v>0</v>
      </c>
      <c r="B3" s="1" t="s">
        <v>1</v>
      </c>
      <c r="C3" s="2" t="s">
        <v>2</v>
      </c>
      <c r="D3" s="2" t="s">
        <v>3</v>
      </c>
      <c r="E3" s="95" t="s">
        <v>4</v>
      </c>
      <c r="F3" s="95"/>
      <c r="G3" s="95"/>
      <c r="H3" s="95"/>
      <c r="I3" s="95"/>
      <c r="J3" s="93" t="s">
        <v>5</v>
      </c>
      <c r="K3" s="93"/>
      <c r="L3" s="93"/>
      <c r="M3" s="93"/>
      <c r="N3" s="94"/>
      <c r="O3" s="93" t="s">
        <v>6</v>
      </c>
      <c r="P3" s="93"/>
      <c r="Q3" s="93"/>
      <c r="R3" s="93" t="s">
        <v>7</v>
      </c>
      <c r="S3" s="93"/>
      <c r="T3" s="93"/>
      <c r="U3" s="93" t="s">
        <v>8</v>
      </c>
      <c r="V3" s="93"/>
      <c r="W3" s="93"/>
      <c r="Y3" s="93" t="s">
        <v>9</v>
      </c>
      <c r="Z3" s="93"/>
      <c r="AA3" s="93"/>
      <c r="AB3" s="93"/>
      <c r="AC3" s="94"/>
      <c r="AD3" s="93" t="s">
        <v>8</v>
      </c>
      <c r="AE3" s="93"/>
      <c r="AF3" s="93"/>
      <c r="AG3" s="93"/>
      <c r="AH3" s="94"/>
    </row>
    <row r="4" spans="1:34" x14ac:dyDescent="0.25">
      <c r="A4" s="3"/>
      <c r="B4" s="3"/>
      <c r="C4" s="3"/>
      <c r="D4" s="3"/>
      <c r="E4" s="3">
        <v>2018</v>
      </c>
      <c r="F4" s="3">
        <v>2019</v>
      </c>
      <c r="G4" s="4">
        <v>2020</v>
      </c>
      <c r="H4" s="4">
        <v>2021</v>
      </c>
      <c r="I4" s="4">
        <v>2022</v>
      </c>
      <c r="J4" s="3">
        <v>2018</v>
      </c>
      <c r="K4" s="3">
        <v>2019</v>
      </c>
      <c r="L4" s="4">
        <v>2020</v>
      </c>
      <c r="M4" s="4">
        <v>2021</v>
      </c>
      <c r="N4" s="4">
        <v>2022</v>
      </c>
      <c r="O4" s="4">
        <v>2020</v>
      </c>
      <c r="P4" s="4">
        <v>2021</v>
      </c>
      <c r="Q4" s="4">
        <v>2022</v>
      </c>
      <c r="R4" s="4">
        <v>2020</v>
      </c>
      <c r="S4" s="4">
        <v>2021</v>
      </c>
      <c r="T4" s="4">
        <v>2022</v>
      </c>
      <c r="U4" s="4">
        <v>2020</v>
      </c>
      <c r="V4" s="4">
        <v>2021</v>
      </c>
      <c r="W4" s="4">
        <v>2022</v>
      </c>
      <c r="Y4" s="3">
        <v>2018</v>
      </c>
      <c r="Z4" s="3">
        <v>2019</v>
      </c>
      <c r="AA4" s="4">
        <v>2020</v>
      </c>
      <c r="AB4" s="4">
        <v>2021</v>
      </c>
      <c r="AC4" s="4">
        <v>2022</v>
      </c>
      <c r="AD4" s="3">
        <v>2018</v>
      </c>
      <c r="AE4" s="3">
        <v>2019</v>
      </c>
      <c r="AF4" s="4">
        <v>2020</v>
      </c>
      <c r="AG4" s="4">
        <v>2021</v>
      </c>
      <c r="AH4" s="4">
        <v>2022</v>
      </c>
    </row>
    <row r="5" spans="1:34" x14ac:dyDescent="0.25">
      <c r="A5" s="5">
        <v>1</v>
      </c>
      <c r="B5" s="5" t="s">
        <v>10</v>
      </c>
      <c r="C5" s="5" t="s">
        <v>11</v>
      </c>
      <c r="D5" s="6">
        <v>32847</v>
      </c>
      <c r="E5" s="7">
        <v>27788562000000</v>
      </c>
      <c r="F5" s="7">
        <v>27707749000000</v>
      </c>
      <c r="G5" s="7">
        <v>27344672000000</v>
      </c>
      <c r="H5" s="7">
        <v>26136114000000</v>
      </c>
      <c r="I5" s="8">
        <v>25706169000000</v>
      </c>
      <c r="J5" s="7">
        <v>1145937000000</v>
      </c>
      <c r="K5" s="7">
        <v>1835305000000</v>
      </c>
      <c r="L5" s="7">
        <v>1806337000000</v>
      </c>
      <c r="M5" s="9">
        <v>1788496000000</v>
      </c>
      <c r="N5" s="8">
        <v>1842434000000</v>
      </c>
      <c r="Y5" s="9">
        <v>2576862000000</v>
      </c>
      <c r="Z5" s="9">
        <v>2024677000000</v>
      </c>
      <c r="AA5" s="9">
        <v>2668893000000</v>
      </c>
      <c r="AB5" s="9">
        <v>1840616000000</v>
      </c>
      <c r="AC5" s="9">
        <v>1740821000000</v>
      </c>
      <c r="AD5" s="10">
        <v>3681231699</v>
      </c>
      <c r="AE5" s="10">
        <v>3681231699</v>
      </c>
      <c r="AF5" s="9">
        <v>3681231699</v>
      </c>
      <c r="AG5" s="9">
        <v>3549811099</v>
      </c>
      <c r="AH5" s="8">
        <v>3431073399</v>
      </c>
    </row>
    <row r="6" spans="1:34" x14ac:dyDescent="0.25">
      <c r="A6" s="5">
        <v>3</v>
      </c>
      <c r="B6" s="5" t="s">
        <v>14</v>
      </c>
      <c r="C6" s="5" t="s">
        <v>15</v>
      </c>
      <c r="D6" s="6">
        <v>41453</v>
      </c>
      <c r="E6" s="7">
        <v>5538079503000</v>
      </c>
      <c r="F6" s="7">
        <v>5571270204000</v>
      </c>
      <c r="G6" s="7">
        <v>5737175560000</v>
      </c>
      <c r="H6" s="8">
        <v>5271953697000</v>
      </c>
      <c r="I6" s="8">
        <v>5211248525000</v>
      </c>
      <c r="J6" s="7">
        <v>76074721000</v>
      </c>
      <c r="K6" s="7">
        <v>30073855000</v>
      </c>
      <c r="L6" s="7">
        <v>10981673000</v>
      </c>
      <c r="M6" s="9">
        <v>51817305000</v>
      </c>
      <c r="N6" s="8">
        <v>94827889000</v>
      </c>
      <c r="Y6" s="9">
        <v>36661209000</v>
      </c>
      <c r="Z6" s="9">
        <v>18971143000</v>
      </c>
      <c r="AA6" s="9">
        <v>6158861000</v>
      </c>
      <c r="AB6" s="15"/>
      <c r="AC6" s="15"/>
      <c r="AD6" s="10">
        <v>9932534336</v>
      </c>
      <c r="AE6" s="10">
        <v>20067465664</v>
      </c>
      <c r="AF6" s="9">
        <v>9932534336</v>
      </c>
      <c r="AG6" s="9">
        <v>9932534336</v>
      </c>
      <c r="AH6" s="8">
        <v>9932534336</v>
      </c>
    </row>
    <row r="7" spans="1:34" x14ac:dyDescent="0.25">
      <c r="A7" s="5">
        <v>4</v>
      </c>
      <c r="B7" s="5" t="s">
        <v>16</v>
      </c>
      <c r="C7" s="5" t="s">
        <v>17</v>
      </c>
      <c r="D7" s="6">
        <v>35713</v>
      </c>
      <c r="E7" s="7">
        <v>18667187000000</v>
      </c>
      <c r="F7" s="7">
        <v>19567498000000</v>
      </c>
      <c r="G7" s="7">
        <v>20738125000000</v>
      </c>
      <c r="H7" s="8">
        <v>21491023000000</v>
      </c>
      <c r="I7" s="8">
        <v>21378510000000</v>
      </c>
      <c r="J7" s="16">
        <v>-827985000000</v>
      </c>
      <c r="K7" s="7">
        <v>499052000000</v>
      </c>
      <c r="L7" s="7">
        <v>650988000000</v>
      </c>
      <c r="M7" s="9">
        <v>720933000000</v>
      </c>
      <c r="N7" s="8">
        <v>839276000000</v>
      </c>
      <c r="Y7" s="15"/>
      <c r="Z7" s="15"/>
      <c r="AA7" s="9">
        <v>27586000000</v>
      </c>
      <c r="AB7" s="7">
        <v>195296000000</v>
      </c>
      <c r="AC7" s="8">
        <v>216280000000</v>
      </c>
      <c r="AD7" s="10">
        <v>7662900000</v>
      </c>
      <c r="AE7" s="10">
        <v>7662900000</v>
      </c>
      <c r="AF7" s="9">
        <v>7662900000</v>
      </c>
      <c r="AG7" s="9">
        <v>9019381973</v>
      </c>
      <c r="AH7" s="8">
        <v>9019381973</v>
      </c>
    </row>
    <row r="8" spans="1:34" x14ac:dyDescent="0.25">
      <c r="A8" s="5">
        <v>5</v>
      </c>
      <c r="B8" s="5" t="s">
        <v>18</v>
      </c>
      <c r="C8" s="5" t="s">
        <v>19</v>
      </c>
      <c r="D8" s="6">
        <v>33427</v>
      </c>
      <c r="E8" s="7">
        <v>51155890227000</v>
      </c>
      <c r="F8" s="7">
        <v>79807067000000</v>
      </c>
      <c r="G8" s="7">
        <v>78006244000000</v>
      </c>
      <c r="H8" s="8">
        <v>81766327000000</v>
      </c>
      <c r="I8" s="8">
        <v>82960012000000</v>
      </c>
      <c r="J8" s="7">
        <v>3085704236000</v>
      </c>
      <c r="K8" s="7">
        <v>2371233000000</v>
      </c>
      <c r="L8" s="7">
        <v>2674343000000</v>
      </c>
      <c r="M8" s="9">
        <v>2082347000000</v>
      </c>
      <c r="N8" s="17">
        <v>2499083000000</v>
      </c>
      <c r="Y8" s="9">
        <v>82711000000</v>
      </c>
      <c r="Z8" s="9">
        <v>1244948000000</v>
      </c>
      <c r="AA8" s="9">
        <v>254472000000</v>
      </c>
      <c r="AB8" s="7">
        <v>1132829000000</v>
      </c>
      <c r="AC8" s="8">
        <v>1064311000000</v>
      </c>
      <c r="AD8" s="9">
        <v>5931520000</v>
      </c>
      <c r="AE8" s="9">
        <v>5931520000</v>
      </c>
      <c r="AF8" s="9">
        <v>5931520000</v>
      </c>
      <c r="AG8" s="9">
        <v>5931520000</v>
      </c>
      <c r="AH8" s="9">
        <v>6751540089</v>
      </c>
    </row>
    <row r="9" spans="1:34" x14ac:dyDescent="0.25">
      <c r="A9" s="5">
        <v>6</v>
      </c>
      <c r="B9" s="5" t="s">
        <v>20</v>
      </c>
      <c r="C9" s="5" t="s">
        <v>21</v>
      </c>
      <c r="D9" s="6">
        <v>41737</v>
      </c>
      <c r="E9" s="7">
        <v>15222388589814</v>
      </c>
      <c r="F9" s="7">
        <v>16149121684330</v>
      </c>
      <c r="G9" s="7">
        <v>10557550739243</v>
      </c>
      <c r="H9" s="8">
        <v>6882077282159</v>
      </c>
      <c r="I9" s="17">
        <v>5963657951878</v>
      </c>
      <c r="J9" s="7">
        <v>1103472788182</v>
      </c>
      <c r="K9" s="7">
        <v>806148752926</v>
      </c>
      <c r="L9" s="16">
        <v>-4759958927543</v>
      </c>
      <c r="M9" s="18">
        <v>-1943362438396</v>
      </c>
      <c r="N9" s="17">
        <v>675769677491</v>
      </c>
      <c r="Y9" s="9">
        <v>750247612882</v>
      </c>
      <c r="Z9" s="9">
        <v>551607222015</v>
      </c>
      <c r="AA9" s="9">
        <v>201520505109</v>
      </c>
      <c r="AB9" s="15"/>
      <c r="AC9" s="15"/>
      <c r="AD9" s="9">
        <v>26361157534</v>
      </c>
      <c r="AE9" s="9">
        <v>26361157534</v>
      </c>
      <c r="AF9" s="9">
        <v>26361157534</v>
      </c>
      <c r="AG9" s="9">
        <v>26361157534</v>
      </c>
      <c r="AH9" s="9">
        <v>26361157534</v>
      </c>
    </row>
    <row r="10" spans="1:34" x14ac:dyDescent="0.25">
      <c r="A10" s="5">
        <v>7</v>
      </c>
      <c r="B10" s="5" t="s">
        <v>22</v>
      </c>
      <c r="C10" s="11" t="s">
        <v>23</v>
      </c>
      <c r="D10" s="6">
        <v>41262</v>
      </c>
      <c r="E10" s="7">
        <v>124391581623636</v>
      </c>
      <c r="F10" s="7">
        <v>122589259350571</v>
      </c>
      <c r="G10" s="7">
        <v>100767648407325</v>
      </c>
      <c r="H10" s="7">
        <v>103601611883340</v>
      </c>
      <c r="I10" s="7">
        <v>98232316628846</v>
      </c>
      <c r="J10" s="7">
        <v>4619567705553</v>
      </c>
      <c r="K10" s="7">
        <v>1028898367891</v>
      </c>
      <c r="L10" s="16">
        <v>-9287793197812</v>
      </c>
      <c r="M10" s="16">
        <v>-1838733441975</v>
      </c>
      <c r="N10" s="7">
        <v>-1672733807060</v>
      </c>
      <c r="Y10" s="9">
        <v>776342383468</v>
      </c>
      <c r="Z10" s="9">
        <v>990709507966</v>
      </c>
      <c r="AA10" s="9">
        <v>71507276041</v>
      </c>
      <c r="AB10" s="15"/>
      <c r="AC10" s="15"/>
      <c r="AD10" s="9">
        <v>13573902600</v>
      </c>
      <c r="AE10" s="9">
        <v>13573902600</v>
      </c>
      <c r="AF10" s="9">
        <v>13573951000</v>
      </c>
      <c r="AG10" s="9">
        <v>26315886475</v>
      </c>
      <c r="AH10" s="9">
        <v>28806807016</v>
      </c>
    </row>
    <row r="11" spans="1:34" x14ac:dyDescent="0.25">
      <c r="A11" s="5">
        <v>8</v>
      </c>
      <c r="B11" s="5" t="s">
        <v>24</v>
      </c>
      <c r="C11" s="5" t="s">
        <v>25</v>
      </c>
      <c r="D11" s="6">
        <v>42633</v>
      </c>
      <c r="E11" s="7">
        <v>8881778299672</v>
      </c>
      <c r="F11" s="7">
        <v>10337895087207</v>
      </c>
      <c r="G11" s="7">
        <v>8509017299594</v>
      </c>
      <c r="H11" s="8">
        <v>9082511044439</v>
      </c>
      <c r="I11" s="17">
        <v>9447528704261</v>
      </c>
      <c r="J11" s="7">
        <v>486640174453</v>
      </c>
      <c r="K11" s="7">
        <v>510711733403</v>
      </c>
      <c r="L11" s="7">
        <v>123147079420</v>
      </c>
      <c r="M11" s="8">
        <v>81433957569</v>
      </c>
      <c r="N11" s="17">
        <v>171060047099</v>
      </c>
      <c r="Y11" s="9">
        <v>101143683915</v>
      </c>
      <c r="Z11" s="9">
        <v>145937796276</v>
      </c>
      <c r="AA11" s="9">
        <v>128103935065</v>
      </c>
      <c r="AB11" s="7">
        <v>25633343020</v>
      </c>
      <c r="AC11" s="17">
        <v>16559386540</v>
      </c>
      <c r="AD11" s="9">
        <v>8715466600</v>
      </c>
      <c r="AE11" s="9">
        <v>8715466600</v>
      </c>
      <c r="AF11" s="9">
        <v>8715466600</v>
      </c>
      <c r="AG11" s="9">
        <v>8715466600</v>
      </c>
      <c r="AH11" s="9">
        <v>8715466600</v>
      </c>
    </row>
    <row r="12" spans="1:34" x14ac:dyDescent="0.25">
      <c r="A12" s="5">
        <v>10</v>
      </c>
      <c r="B12" s="5" t="s">
        <v>28</v>
      </c>
      <c r="C12" s="5" t="s">
        <v>29</v>
      </c>
      <c r="D12" s="6">
        <v>35011</v>
      </c>
      <c r="E12" s="7">
        <v>8432632000000</v>
      </c>
      <c r="F12" s="7">
        <v>8738055000000</v>
      </c>
      <c r="G12" s="7">
        <v>7961657000000</v>
      </c>
      <c r="H12" s="8">
        <v>7403476000000</v>
      </c>
      <c r="I12" s="17">
        <v>7466520000000</v>
      </c>
      <c r="J12" s="7">
        <v>6596000000</v>
      </c>
      <c r="K12" s="16">
        <v>-132223000000</v>
      </c>
      <c r="L12" s="16">
        <v>-430987000000</v>
      </c>
      <c r="M12" s="17">
        <v>318672000000</v>
      </c>
      <c r="N12" s="17">
        <v>437370000000</v>
      </c>
      <c r="Y12" s="9">
        <v>13020000000</v>
      </c>
      <c r="Z12" s="9">
        <v>13020000000</v>
      </c>
      <c r="AA12" s="15"/>
      <c r="AB12" s="15"/>
      <c r="AC12" s="9">
        <v>34720000000</v>
      </c>
      <c r="AD12" s="10">
        <v>434000000</v>
      </c>
      <c r="AE12" s="10">
        <v>434000000</v>
      </c>
      <c r="AF12" s="9">
        <v>434000000</v>
      </c>
      <c r="AG12" s="9">
        <v>434000000</v>
      </c>
      <c r="AH12" s="9">
        <v>434000000</v>
      </c>
    </row>
    <row r="13" spans="1:34" x14ac:dyDescent="0.25">
      <c r="A13" s="5">
        <v>11</v>
      </c>
      <c r="B13" s="5" t="s">
        <v>30</v>
      </c>
      <c r="C13" s="5" t="s">
        <v>31</v>
      </c>
      <c r="D13" s="6">
        <v>37089</v>
      </c>
      <c r="E13" s="7">
        <v>1652905985730</v>
      </c>
      <c r="F13" s="7">
        <v>1799137069343</v>
      </c>
      <c r="G13" s="7">
        <v>1970340289520</v>
      </c>
      <c r="H13" s="8">
        <v>2243523072803</v>
      </c>
      <c r="I13" s="8">
        <v>2578868615545</v>
      </c>
      <c r="J13" s="7">
        <v>158207798602</v>
      </c>
      <c r="K13" s="7">
        <v>217675239509</v>
      </c>
      <c r="L13" s="7">
        <v>326241511507</v>
      </c>
      <c r="M13" s="17">
        <v>475983374390</v>
      </c>
      <c r="N13" s="8">
        <v>581557410601</v>
      </c>
      <c r="Y13" s="9">
        <v>88406601712</v>
      </c>
      <c r="Z13" s="9">
        <v>117715525216</v>
      </c>
      <c r="AA13" s="9">
        <v>161786542872</v>
      </c>
      <c r="AB13" s="9">
        <v>219203851280</v>
      </c>
      <c r="AC13" s="9">
        <v>328519240420</v>
      </c>
      <c r="AD13" s="10">
        <v>7341430976</v>
      </c>
      <c r="AE13" s="10">
        <v>7341430976</v>
      </c>
      <c r="AF13" s="8">
        <v>7271198676</v>
      </c>
      <c r="AG13" s="8">
        <v>7271198676</v>
      </c>
      <c r="AH13" s="8">
        <v>7271198676</v>
      </c>
    </row>
    <row r="14" spans="1:34" x14ac:dyDescent="0.25">
      <c r="A14" s="5">
        <v>12</v>
      </c>
      <c r="B14" s="5" t="s">
        <v>32</v>
      </c>
      <c r="C14" s="5" t="s">
        <v>33</v>
      </c>
      <c r="D14" s="6">
        <v>43404</v>
      </c>
      <c r="E14" s="7">
        <v>328891169916</v>
      </c>
      <c r="F14" s="7">
        <v>329920473799</v>
      </c>
      <c r="G14" s="7">
        <v>354900568484</v>
      </c>
      <c r="H14" s="8">
        <v>441223941897</v>
      </c>
      <c r="I14" s="8">
        <v>447970072779</v>
      </c>
      <c r="J14" s="7">
        <v>13302390600</v>
      </c>
      <c r="K14" s="7">
        <v>2065725935</v>
      </c>
      <c r="L14" s="7">
        <v>144403412</v>
      </c>
      <c r="M14" s="8">
        <v>12299444152</v>
      </c>
      <c r="N14" s="8">
        <v>10551047972</v>
      </c>
      <c r="Y14" s="21"/>
      <c r="Z14" s="21"/>
      <c r="AA14" s="21"/>
      <c r="AB14" s="15"/>
      <c r="AC14" s="15"/>
      <c r="AD14" s="10">
        <v>1203300000</v>
      </c>
      <c r="AE14" s="10">
        <v>1203300219</v>
      </c>
      <c r="AF14" s="9">
        <v>1203300219</v>
      </c>
      <c r="AG14" s="9">
        <v>1203300219</v>
      </c>
      <c r="AH14" s="9">
        <v>1203300219</v>
      </c>
    </row>
    <row r="15" spans="1:34" x14ac:dyDescent="0.25">
      <c r="A15" s="5">
        <v>13</v>
      </c>
      <c r="B15" s="5" t="s">
        <v>34</v>
      </c>
      <c r="C15" s="5" t="s">
        <v>35</v>
      </c>
      <c r="D15" s="6">
        <v>34676</v>
      </c>
      <c r="E15" s="7">
        <v>1704424579208</v>
      </c>
      <c r="F15" s="7">
        <v>1231680564971</v>
      </c>
      <c r="G15" s="7">
        <v>1021382709921</v>
      </c>
      <c r="H15" s="8">
        <v>1000024467440</v>
      </c>
      <c r="I15" s="8">
        <v>1065879552778</v>
      </c>
      <c r="J15" s="16">
        <v>-79206468705</v>
      </c>
      <c r="K15" s="16">
        <v>-494426816904</v>
      </c>
      <c r="L15" s="22">
        <v>-51749994901</v>
      </c>
      <c r="M15" s="23">
        <v>-5554727386</v>
      </c>
      <c r="N15" s="8">
        <v>6553870572</v>
      </c>
      <c r="Y15" s="21"/>
      <c r="Z15" s="21"/>
      <c r="AA15" s="15"/>
      <c r="AB15" s="15"/>
      <c r="AC15" s="15"/>
      <c r="AD15" s="10">
        <v>12096181261</v>
      </c>
      <c r="AE15" s="10">
        <v>13305799387</v>
      </c>
      <c r="AF15" s="9">
        <v>13305799387</v>
      </c>
      <c r="AG15" s="9">
        <f>14504100000+425000000</f>
        <v>14929100000</v>
      </c>
      <c r="AH15" s="9">
        <f>14504100000+425000000</f>
        <v>14929100000</v>
      </c>
    </row>
    <row r="16" spans="1:34" x14ac:dyDescent="0.25">
      <c r="A16" s="5">
        <v>14</v>
      </c>
      <c r="B16" s="5" t="s">
        <v>36</v>
      </c>
      <c r="C16" s="5" t="s">
        <v>37</v>
      </c>
      <c r="D16" s="6">
        <v>42928</v>
      </c>
      <c r="E16" s="7">
        <v>318080326465</v>
      </c>
      <c r="F16" s="7">
        <v>441254067741</v>
      </c>
      <c r="G16" s="7">
        <v>719726855599</v>
      </c>
      <c r="H16" s="8">
        <v>1078458868349</v>
      </c>
      <c r="I16" s="8">
        <v>1005368365991</v>
      </c>
      <c r="J16" s="7">
        <v>81905439662</v>
      </c>
      <c r="K16" s="7">
        <v>88002544535</v>
      </c>
      <c r="L16" s="7">
        <v>144194690952</v>
      </c>
      <c r="M16" s="8">
        <v>392149133254</v>
      </c>
      <c r="N16" s="8">
        <v>243093147629</v>
      </c>
      <c r="Y16" s="7">
        <v>11400000930</v>
      </c>
      <c r="Z16" s="7">
        <v>26600002170</v>
      </c>
      <c r="AA16" s="7">
        <v>26600002170</v>
      </c>
      <c r="AB16" s="9">
        <v>57000004650</v>
      </c>
      <c r="AC16" s="8">
        <v>190000015500</v>
      </c>
      <c r="AD16" s="10">
        <v>760000062</v>
      </c>
      <c r="AE16" s="10">
        <v>3800000310</v>
      </c>
      <c r="AF16" s="9">
        <v>3800000310</v>
      </c>
      <c r="AG16" s="9">
        <v>3800000310</v>
      </c>
      <c r="AH16" s="8">
        <v>3800000310</v>
      </c>
    </row>
    <row r="17" spans="1:34" x14ac:dyDescent="0.25">
      <c r="A17" s="5">
        <v>15</v>
      </c>
      <c r="B17" s="5" t="s">
        <v>38</v>
      </c>
      <c r="C17" s="5" t="s">
        <v>39</v>
      </c>
      <c r="D17" s="6">
        <v>34351</v>
      </c>
      <c r="E17" s="7">
        <v>5263726099000</v>
      </c>
      <c r="F17" s="7">
        <v>5758102626000</v>
      </c>
      <c r="G17" s="7">
        <v>5745215496000</v>
      </c>
      <c r="H17" s="8">
        <v>6121601356000</v>
      </c>
      <c r="I17" s="8">
        <v>6806945264000</v>
      </c>
      <c r="J17" s="7">
        <v>189082238000</v>
      </c>
      <c r="K17" s="7">
        <v>126773341000</v>
      </c>
      <c r="L17" s="7">
        <v>55089347000</v>
      </c>
      <c r="M17" s="8">
        <v>652406101000</v>
      </c>
      <c r="N17" s="8">
        <v>853707145000</v>
      </c>
      <c r="Y17" s="21"/>
      <c r="Z17" s="21"/>
      <c r="AA17" s="21"/>
      <c r="AB17" s="15"/>
      <c r="AC17" s="15"/>
      <c r="AD17" s="10">
        <v>1323000000</v>
      </c>
      <c r="AE17" s="10">
        <v>1323000000</v>
      </c>
      <c r="AF17" s="9">
        <v>1323000000</v>
      </c>
      <c r="AG17" s="9">
        <v>1323000000</v>
      </c>
      <c r="AH17" s="8">
        <v>6615000000</v>
      </c>
    </row>
    <row r="18" spans="1:34" x14ac:dyDescent="0.25">
      <c r="A18" s="5">
        <v>16</v>
      </c>
      <c r="B18" s="5" t="s">
        <v>40</v>
      </c>
      <c r="C18" s="5" t="s">
        <v>41</v>
      </c>
      <c r="D18" s="6">
        <v>33176</v>
      </c>
      <c r="E18" s="7">
        <v>1558071752917</v>
      </c>
      <c r="F18" s="7">
        <v>2918467252139</v>
      </c>
      <c r="G18" s="7">
        <v>3107410113178</v>
      </c>
      <c r="H18" s="17">
        <v>3236330922409</v>
      </c>
      <c r="I18" s="8">
        <v>3304972191991</v>
      </c>
      <c r="J18" s="7">
        <v>346692796102</v>
      </c>
      <c r="K18" s="7">
        <v>140597500915</v>
      </c>
      <c r="L18" s="16">
        <v>-30689667468</v>
      </c>
      <c r="M18" s="8">
        <v>156736391742</v>
      </c>
      <c r="N18" s="8">
        <v>313410762339</v>
      </c>
      <c r="Y18" s="7">
        <f>82560000000+103200000000</f>
        <v>185760000000</v>
      </c>
      <c r="Z18" s="7">
        <v>113520000000</v>
      </c>
      <c r="AA18" s="7">
        <v>30960000000</v>
      </c>
      <c r="AB18" s="9">
        <f>51600000000*2</f>
        <v>103200000000</v>
      </c>
      <c r="AC18" s="9">
        <f>103200000000+72240000000</f>
        <v>175440000000</v>
      </c>
      <c r="AD18" s="10">
        <v>10320000000</v>
      </c>
      <c r="AE18" s="10">
        <v>10320000000</v>
      </c>
      <c r="AF18" s="9">
        <v>10320000000</v>
      </c>
      <c r="AG18" s="9">
        <v>10320000000</v>
      </c>
      <c r="AH18" s="9">
        <v>10320000000</v>
      </c>
    </row>
    <row r="19" spans="1:34" x14ac:dyDescent="0.25">
      <c r="A19" s="5">
        <v>17</v>
      </c>
      <c r="B19" s="5" t="s">
        <v>42</v>
      </c>
      <c r="C19" s="5" t="s">
        <v>43</v>
      </c>
      <c r="D19" s="6">
        <v>33066</v>
      </c>
      <c r="E19" s="7">
        <v>648968295000</v>
      </c>
      <c r="F19" s="7">
        <v>604824614000</v>
      </c>
      <c r="G19" s="7">
        <v>418630902000</v>
      </c>
      <c r="H19" s="8">
        <v>499393053000</v>
      </c>
      <c r="I19" s="8">
        <v>638952801000</v>
      </c>
      <c r="J19" s="7">
        <v>22943498000</v>
      </c>
      <c r="K19" s="7">
        <v>7354721000</v>
      </c>
      <c r="L19" s="7">
        <v>6684414000</v>
      </c>
      <c r="M19" s="8">
        <v>17445033000</v>
      </c>
      <c r="N19" s="8">
        <v>48041219000</v>
      </c>
      <c r="Y19" s="21"/>
      <c r="Z19" s="21"/>
      <c r="AA19" s="21"/>
      <c r="AB19" s="15"/>
      <c r="AC19" s="15"/>
      <c r="AD19" s="10">
        <v>507665055</v>
      </c>
      <c r="AE19" s="10">
        <v>507665055</v>
      </c>
      <c r="AF19" s="9">
        <v>507665055</v>
      </c>
      <c r="AG19" s="9">
        <v>507665055</v>
      </c>
      <c r="AH19" s="9">
        <v>507665055</v>
      </c>
    </row>
    <row r="20" spans="1:34" x14ac:dyDescent="0.25">
      <c r="A20" s="5">
        <v>18</v>
      </c>
      <c r="B20" s="5" t="s">
        <v>44</v>
      </c>
      <c r="C20" s="5" t="s">
        <v>45</v>
      </c>
      <c r="D20" s="6">
        <v>35432</v>
      </c>
      <c r="E20" s="7">
        <v>2781666374017</v>
      </c>
      <c r="F20" s="13">
        <v>124138525</v>
      </c>
      <c r="G20" s="13">
        <v>101149121</v>
      </c>
      <c r="H20" s="24">
        <v>93809824</v>
      </c>
      <c r="I20" s="24">
        <v>73581360</v>
      </c>
      <c r="J20" s="7">
        <v>6544635062</v>
      </c>
      <c r="K20" s="16">
        <v>-22438088</v>
      </c>
      <c r="L20" s="16">
        <v>-18916626</v>
      </c>
      <c r="M20" s="24">
        <v>37329</v>
      </c>
      <c r="N20" s="23">
        <v>-3163350</v>
      </c>
      <c r="Y20" s="21"/>
      <c r="Z20" s="21"/>
      <c r="AA20" s="21"/>
      <c r="AB20" s="15"/>
      <c r="AC20" s="15"/>
      <c r="AD20" s="10">
        <v>616000000</v>
      </c>
      <c r="AE20" s="10">
        <v>616000000</v>
      </c>
      <c r="AF20" s="9">
        <v>616000000</v>
      </c>
      <c r="AG20" s="9">
        <v>3816000000</v>
      </c>
      <c r="AH20" s="8">
        <v>3816000000</v>
      </c>
    </row>
    <row r="21" spans="1:34" x14ac:dyDescent="0.25">
      <c r="A21" s="5">
        <v>19</v>
      </c>
      <c r="B21" s="5" t="s">
        <v>46</v>
      </c>
      <c r="C21" s="5" t="s">
        <v>47</v>
      </c>
      <c r="D21" s="6">
        <v>40898</v>
      </c>
      <c r="E21" s="7">
        <v>901181796270</v>
      </c>
      <c r="F21" s="7">
        <v>836870774001</v>
      </c>
      <c r="G21" s="7">
        <v>760425479634</v>
      </c>
      <c r="H21" s="17">
        <v>725506645166</v>
      </c>
      <c r="I21" s="17">
        <v>731341359270</v>
      </c>
      <c r="J21" s="16">
        <v>-96695781573</v>
      </c>
      <c r="K21" s="7">
        <v>1112983748</v>
      </c>
      <c r="L21" s="7">
        <v>55118520227</v>
      </c>
      <c r="M21" s="17">
        <v>88523639594</v>
      </c>
      <c r="N21" s="17">
        <v>-103341187716</v>
      </c>
      <c r="Y21" s="21"/>
      <c r="Z21" s="21"/>
      <c r="AA21" s="21"/>
      <c r="AB21" s="15"/>
      <c r="AC21" s="15"/>
      <c r="AD21" s="10">
        <v>1800000000</v>
      </c>
      <c r="AE21" s="10">
        <v>1800000000</v>
      </c>
      <c r="AF21" s="9">
        <v>1800000000</v>
      </c>
      <c r="AG21" s="9">
        <v>1800000000</v>
      </c>
      <c r="AH21" s="9">
        <v>1800000000</v>
      </c>
    </row>
    <row r="22" spans="1:34" x14ac:dyDescent="0.25">
      <c r="A22" s="5">
        <v>20</v>
      </c>
      <c r="B22" s="5" t="s">
        <v>48</v>
      </c>
      <c r="C22" s="5" t="s">
        <v>49</v>
      </c>
      <c r="D22" s="6">
        <v>37090</v>
      </c>
      <c r="E22" s="7">
        <v>217362960011</v>
      </c>
      <c r="F22" s="7">
        <v>230561123774</v>
      </c>
      <c r="G22" s="7">
        <v>234905016318</v>
      </c>
      <c r="H22" s="17">
        <v>270669540064</v>
      </c>
      <c r="I22" s="17">
        <v>344552996651</v>
      </c>
      <c r="J22" s="7">
        <v>27812712161</v>
      </c>
      <c r="K22" s="7">
        <v>1367612129</v>
      </c>
      <c r="L22" s="7">
        <v>4486083939</v>
      </c>
      <c r="M22" s="17">
        <v>9635958498</v>
      </c>
      <c r="N22" s="17">
        <v>39902398961</v>
      </c>
      <c r="Y22" s="21"/>
      <c r="Z22" s="21"/>
      <c r="AA22" s="21"/>
      <c r="AB22" s="15"/>
      <c r="AC22" s="15"/>
      <c r="AD22" s="10">
        <v>720000000</v>
      </c>
      <c r="AE22" s="10">
        <v>720000000</v>
      </c>
      <c r="AF22" s="9">
        <v>720000000</v>
      </c>
      <c r="AG22" s="9">
        <v>720000000</v>
      </c>
      <c r="AH22" s="9">
        <v>720000000</v>
      </c>
    </row>
    <row r="23" spans="1:34" x14ac:dyDescent="0.25">
      <c r="A23" s="5">
        <v>21</v>
      </c>
      <c r="B23" s="5" t="s">
        <v>50</v>
      </c>
      <c r="C23" s="5" t="s">
        <v>51</v>
      </c>
      <c r="D23" s="6">
        <v>32840</v>
      </c>
      <c r="E23" s="13">
        <v>155653317</v>
      </c>
      <c r="F23" s="13">
        <v>172321876</v>
      </c>
      <c r="G23" s="13">
        <v>130444698</v>
      </c>
      <c r="H23" s="24">
        <v>136819807</v>
      </c>
      <c r="I23" s="24">
        <v>133941143</v>
      </c>
      <c r="J23" s="16">
        <v>-5794754</v>
      </c>
      <c r="K23" s="13">
        <v>1645059</v>
      </c>
      <c r="L23" s="16">
        <v>-3057237</v>
      </c>
      <c r="M23" s="18">
        <v>-16017388</v>
      </c>
      <c r="N23" s="18">
        <v>-6647854</v>
      </c>
      <c r="Y23" s="21"/>
      <c r="Z23" s="7">
        <v>18195</v>
      </c>
      <c r="AA23" s="7">
        <v>5747</v>
      </c>
      <c r="AB23" s="9">
        <v>17815</v>
      </c>
      <c r="AC23" s="15"/>
      <c r="AD23" s="10">
        <v>800371500</v>
      </c>
      <c r="AE23" s="10">
        <v>800371500</v>
      </c>
      <c r="AF23" s="9">
        <v>800371500</v>
      </c>
      <c r="AG23" s="9">
        <v>800371500</v>
      </c>
      <c r="AH23" s="9">
        <v>800371500</v>
      </c>
    </row>
    <row r="24" spans="1:34" x14ac:dyDescent="0.25">
      <c r="A24" s="5">
        <v>22</v>
      </c>
      <c r="B24" s="5" t="s">
        <v>52</v>
      </c>
      <c r="C24" s="5" t="s">
        <v>53</v>
      </c>
      <c r="D24" s="6">
        <v>40170</v>
      </c>
      <c r="E24" s="7">
        <v>1351861756994</v>
      </c>
      <c r="F24" s="7">
        <v>1758578169995</v>
      </c>
      <c r="G24" s="7">
        <v>1588136471649</v>
      </c>
      <c r="H24" s="17">
        <v>1583979016422</v>
      </c>
      <c r="I24" s="8">
        <v>2106446579086</v>
      </c>
      <c r="J24" s="16">
        <v>-87798857709</v>
      </c>
      <c r="K24" s="7">
        <v>26807416721</v>
      </c>
      <c r="L24" s="16">
        <v>-77845328805</v>
      </c>
      <c r="M24" s="23">
        <v>-63711545268</v>
      </c>
      <c r="N24" s="8">
        <v>273673913875</v>
      </c>
      <c r="Y24" s="21"/>
      <c r="Z24" s="21"/>
      <c r="AA24" s="21"/>
      <c r="AB24" s="21"/>
      <c r="AC24" s="15"/>
      <c r="AD24" s="10">
        <v>9242500000</v>
      </c>
      <c r="AE24" s="10">
        <v>9242500000</v>
      </c>
      <c r="AF24" s="9">
        <v>9242500000</v>
      </c>
      <c r="AG24" s="9">
        <v>9242500000</v>
      </c>
      <c r="AH24" s="9">
        <v>9242500000</v>
      </c>
    </row>
    <row r="25" spans="1:34" x14ac:dyDescent="0.25">
      <c r="A25" s="5">
        <v>24</v>
      </c>
      <c r="B25" s="5" t="s">
        <v>56</v>
      </c>
      <c r="C25" s="5" t="s">
        <v>57</v>
      </c>
      <c r="D25" s="6">
        <v>34673</v>
      </c>
      <c r="E25" s="7">
        <v>1400683598096</v>
      </c>
      <c r="F25" s="7">
        <v>1212894403676</v>
      </c>
      <c r="G25" s="7">
        <v>1395969637457</v>
      </c>
      <c r="H25" s="8">
        <v>1548832511319</v>
      </c>
      <c r="I25" s="8">
        <v>1554795974228</v>
      </c>
      <c r="J25" s="7">
        <v>40463141352</v>
      </c>
      <c r="K25" s="7">
        <v>33558115185</v>
      </c>
      <c r="L25" s="7">
        <v>3991581552</v>
      </c>
      <c r="M25" s="8">
        <v>4319665242</v>
      </c>
      <c r="N25" s="8">
        <v>-113952927004</v>
      </c>
      <c r="Y25" s="7">
        <v>19008000000</v>
      </c>
      <c r="Z25" s="7">
        <v>19008000000</v>
      </c>
      <c r="AA25" s="7">
        <v>15840000000</v>
      </c>
      <c r="AB25" s="21"/>
      <c r="AC25" s="15"/>
      <c r="AD25" s="10">
        <v>633600000</v>
      </c>
      <c r="AE25" s="10">
        <v>633600000</v>
      </c>
      <c r="AF25" s="9">
        <v>633600000</v>
      </c>
      <c r="AG25" s="9">
        <v>633600000</v>
      </c>
      <c r="AH25" s="9">
        <v>633600000</v>
      </c>
    </row>
    <row r="26" spans="1:34" x14ac:dyDescent="0.25">
      <c r="A26" s="5">
        <v>25</v>
      </c>
      <c r="B26" s="5" t="s">
        <v>58</v>
      </c>
      <c r="C26" s="5" t="s">
        <v>59</v>
      </c>
      <c r="D26" s="6">
        <v>41327</v>
      </c>
      <c r="E26" s="7">
        <v>6494070000000</v>
      </c>
      <c r="F26" s="7">
        <v>6424507000000</v>
      </c>
      <c r="G26" s="7">
        <v>6076604000000</v>
      </c>
      <c r="H26" s="8">
        <v>7097322000000</v>
      </c>
      <c r="I26" s="8">
        <v>7405931000000</v>
      </c>
      <c r="J26" s="7">
        <v>48741000000</v>
      </c>
      <c r="K26" s="7">
        <v>185694000000</v>
      </c>
      <c r="L26" s="7">
        <v>175835000000</v>
      </c>
      <c r="M26" s="8">
        <v>486061000000</v>
      </c>
      <c r="N26" s="8">
        <v>305849000000</v>
      </c>
      <c r="Y26" s="21"/>
      <c r="Z26" s="21"/>
      <c r="AA26" s="21"/>
      <c r="AB26" s="9">
        <v>42392000000</v>
      </c>
      <c r="AC26" s="8">
        <v>63588000000</v>
      </c>
      <c r="AD26" s="10">
        <v>7185992035</v>
      </c>
      <c r="AE26" s="10">
        <v>7185992035</v>
      </c>
      <c r="AF26" s="9">
        <v>7185992035</v>
      </c>
      <c r="AG26" s="9">
        <v>7185992035</v>
      </c>
      <c r="AH26" s="9">
        <v>7185992035</v>
      </c>
    </row>
    <row r="27" spans="1:34" x14ac:dyDescent="0.25">
      <c r="A27" s="5">
        <v>26</v>
      </c>
      <c r="B27" s="5" t="s">
        <v>60</v>
      </c>
      <c r="C27" s="5" t="s">
        <v>61</v>
      </c>
      <c r="D27" s="6">
        <v>35648</v>
      </c>
      <c r="E27" s="7">
        <v>19063100651</v>
      </c>
      <c r="F27" s="7">
        <v>180627821366</v>
      </c>
      <c r="G27" s="9">
        <v>169294099302</v>
      </c>
      <c r="H27" s="17">
        <v>168201512628</v>
      </c>
      <c r="I27" s="17">
        <v>159342936263</v>
      </c>
      <c r="J27" s="16">
        <v>-48588147020</v>
      </c>
      <c r="K27" s="16">
        <v>-1391297992</v>
      </c>
      <c r="L27" s="22">
        <v>-1067011759</v>
      </c>
      <c r="M27" s="23">
        <v>-53729224</v>
      </c>
      <c r="N27" s="17">
        <v>3190668366</v>
      </c>
      <c r="Y27" s="21"/>
      <c r="Z27" s="21"/>
      <c r="AA27" s="15"/>
      <c r="AB27" s="21"/>
      <c r="AC27" s="15"/>
      <c r="AD27" s="10">
        <v>150000000</v>
      </c>
      <c r="AE27" s="10">
        <v>150000000</v>
      </c>
      <c r="AF27" s="9">
        <v>150000000</v>
      </c>
      <c r="AG27" s="9">
        <v>150000000</v>
      </c>
      <c r="AH27" s="9">
        <v>150000000</v>
      </c>
    </row>
    <row r="28" spans="1:34" x14ac:dyDescent="0.25">
      <c r="A28" s="5">
        <v>28</v>
      </c>
      <c r="B28" s="5" t="s">
        <v>64</v>
      </c>
      <c r="C28" s="5" t="s">
        <v>65</v>
      </c>
      <c r="D28" s="6">
        <v>40492</v>
      </c>
      <c r="E28" s="13">
        <v>4298318000</v>
      </c>
      <c r="F28" s="13">
        <v>3288037000</v>
      </c>
      <c r="G28" s="13">
        <v>3486349000</v>
      </c>
      <c r="H28" s="13">
        <v>3773676000</v>
      </c>
      <c r="I28" s="7">
        <v>3162434000</v>
      </c>
      <c r="J28" s="16">
        <v>-77163000</v>
      </c>
      <c r="K28" s="16">
        <v>-505390000</v>
      </c>
      <c r="L28" s="13">
        <v>22635000</v>
      </c>
      <c r="M28" s="13">
        <v>62133000</v>
      </c>
      <c r="N28" s="13">
        <v>22644000</v>
      </c>
      <c r="Y28" s="21"/>
      <c r="Z28" s="21"/>
      <c r="AA28" s="21"/>
      <c r="AB28" s="21"/>
      <c r="AC28" s="21"/>
      <c r="AD28" s="10">
        <v>19346396900</v>
      </c>
      <c r="AE28" s="10">
        <v>19346396900</v>
      </c>
      <c r="AF28" s="9">
        <v>19346396900</v>
      </c>
      <c r="AG28" s="9">
        <v>19346396900</v>
      </c>
      <c r="AH28" s="9">
        <v>19346396900</v>
      </c>
    </row>
    <row r="29" spans="1:34" x14ac:dyDescent="0.25">
      <c r="A29" s="5">
        <v>29</v>
      </c>
      <c r="B29" s="5" t="s">
        <v>66</v>
      </c>
      <c r="C29" s="5" t="s">
        <v>67</v>
      </c>
      <c r="D29" s="6">
        <v>34201</v>
      </c>
      <c r="E29" s="7">
        <v>696192628101</v>
      </c>
      <c r="F29" s="7">
        <v>688017892312</v>
      </c>
      <c r="G29" s="7">
        <v>647829858922</v>
      </c>
      <c r="H29" s="8">
        <v>686806547986</v>
      </c>
      <c r="I29" s="8">
        <v>684497878481</v>
      </c>
      <c r="J29" s="7">
        <v>14679673993</v>
      </c>
      <c r="K29" s="7">
        <v>926463199</v>
      </c>
      <c r="L29" s="16">
        <v>-9571328569</v>
      </c>
      <c r="M29" s="23">
        <v>-8737689655</v>
      </c>
      <c r="N29" s="8">
        <v>2314362759</v>
      </c>
      <c r="Y29" s="7">
        <v>7802400000</v>
      </c>
      <c r="Z29" s="7">
        <v>5201600000</v>
      </c>
      <c r="AA29" s="21"/>
      <c r="AB29" s="21"/>
      <c r="AC29" s="15"/>
      <c r="AD29" s="10">
        <v>520160000</v>
      </c>
      <c r="AE29" s="10">
        <v>520160000</v>
      </c>
      <c r="AF29" s="9">
        <v>520160000</v>
      </c>
      <c r="AG29" s="9">
        <v>520160000</v>
      </c>
      <c r="AH29" s="9">
        <v>520160000</v>
      </c>
    </row>
    <row r="30" spans="1:34" x14ac:dyDescent="0.25">
      <c r="A30" s="5">
        <v>30</v>
      </c>
      <c r="B30" s="5" t="s">
        <v>68</v>
      </c>
      <c r="C30" s="5" t="s">
        <v>69</v>
      </c>
      <c r="D30" s="6">
        <v>33028</v>
      </c>
      <c r="E30" s="7">
        <v>160027280153</v>
      </c>
      <c r="F30" s="7">
        <v>147090641453</v>
      </c>
      <c r="G30" s="7">
        <v>143486189959</v>
      </c>
      <c r="H30" s="8">
        <v>145459649889</v>
      </c>
      <c r="I30" s="8">
        <v>132398867747</v>
      </c>
      <c r="J30" s="7">
        <v>2886727390</v>
      </c>
      <c r="K30" s="16">
        <v>-18245567355</v>
      </c>
      <c r="L30" s="16">
        <v>-8068488692</v>
      </c>
      <c r="M30" s="8">
        <v>6514290108</v>
      </c>
      <c r="N30" s="8">
        <v>-4744549983</v>
      </c>
      <c r="Y30" s="7">
        <v>960000000</v>
      </c>
      <c r="Z30" s="7">
        <v>480000000</v>
      </c>
      <c r="AA30" s="21"/>
      <c r="AB30" s="21"/>
      <c r="AC30" s="15"/>
      <c r="AD30" s="10">
        <v>96000000</v>
      </c>
      <c r="AE30" s="10">
        <v>96000000</v>
      </c>
      <c r="AF30" s="9">
        <v>96000000</v>
      </c>
      <c r="AG30" s="9">
        <v>96000000</v>
      </c>
      <c r="AH30" s="9">
        <v>96000000</v>
      </c>
    </row>
    <row r="31" spans="1:34" x14ac:dyDescent="0.25">
      <c r="A31" s="5">
        <v>31</v>
      </c>
      <c r="B31" s="5" t="s">
        <v>70</v>
      </c>
      <c r="C31" s="5" t="s">
        <v>71</v>
      </c>
      <c r="D31" s="6">
        <v>40161</v>
      </c>
      <c r="E31" s="13">
        <v>147777212</v>
      </c>
      <c r="F31" s="13">
        <v>151688978</v>
      </c>
      <c r="G31" s="13">
        <v>131925108</v>
      </c>
      <c r="H31" s="24">
        <v>187753934</v>
      </c>
      <c r="I31" s="24">
        <v>196375128</v>
      </c>
      <c r="J31" s="16">
        <v>-1537262</v>
      </c>
      <c r="K31" s="13">
        <v>2680666</v>
      </c>
      <c r="L31" s="13">
        <v>2718077</v>
      </c>
      <c r="M31" s="24">
        <v>5862823</v>
      </c>
      <c r="N31" s="24">
        <v>7127218</v>
      </c>
      <c r="Y31" s="21"/>
      <c r="Z31" s="21"/>
      <c r="AA31" s="21"/>
      <c r="AB31" s="21"/>
      <c r="AC31" s="14">
        <v>1751923</v>
      </c>
      <c r="AD31" s="10">
        <v>2523350000</v>
      </c>
      <c r="AE31" s="10">
        <v>2523350000</v>
      </c>
      <c r="AF31" s="9">
        <v>2523350000</v>
      </c>
      <c r="AG31" s="9">
        <v>2523350000</v>
      </c>
      <c r="AH31" s="9">
        <v>2523350000</v>
      </c>
    </row>
    <row r="32" spans="1:34" x14ac:dyDescent="0.25">
      <c r="A32" s="5">
        <v>32</v>
      </c>
      <c r="B32" s="5" t="s">
        <v>72</v>
      </c>
      <c r="C32" s="5" t="s">
        <v>73</v>
      </c>
      <c r="D32" s="6">
        <v>35331</v>
      </c>
      <c r="E32" s="7">
        <v>852932442585</v>
      </c>
      <c r="F32" s="7">
        <v>1128475286643</v>
      </c>
      <c r="G32" s="7">
        <v>1092811641343</v>
      </c>
      <c r="H32" s="8">
        <v>1073888124690</v>
      </c>
      <c r="I32" s="8">
        <v>1014888115857</v>
      </c>
      <c r="J32" s="7">
        <v>15730408346</v>
      </c>
      <c r="K32" s="7">
        <v>7487452045</v>
      </c>
      <c r="L32" s="16">
        <v>-64398773870</v>
      </c>
      <c r="M32" s="8">
        <v>8904521434</v>
      </c>
      <c r="N32" s="8">
        <v>-48356764285</v>
      </c>
      <c r="Y32" s="7">
        <v>1136750000</v>
      </c>
      <c r="Z32" s="7">
        <v>2810405000</v>
      </c>
      <c r="AA32" s="21"/>
      <c r="AB32" s="15"/>
      <c r="AC32" s="15"/>
      <c r="AD32" s="10">
        <v>568375000</v>
      </c>
      <c r="AE32" s="10">
        <v>568375000</v>
      </c>
      <c r="AF32" s="9">
        <v>568375000</v>
      </c>
      <c r="AG32" s="9">
        <v>568375000</v>
      </c>
      <c r="AH32" s="8">
        <v>568375000</v>
      </c>
    </row>
    <row r="33" spans="1:34" x14ac:dyDescent="0.25">
      <c r="A33" s="5">
        <v>34</v>
      </c>
      <c r="B33" s="5" t="s">
        <v>76</v>
      </c>
      <c r="C33" s="5" t="s">
        <v>77</v>
      </c>
      <c r="D33" s="6">
        <v>34242</v>
      </c>
      <c r="E33" s="13">
        <v>190954156</v>
      </c>
      <c r="F33" s="13">
        <v>153990491</v>
      </c>
      <c r="G33" s="13">
        <v>156833246</v>
      </c>
      <c r="H33" s="24">
        <v>147236098</v>
      </c>
      <c r="I33" s="24">
        <v>134891947</v>
      </c>
      <c r="J33" s="7">
        <v>6377441</v>
      </c>
      <c r="K33" s="13">
        <v>5931052</v>
      </c>
      <c r="L33" s="13">
        <v>4504285</v>
      </c>
      <c r="M33" s="24">
        <v>6974835</v>
      </c>
      <c r="N33" s="8">
        <v>5225262</v>
      </c>
      <c r="Y33" s="21"/>
      <c r="Z33" s="7">
        <v>955084</v>
      </c>
      <c r="AA33" s="7">
        <v>955084</v>
      </c>
      <c r="AB33" s="14">
        <v>955084</v>
      </c>
      <c r="AC33" s="14">
        <v>1102020</v>
      </c>
      <c r="AD33" s="10">
        <v>367340000</v>
      </c>
      <c r="AE33" s="10">
        <v>367340000</v>
      </c>
      <c r="AF33" s="9">
        <v>367340000</v>
      </c>
      <c r="AG33" s="9">
        <v>367340000</v>
      </c>
      <c r="AH33" s="9">
        <v>367340000</v>
      </c>
    </row>
    <row r="34" spans="1:34" x14ac:dyDescent="0.25">
      <c r="A34" s="5">
        <v>35</v>
      </c>
      <c r="B34" s="5" t="s">
        <v>78</v>
      </c>
      <c r="C34" s="5" t="s">
        <v>79</v>
      </c>
      <c r="D34" s="6">
        <v>42641</v>
      </c>
      <c r="E34" s="7">
        <v>6647755000000</v>
      </c>
      <c r="F34" s="7">
        <v>7020980000000</v>
      </c>
      <c r="G34" s="7">
        <v>7121458000000</v>
      </c>
      <c r="H34" s="8">
        <v>8164599000000</v>
      </c>
      <c r="I34" s="8">
        <v>8041989000000</v>
      </c>
      <c r="J34" s="7">
        <v>114374000000</v>
      </c>
      <c r="K34" s="7">
        <v>103431000000</v>
      </c>
      <c r="L34" s="7">
        <v>99862000000</v>
      </c>
      <c r="M34" s="8">
        <v>211485000000</v>
      </c>
      <c r="N34" s="8">
        <v>103896000000</v>
      </c>
      <c r="Y34" s="21"/>
      <c r="Z34" s="21"/>
      <c r="AA34" s="21"/>
      <c r="AB34" s="9">
        <v>18588000000</v>
      </c>
      <c r="AC34" s="9">
        <v>30514000000</v>
      </c>
      <c r="AD34" s="10">
        <v>3066660000</v>
      </c>
      <c r="AE34" s="10">
        <v>3066660000</v>
      </c>
      <c r="AF34" s="9">
        <v>3066660000</v>
      </c>
      <c r="AG34" s="9">
        <v>3066660000</v>
      </c>
      <c r="AH34" s="9">
        <v>3066660000</v>
      </c>
    </row>
    <row r="35" spans="1:34" x14ac:dyDescent="0.25">
      <c r="A35" s="5">
        <v>37</v>
      </c>
      <c r="B35" s="5" t="s">
        <v>82</v>
      </c>
      <c r="C35" s="5" t="s">
        <v>83</v>
      </c>
      <c r="D35" s="6">
        <v>34243</v>
      </c>
      <c r="E35" s="13">
        <v>7042491000</v>
      </c>
      <c r="F35" s="13">
        <v>7182435000</v>
      </c>
      <c r="G35" s="13">
        <v>7683159000</v>
      </c>
      <c r="H35" s="24">
        <v>9241551000</v>
      </c>
      <c r="I35" s="24">
        <v>9248254000</v>
      </c>
      <c r="J35" s="7">
        <v>242066000</v>
      </c>
      <c r="K35" s="13">
        <v>137380000</v>
      </c>
      <c r="L35" s="13">
        <v>141383000</v>
      </c>
      <c r="M35" s="24">
        <v>296007000</v>
      </c>
      <c r="N35" s="24">
        <v>3221000</v>
      </c>
      <c r="Y35" s="7">
        <v>47233000</v>
      </c>
      <c r="Z35" s="7">
        <v>24207000</v>
      </c>
      <c r="AA35" s="7">
        <v>105529000</v>
      </c>
      <c r="AB35" s="9">
        <f>18000000+69793000</f>
        <v>87793000</v>
      </c>
      <c r="AC35" s="8">
        <f>20000000+848000</f>
        <v>20848000</v>
      </c>
      <c r="AD35" s="10">
        <v>17791586878</v>
      </c>
      <c r="AE35" s="10">
        <v>89015998170</v>
      </c>
      <c r="AF35" s="9">
        <v>93388796190</v>
      </c>
      <c r="AG35" s="9">
        <v>93747018044</v>
      </c>
      <c r="AH35" s="9">
        <v>93747018044</v>
      </c>
    </row>
    <row r="36" spans="1:34" x14ac:dyDescent="0.25">
      <c r="A36" s="5">
        <v>39</v>
      </c>
      <c r="B36" s="5" t="s">
        <v>87</v>
      </c>
      <c r="C36" s="5" t="s">
        <v>88</v>
      </c>
      <c r="D36" s="6">
        <v>33154</v>
      </c>
      <c r="E36" s="7">
        <v>322185012261</v>
      </c>
      <c r="F36" s="7">
        <v>318141387900</v>
      </c>
      <c r="G36" s="7">
        <v>317310718779</v>
      </c>
      <c r="H36" s="8">
        <v>362242571405</v>
      </c>
      <c r="I36" s="8">
        <v>405675831614</v>
      </c>
      <c r="J36" s="7">
        <v>9380137352</v>
      </c>
      <c r="K36" s="7">
        <v>3937685121</v>
      </c>
      <c r="L36" s="7">
        <v>2400715154</v>
      </c>
      <c r="M36" s="8">
        <v>22723655893</v>
      </c>
      <c r="N36" s="8">
        <v>27428849986</v>
      </c>
      <c r="Y36" s="7">
        <v>993389856</v>
      </c>
      <c r="Z36" s="7">
        <v>1986779712</v>
      </c>
      <c r="AA36" s="7">
        <v>993389856</v>
      </c>
      <c r="AB36" s="21"/>
      <c r="AC36" s="8">
        <v>4966949280</v>
      </c>
      <c r="AD36" s="10">
        <v>331129952</v>
      </c>
      <c r="AE36" s="10">
        <v>331129952</v>
      </c>
      <c r="AF36" s="9">
        <v>331129952</v>
      </c>
      <c r="AG36" s="9">
        <v>331129952</v>
      </c>
      <c r="AH36" s="8">
        <v>331129952</v>
      </c>
    </row>
    <row r="37" spans="1:34" x14ac:dyDescent="0.25">
      <c r="A37" s="5">
        <v>40</v>
      </c>
      <c r="B37" s="5" t="s">
        <v>89</v>
      </c>
      <c r="C37" s="5" t="s">
        <v>90</v>
      </c>
      <c r="D37" s="6">
        <v>33099</v>
      </c>
      <c r="E37" s="7">
        <v>853267454400</v>
      </c>
      <c r="F37" s="7">
        <v>968234349565</v>
      </c>
      <c r="G37" s="7">
        <v>1081979820386</v>
      </c>
      <c r="H37" s="8">
        <v>1165564745263</v>
      </c>
      <c r="I37" s="8">
        <v>1221291885832</v>
      </c>
      <c r="J37" s="7">
        <v>74045187763</v>
      </c>
      <c r="K37" s="7">
        <v>77402572552</v>
      </c>
      <c r="L37" s="7">
        <v>95929070814</v>
      </c>
      <c r="M37" s="8">
        <v>108490477354</v>
      </c>
      <c r="N37" s="8">
        <v>78079793270</v>
      </c>
      <c r="Y37" s="7">
        <v>12577950000</v>
      </c>
      <c r="Z37" s="7">
        <v>20963250000</v>
      </c>
      <c r="AA37" s="7">
        <v>24457125000</v>
      </c>
      <c r="AB37" s="9">
        <f>31444875000+1199075472</f>
        <v>32643950472</v>
      </c>
      <c r="AC37" s="9">
        <f>34938750000+1571851081</f>
        <v>36510601081</v>
      </c>
      <c r="AD37" s="10">
        <v>698775000</v>
      </c>
      <c r="AE37" s="10">
        <v>698775000</v>
      </c>
      <c r="AF37" s="9">
        <v>698775000</v>
      </c>
      <c r="AG37" s="9">
        <v>698775000</v>
      </c>
      <c r="AH37" s="8">
        <v>3493875000</v>
      </c>
    </row>
    <row r="38" spans="1:34" x14ac:dyDescent="0.25">
      <c r="A38" s="5">
        <v>41</v>
      </c>
      <c r="B38" s="5" t="s">
        <v>91</v>
      </c>
      <c r="C38" s="5" t="s">
        <v>92</v>
      </c>
      <c r="D38" s="6">
        <v>35566</v>
      </c>
      <c r="E38" s="7">
        <v>1090658578996</v>
      </c>
      <c r="F38" s="7">
        <v>1123468024853</v>
      </c>
      <c r="G38" s="7">
        <v>1055671083056</v>
      </c>
      <c r="H38" s="7">
        <v>1053555048668</v>
      </c>
      <c r="I38" s="7">
        <v>895204452940</v>
      </c>
      <c r="J38" s="16">
        <v>-138527581192</v>
      </c>
      <c r="K38" s="7">
        <v>-89756071206</v>
      </c>
      <c r="L38" s="16">
        <v>72652783063</v>
      </c>
      <c r="M38" s="16">
        <v>-124613363675</v>
      </c>
      <c r="N38" s="16">
        <v>-282774617043</v>
      </c>
      <c r="Y38" s="21"/>
      <c r="Z38" s="21"/>
      <c r="AA38" s="21"/>
      <c r="AB38" s="21"/>
      <c r="AC38" s="21"/>
      <c r="AD38" s="10">
        <v>968297000</v>
      </c>
      <c r="AE38" s="10">
        <v>968297000</v>
      </c>
      <c r="AF38" s="10">
        <v>968297000</v>
      </c>
      <c r="AG38" s="10">
        <v>4668671400</v>
      </c>
      <c r="AH38" s="10">
        <v>4668671400</v>
      </c>
    </row>
    <row r="39" spans="1:34" x14ac:dyDescent="0.25">
      <c r="A39" s="5">
        <v>42</v>
      </c>
      <c r="B39" s="5" t="s">
        <v>93</v>
      </c>
      <c r="C39" s="5" t="s">
        <v>94</v>
      </c>
      <c r="D39" s="6">
        <v>33078</v>
      </c>
      <c r="E39" s="7">
        <v>391362697956</v>
      </c>
      <c r="F39" s="7">
        <v>405445049452</v>
      </c>
      <c r="G39" s="7">
        <v>444865800672</v>
      </c>
      <c r="H39" s="8">
        <v>510698600200</v>
      </c>
      <c r="I39" s="17">
        <v>496010534463</v>
      </c>
      <c r="J39" s="7">
        <v>16675673703</v>
      </c>
      <c r="K39" s="7">
        <v>13811736623</v>
      </c>
      <c r="L39" s="7">
        <v>30071380873</v>
      </c>
      <c r="M39" s="8">
        <v>11036924395</v>
      </c>
      <c r="N39" s="17">
        <v>24502371311</v>
      </c>
      <c r="Y39" s="7">
        <v>1098885825</v>
      </c>
      <c r="Z39" s="21"/>
      <c r="AA39" s="7">
        <v>3922424632</v>
      </c>
      <c r="AB39" s="7">
        <v>4903030925</v>
      </c>
      <c r="AC39" s="21"/>
      <c r="AD39" s="10">
        <v>196121237</v>
      </c>
      <c r="AE39" s="10">
        <v>196121237</v>
      </c>
      <c r="AF39" s="10">
        <v>196121237</v>
      </c>
      <c r="AG39" s="10">
        <v>196121237</v>
      </c>
      <c r="AH39" s="10">
        <v>196121237</v>
      </c>
    </row>
    <row r="40" spans="1:34" x14ac:dyDescent="0.25">
      <c r="A40" s="5">
        <v>45</v>
      </c>
      <c r="B40" s="5" t="s">
        <v>99</v>
      </c>
      <c r="C40" s="5" t="s">
        <v>100</v>
      </c>
      <c r="D40" s="6">
        <v>43342</v>
      </c>
      <c r="E40" s="33">
        <v>1868245599000</v>
      </c>
      <c r="F40" s="7">
        <v>1872712715000</v>
      </c>
      <c r="G40" s="7">
        <v>2279580714000</v>
      </c>
      <c r="H40" s="8">
        <v>2275216679000</v>
      </c>
      <c r="I40" s="8">
        <v>2182945756000</v>
      </c>
      <c r="J40" s="33">
        <v>94243997000</v>
      </c>
      <c r="K40" s="7">
        <v>60910956000</v>
      </c>
      <c r="L40" s="7">
        <v>79288256000</v>
      </c>
      <c r="M40" s="8">
        <v>38800766000</v>
      </c>
      <c r="N40" s="8">
        <v>11310348000</v>
      </c>
      <c r="Y40" s="33">
        <v>203486706000</v>
      </c>
      <c r="Z40" s="7">
        <v>38637633000</v>
      </c>
      <c r="AA40" s="7">
        <v>13665358000</v>
      </c>
      <c r="AB40" s="7">
        <v>1292570807</v>
      </c>
      <c r="AC40" s="7">
        <v>1292570807</v>
      </c>
      <c r="AD40" s="34">
        <v>1983888498</v>
      </c>
      <c r="AE40" s="10">
        <v>2334888498</v>
      </c>
      <c r="AF40" s="10">
        <v>2334888498</v>
      </c>
      <c r="AG40" s="10">
        <v>2724036581</v>
      </c>
      <c r="AH40" s="10">
        <v>2724036581</v>
      </c>
    </row>
    <row r="41" spans="1:34" x14ac:dyDescent="0.25">
      <c r="A41" s="5">
        <v>50</v>
      </c>
      <c r="B41" s="5" t="s">
        <v>109</v>
      </c>
      <c r="C41" s="5" t="s">
        <v>110</v>
      </c>
      <c r="D41" s="6">
        <v>33980</v>
      </c>
      <c r="E41" s="7">
        <v>686777211000</v>
      </c>
      <c r="F41" s="7">
        <v>779246858000</v>
      </c>
      <c r="G41" s="7">
        <v>906846895000</v>
      </c>
      <c r="H41" s="8">
        <v>860162908000</v>
      </c>
      <c r="I41" s="8">
        <v>876602301000</v>
      </c>
      <c r="J41" s="7">
        <v>38735092000</v>
      </c>
      <c r="K41" s="7">
        <v>42829128000</v>
      </c>
      <c r="L41" s="7">
        <v>44152245000</v>
      </c>
      <c r="M41" s="8">
        <v>26542985000</v>
      </c>
      <c r="N41" s="8">
        <v>33640328000</v>
      </c>
      <c r="Y41" s="21"/>
      <c r="Z41" s="7">
        <v>6020000000</v>
      </c>
      <c r="AA41" s="7">
        <v>12040000000</v>
      </c>
      <c r="AB41" s="9">
        <v>6020000</v>
      </c>
      <c r="AC41" s="21"/>
      <c r="AD41" s="10">
        <v>6020000000</v>
      </c>
      <c r="AE41" s="10">
        <v>6020000000</v>
      </c>
      <c r="AF41" s="10">
        <v>6020000000</v>
      </c>
      <c r="AG41" s="10">
        <v>6020000000</v>
      </c>
      <c r="AH41" s="10">
        <v>6020000000</v>
      </c>
    </row>
    <row r="42" spans="1:34" x14ac:dyDescent="0.25">
      <c r="A42" s="5">
        <v>51</v>
      </c>
      <c r="B42" s="11" t="s">
        <v>111</v>
      </c>
      <c r="C42" s="11" t="s">
        <v>112</v>
      </c>
      <c r="D42" s="6">
        <v>43199</v>
      </c>
      <c r="E42" s="24">
        <v>304204072</v>
      </c>
      <c r="F42" s="24">
        <v>356285764</v>
      </c>
      <c r="G42" s="13">
        <v>349209327</v>
      </c>
      <c r="H42" s="13">
        <v>210575452</v>
      </c>
      <c r="I42" s="13">
        <v>146631100</v>
      </c>
      <c r="J42" s="24">
        <v>12932499</v>
      </c>
      <c r="K42" s="24">
        <v>16052289</v>
      </c>
      <c r="L42" s="13">
        <v>-3454919</v>
      </c>
      <c r="M42" s="13">
        <v>-78616128</v>
      </c>
      <c r="N42" s="16">
        <v>-52497945</v>
      </c>
      <c r="Y42" s="13">
        <v>200000</v>
      </c>
      <c r="Z42" s="13">
        <v>300000</v>
      </c>
      <c r="AA42" s="13">
        <v>160000</v>
      </c>
      <c r="AB42" s="13">
        <v>660000</v>
      </c>
      <c r="AC42" s="13">
        <v>800000</v>
      </c>
      <c r="AD42" s="8">
        <v>10485050500</v>
      </c>
      <c r="AE42" s="8">
        <v>10485050500</v>
      </c>
      <c r="AF42" s="8">
        <v>10485050500</v>
      </c>
      <c r="AG42" s="8">
        <v>10485050500</v>
      </c>
      <c r="AH42" s="8">
        <v>10485050500</v>
      </c>
    </row>
    <row r="43" spans="1:34" x14ac:dyDescent="0.25">
      <c r="A43" s="5">
        <v>52</v>
      </c>
      <c r="B43" s="5" t="s">
        <v>113</v>
      </c>
      <c r="C43" s="5" t="s">
        <v>114</v>
      </c>
      <c r="D43" s="6">
        <v>39594</v>
      </c>
      <c r="E43" s="13">
        <v>3173486000</v>
      </c>
      <c r="F43" s="13">
        <v>3451211000</v>
      </c>
      <c r="G43" s="13">
        <v>3593747000</v>
      </c>
      <c r="H43" s="24">
        <v>4993060000</v>
      </c>
      <c r="I43" s="24">
        <v>4929871000</v>
      </c>
      <c r="J43" s="7">
        <v>182316000</v>
      </c>
      <c r="K43" s="13">
        <v>23647000</v>
      </c>
      <c r="L43" s="13">
        <v>51542000</v>
      </c>
      <c r="M43" s="24">
        <v>151869000</v>
      </c>
      <c r="N43" s="18">
        <v>-149399000</v>
      </c>
      <c r="Y43" s="7">
        <f>80924000+735000</f>
        <v>81659000</v>
      </c>
      <c r="Z43" s="7">
        <v>33262000</v>
      </c>
      <c r="AA43" s="7">
        <v>1280000</v>
      </c>
      <c r="AB43" s="9">
        <v>103514000</v>
      </c>
      <c r="AC43" s="8">
        <v>11000000</v>
      </c>
      <c r="AD43" s="10">
        <v>17833520260</v>
      </c>
      <c r="AE43" s="10">
        <v>17833520260</v>
      </c>
      <c r="AF43" s="10">
        <v>17833520260</v>
      </c>
      <c r="AG43" s="10">
        <v>21627886273</v>
      </c>
      <c r="AH43" s="8">
        <v>86511545092</v>
      </c>
    </row>
    <row r="44" spans="1:34" x14ac:dyDescent="0.25">
      <c r="A44" s="5">
        <v>53</v>
      </c>
      <c r="B44" s="5" t="s">
        <v>115</v>
      </c>
      <c r="C44" s="5" t="s">
        <v>116</v>
      </c>
      <c r="D44" s="6">
        <v>32818</v>
      </c>
      <c r="E44" s="13">
        <v>236410388</v>
      </c>
      <c r="F44" s="13">
        <v>219757421</v>
      </c>
      <c r="G44" s="13">
        <v>242256371</v>
      </c>
      <c r="H44" s="13">
        <v>292723782</v>
      </c>
      <c r="I44" s="24">
        <v>317577675</v>
      </c>
      <c r="J44" s="7">
        <v>17280630</v>
      </c>
      <c r="K44" s="13">
        <v>11388329</v>
      </c>
      <c r="L44" s="13">
        <v>27294821</v>
      </c>
      <c r="M44" s="13">
        <v>58052717</v>
      </c>
      <c r="N44" s="13">
        <v>37901615</v>
      </c>
      <c r="Y44" s="13">
        <v>11567189</v>
      </c>
      <c r="Z44" s="13">
        <v>2435568</v>
      </c>
      <c r="AA44" s="13">
        <v>6021620</v>
      </c>
      <c r="AB44" s="13">
        <v>15982321</v>
      </c>
      <c r="AC44" s="13">
        <v>2583966</v>
      </c>
      <c r="AD44" s="10">
        <v>383331363</v>
      </c>
      <c r="AE44" s="10">
        <v>383331363</v>
      </c>
      <c r="AF44" s="10">
        <v>383331363</v>
      </c>
      <c r="AG44" s="10">
        <v>383331363</v>
      </c>
      <c r="AH44" s="10">
        <v>383331363</v>
      </c>
    </row>
    <row r="45" spans="1:34" x14ac:dyDescent="0.25">
      <c r="A45" s="5">
        <v>54</v>
      </c>
      <c r="B45" s="5" t="s">
        <v>117</v>
      </c>
      <c r="C45" s="5" t="s">
        <v>118</v>
      </c>
      <c r="D45" s="6">
        <v>33956</v>
      </c>
      <c r="E45" s="7">
        <v>3070410492000</v>
      </c>
      <c r="F45" s="7">
        <v>2776775756000</v>
      </c>
      <c r="G45" s="7">
        <v>2644267716000</v>
      </c>
      <c r="H45" s="8">
        <v>3335740359000</v>
      </c>
      <c r="I45" s="8">
        <v>3590544764000</v>
      </c>
      <c r="J45" s="7">
        <v>64226271000</v>
      </c>
      <c r="K45" s="7">
        <v>54355268000</v>
      </c>
      <c r="L45" s="7">
        <v>66005547000</v>
      </c>
      <c r="M45" s="8">
        <v>147822236000</v>
      </c>
      <c r="N45" s="8">
        <v>211687105000</v>
      </c>
      <c r="Y45" s="7">
        <v>7346976000</v>
      </c>
      <c r="Z45" s="7">
        <v>7346976000</v>
      </c>
      <c r="AA45" s="21"/>
      <c r="AB45" s="9">
        <v>15306200000</v>
      </c>
      <c r="AC45" s="9">
        <v>30000152000</v>
      </c>
      <c r="AD45" s="10">
        <v>680000000</v>
      </c>
      <c r="AE45" s="10">
        <v>680000000</v>
      </c>
      <c r="AF45" s="10">
        <v>612248000</v>
      </c>
      <c r="AG45" s="10">
        <v>612248000</v>
      </c>
      <c r="AH45" s="10">
        <v>612248000</v>
      </c>
    </row>
    <row r="46" spans="1:34" x14ac:dyDescent="0.25">
      <c r="A46" s="5">
        <v>55</v>
      </c>
      <c r="B46" s="5" t="s">
        <v>119</v>
      </c>
      <c r="C46" s="5" t="s">
        <v>120</v>
      </c>
      <c r="D46" s="6">
        <v>36647</v>
      </c>
      <c r="E46" s="7">
        <v>503177499114</v>
      </c>
      <c r="F46" s="7">
        <v>419264529448</v>
      </c>
      <c r="G46" s="9">
        <v>406440895710</v>
      </c>
      <c r="H46" s="17">
        <v>431280653664</v>
      </c>
      <c r="I46" s="8">
        <v>468541883266</v>
      </c>
      <c r="J46" s="16">
        <v>-23496671376</v>
      </c>
      <c r="K46" s="7">
        <v>9588681370</v>
      </c>
      <c r="L46" s="22">
        <v>-6424025663</v>
      </c>
      <c r="M46" s="17">
        <v>23227293962</v>
      </c>
      <c r="N46" s="17">
        <v>46599136683</v>
      </c>
      <c r="Y46" s="21"/>
      <c r="Z46" s="21"/>
      <c r="AA46" s="15"/>
      <c r="AB46" s="21"/>
      <c r="AC46" s="21"/>
      <c r="AD46" s="10">
        <v>1362671400</v>
      </c>
      <c r="AE46" s="10">
        <v>1362671400</v>
      </c>
      <c r="AF46" s="10">
        <v>1362671400</v>
      </c>
      <c r="AG46" s="10">
        <v>1362671400</v>
      </c>
      <c r="AH46" s="10">
        <v>1362671400</v>
      </c>
    </row>
    <row r="47" spans="1:34" x14ac:dyDescent="0.25">
      <c r="A47" s="5">
        <v>56</v>
      </c>
      <c r="B47" s="5" t="s">
        <v>121</v>
      </c>
      <c r="C47" s="5" t="s">
        <v>122</v>
      </c>
      <c r="D47" s="6">
        <v>32818</v>
      </c>
      <c r="E47" s="7">
        <v>2461326183000</v>
      </c>
      <c r="F47" s="7">
        <v>2263112918000</v>
      </c>
      <c r="G47" s="7">
        <v>1965718547000</v>
      </c>
      <c r="H47" s="8">
        <v>2020640257000</v>
      </c>
      <c r="I47" s="8">
        <v>1869959662000</v>
      </c>
      <c r="J47" s="16">
        <v>-23662406000</v>
      </c>
      <c r="K47" s="16">
        <v>-163083992000</v>
      </c>
      <c r="L47" s="16">
        <v>-187053341000</v>
      </c>
      <c r="M47" s="18">
        <v>-193272827000</v>
      </c>
      <c r="N47" s="17">
        <v>-136403681000</v>
      </c>
      <c r="Y47" s="7">
        <v>3600000000</v>
      </c>
      <c r="Z47" s="21"/>
      <c r="AA47" s="21"/>
      <c r="AB47" s="21"/>
      <c r="AC47" s="21"/>
      <c r="AD47" s="10">
        <v>979110000</v>
      </c>
      <c r="AE47" s="10">
        <v>979110000</v>
      </c>
      <c r="AF47" s="10">
        <v>979110000</v>
      </c>
      <c r="AG47" s="10">
        <v>979110000</v>
      </c>
      <c r="AH47" s="10">
        <v>979110000</v>
      </c>
    </row>
    <row r="48" spans="1:34" x14ac:dyDescent="0.25">
      <c r="A48" s="5">
        <v>59</v>
      </c>
      <c r="B48" s="5" t="s">
        <v>127</v>
      </c>
      <c r="C48" s="5" t="s">
        <v>128</v>
      </c>
      <c r="D48" s="6">
        <v>37336</v>
      </c>
      <c r="E48" s="13">
        <v>195826000</v>
      </c>
      <c r="F48" s="13">
        <v>165728000</v>
      </c>
      <c r="G48" s="13">
        <v>149377000</v>
      </c>
      <c r="H48" s="24">
        <v>183022000</v>
      </c>
      <c r="I48" s="17">
        <v>192224000</v>
      </c>
      <c r="J48" s="7">
        <v>6125000</v>
      </c>
      <c r="K48" s="16">
        <v>-3286000</v>
      </c>
      <c r="L48" s="16">
        <v>-4945000</v>
      </c>
      <c r="M48" s="24">
        <v>9564000</v>
      </c>
      <c r="N48" s="8">
        <v>2896000</v>
      </c>
      <c r="Y48" s="21"/>
      <c r="Z48" s="21"/>
      <c r="AA48" s="21"/>
      <c r="AB48" s="21"/>
      <c r="AC48" s="21"/>
      <c r="AD48" s="10">
        <v>5566414000</v>
      </c>
      <c r="AE48" s="10">
        <v>5566414000</v>
      </c>
      <c r="AF48" s="10">
        <v>5566414000</v>
      </c>
      <c r="AG48" s="10">
        <v>5566414000</v>
      </c>
      <c r="AH48" s="10">
        <v>5566414000</v>
      </c>
    </row>
    <row r="49" spans="1:34" x14ac:dyDescent="0.25">
      <c r="A49" s="5">
        <v>60</v>
      </c>
      <c r="B49" s="5" t="s">
        <v>129</v>
      </c>
      <c r="C49" s="5" t="s">
        <v>130</v>
      </c>
      <c r="D49" s="6">
        <v>33182</v>
      </c>
      <c r="E49" s="7">
        <v>570197810698</v>
      </c>
      <c r="F49" s="7">
        <v>617594780669</v>
      </c>
      <c r="G49" s="7">
        <v>665863417235</v>
      </c>
      <c r="H49" s="8">
        <v>809371584010</v>
      </c>
      <c r="I49" s="8">
        <v>863638556466</v>
      </c>
      <c r="J49" s="7">
        <v>44672438405</v>
      </c>
      <c r="K49" s="7">
        <v>60836752751</v>
      </c>
      <c r="L49" s="7">
        <v>60770710445</v>
      </c>
      <c r="M49" s="8">
        <v>104034299846</v>
      </c>
      <c r="N49" s="8">
        <v>102314374301</v>
      </c>
      <c r="Y49" s="7">
        <v>4858213700</v>
      </c>
      <c r="Z49" s="7">
        <v>6638247950</v>
      </c>
      <c r="AA49" s="7">
        <v>6638247950</v>
      </c>
      <c r="AB49" s="9">
        <v>6638247950</v>
      </c>
      <c r="AC49" s="9">
        <v>8506860675</v>
      </c>
      <c r="AD49" s="10">
        <v>972204500</v>
      </c>
      <c r="AE49" s="10">
        <v>972204500</v>
      </c>
      <c r="AF49" s="10">
        <v>972204500</v>
      </c>
      <c r="AG49" s="10">
        <v>972204500</v>
      </c>
      <c r="AH49" s="10">
        <v>972204500</v>
      </c>
    </row>
    <row r="50" spans="1:34" x14ac:dyDescent="0.25">
      <c r="A50" s="5">
        <v>61</v>
      </c>
      <c r="B50" s="5" t="s">
        <v>131</v>
      </c>
      <c r="C50" s="5" t="s">
        <v>132</v>
      </c>
      <c r="D50" s="6">
        <v>41990</v>
      </c>
      <c r="E50" s="7">
        <v>2370198817803</v>
      </c>
      <c r="F50" s="7">
        <v>2501132856219</v>
      </c>
      <c r="G50" s="7">
        <v>2697100062756</v>
      </c>
      <c r="H50" s="8">
        <v>1383431547987</v>
      </c>
      <c r="I50" s="17">
        <v>3435475875401</v>
      </c>
      <c r="J50" s="7">
        <v>105523929164</v>
      </c>
      <c r="K50" s="7">
        <v>93145200039</v>
      </c>
      <c r="L50" s="7">
        <v>115805324362</v>
      </c>
      <c r="M50" s="8">
        <v>206588977295</v>
      </c>
      <c r="N50" s="8">
        <v>312502049594</v>
      </c>
      <c r="Y50" s="7">
        <f>38668000000+4930000000</f>
        <v>43598000000</v>
      </c>
      <c r="Z50" s="7">
        <v>77790000000</v>
      </c>
      <c r="AA50" s="7">
        <v>53280000000</v>
      </c>
      <c r="AB50" s="17">
        <v>29001000000</v>
      </c>
      <c r="AC50" s="17">
        <v>106337000000</v>
      </c>
      <c r="AD50" s="10">
        <v>4833500000</v>
      </c>
      <c r="AE50" s="10">
        <v>4833500000</v>
      </c>
      <c r="AF50" s="10">
        <v>4833500000</v>
      </c>
      <c r="AG50" s="10">
        <v>4833500000</v>
      </c>
      <c r="AH50" s="17">
        <v>4933500000</v>
      </c>
    </row>
    <row r="51" spans="1:34" x14ac:dyDescent="0.25">
      <c r="A51" s="5">
        <v>62</v>
      </c>
      <c r="B51" s="36" t="s">
        <v>133</v>
      </c>
      <c r="C51" s="5" t="s">
        <v>134</v>
      </c>
      <c r="D51" s="6">
        <v>40368</v>
      </c>
      <c r="E51" s="13">
        <v>292126972</v>
      </c>
      <c r="F51" s="13">
        <v>277540954</v>
      </c>
      <c r="G51" s="13">
        <v>280515335</v>
      </c>
      <c r="H51" s="24">
        <v>299122566</v>
      </c>
      <c r="I51" s="17">
        <v>280534499</v>
      </c>
      <c r="J51" s="7">
        <v>5073929</v>
      </c>
      <c r="K51" s="13">
        <v>4510027</v>
      </c>
      <c r="L51" s="13">
        <v>8519433</v>
      </c>
      <c r="M51" s="24">
        <v>9499133</v>
      </c>
      <c r="N51" s="8">
        <v>3745327</v>
      </c>
      <c r="Y51" s="21"/>
      <c r="Z51" s="37">
        <v>1386079</v>
      </c>
      <c r="AA51" s="21"/>
      <c r="AB51" s="37">
        <v>2296859</v>
      </c>
      <c r="AC51" s="37">
        <v>2639642</v>
      </c>
      <c r="AD51" s="10">
        <v>6443379509</v>
      </c>
      <c r="AE51" s="10">
        <v>6443379509</v>
      </c>
      <c r="AF51" s="10">
        <v>6443379509</v>
      </c>
      <c r="AG51" s="10">
        <v>6443379509</v>
      </c>
      <c r="AH51" s="10">
        <v>6443379509</v>
      </c>
    </row>
    <row r="52" spans="1:34" x14ac:dyDescent="0.25">
      <c r="A52" s="5">
        <v>63</v>
      </c>
      <c r="B52" s="36" t="s">
        <v>135</v>
      </c>
      <c r="C52" s="5" t="s">
        <v>136</v>
      </c>
      <c r="D52" s="6">
        <v>43082</v>
      </c>
      <c r="E52" s="7">
        <v>2295734967000</v>
      </c>
      <c r="F52" s="7">
        <v>2338919728000</v>
      </c>
      <c r="G52" s="7">
        <v>2421301079000</v>
      </c>
      <c r="H52" s="8">
        <v>2795959663000</v>
      </c>
      <c r="I52" s="8">
        <v>3040363137000</v>
      </c>
      <c r="J52" s="7">
        <v>297628915000</v>
      </c>
      <c r="K52" s="7">
        <v>223626619000</v>
      </c>
      <c r="L52" s="7">
        <v>373653845000</v>
      </c>
      <c r="M52" s="8">
        <v>416209347000</v>
      </c>
      <c r="N52" s="8">
        <v>354901190000</v>
      </c>
      <c r="Y52" s="7">
        <v>81867571000</v>
      </c>
      <c r="Z52" s="7">
        <v>94992476000</v>
      </c>
      <c r="AA52" s="7">
        <v>112236000000</v>
      </c>
      <c r="AB52" s="9">
        <v>189773757000</v>
      </c>
      <c r="AC52" s="9">
        <v>207632399000</v>
      </c>
      <c r="AD52" s="10">
        <v>1875000000</v>
      </c>
      <c r="AE52" s="10">
        <v>1875000000</v>
      </c>
      <c r="AF52" s="10">
        <v>1875000000</v>
      </c>
      <c r="AG52" s="10">
        <v>1875000000</v>
      </c>
      <c r="AH52" s="10">
        <v>1875000000</v>
      </c>
    </row>
    <row r="53" spans="1:34" x14ac:dyDescent="0.25">
      <c r="A53" s="5">
        <v>66</v>
      </c>
      <c r="B53" s="36" t="s">
        <v>141</v>
      </c>
      <c r="C53" s="5" t="s">
        <v>142</v>
      </c>
      <c r="D53" s="6">
        <v>41640</v>
      </c>
      <c r="E53" s="7">
        <v>984597771989</v>
      </c>
      <c r="F53" s="7">
        <v>1329083050439</v>
      </c>
      <c r="G53" s="7">
        <v>1474472516166</v>
      </c>
      <c r="H53" s="8">
        <v>1569929936844</v>
      </c>
      <c r="I53" s="8">
        <v>1797280792145</v>
      </c>
      <c r="J53" s="7">
        <v>43976734000</v>
      </c>
      <c r="K53" s="7">
        <v>27456246966</v>
      </c>
      <c r="L53" s="7">
        <v>18488700221</v>
      </c>
      <c r="M53" s="8">
        <v>22437585810</v>
      </c>
      <c r="N53" s="8">
        <v>44313085815</v>
      </c>
      <c r="Y53" s="7">
        <v>4060305000</v>
      </c>
      <c r="Z53" s="7">
        <v>8120610000</v>
      </c>
      <c r="AA53" s="38"/>
      <c r="AB53" s="21"/>
      <c r="AC53" s="21"/>
      <c r="AD53" s="10">
        <v>1353435000</v>
      </c>
      <c r="AE53" s="10">
        <v>1353435000</v>
      </c>
      <c r="AF53" s="10">
        <v>1353435000</v>
      </c>
      <c r="AG53" s="10">
        <v>1353435000</v>
      </c>
      <c r="AH53" s="8">
        <v>1353435000</v>
      </c>
    </row>
    <row r="54" spans="1:34" x14ac:dyDescent="0.25">
      <c r="A54" s="5">
        <v>67</v>
      </c>
      <c r="B54" s="36" t="s">
        <v>143</v>
      </c>
      <c r="C54" s="5" t="s">
        <v>144</v>
      </c>
      <c r="D54" s="6">
        <v>33056</v>
      </c>
      <c r="E54" s="7">
        <v>4284901587126</v>
      </c>
      <c r="F54" s="7">
        <v>4349022887699</v>
      </c>
      <c r="G54" s="7">
        <v>4223302387771</v>
      </c>
      <c r="H54" s="8">
        <v>4628831951931</v>
      </c>
      <c r="I54" s="17">
        <v>5777073000000</v>
      </c>
      <c r="J54" s="7">
        <v>63193899099</v>
      </c>
      <c r="K54" s="7">
        <v>38911968283</v>
      </c>
      <c r="L54" s="7">
        <v>73277742422</v>
      </c>
      <c r="M54" s="8">
        <v>200975805947</v>
      </c>
      <c r="N54" s="17">
        <v>166414000000</v>
      </c>
      <c r="Y54" s="38"/>
      <c r="Z54" s="7">
        <v>14040000000</v>
      </c>
      <c r="AA54" s="7">
        <v>14040000000</v>
      </c>
      <c r="AB54" s="9">
        <v>28080000000</v>
      </c>
      <c r="AC54" s="9">
        <v>56160000000</v>
      </c>
      <c r="AD54" s="10">
        <v>2808000000</v>
      </c>
      <c r="AE54" s="10">
        <v>2808000000</v>
      </c>
      <c r="AF54" s="10">
        <v>2808000000</v>
      </c>
      <c r="AG54" s="10">
        <v>2808000000</v>
      </c>
      <c r="AH54" s="10">
        <v>2808000000</v>
      </c>
    </row>
    <row r="55" spans="1:34" x14ac:dyDescent="0.25">
      <c r="A55" s="5">
        <v>68</v>
      </c>
      <c r="B55" s="36" t="s">
        <v>145</v>
      </c>
      <c r="C55" s="5" t="s">
        <v>146</v>
      </c>
      <c r="D55" s="6">
        <v>39522</v>
      </c>
      <c r="E55" s="7">
        <v>330955269476</v>
      </c>
      <c r="F55" s="7">
        <v>278236534771</v>
      </c>
      <c r="G55" s="7">
        <v>275782172710</v>
      </c>
      <c r="H55" s="8">
        <v>258162529531</v>
      </c>
      <c r="I55" s="8">
        <v>290500335235</v>
      </c>
      <c r="J55" s="16">
        <v>-9041326115</v>
      </c>
      <c r="K55" s="7">
        <v>3488737738</v>
      </c>
      <c r="L55" s="7">
        <v>8334858402</v>
      </c>
      <c r="M55" s="18">
        <v>-9484670499</v>
      </c>
      <c r="N55" s="18">
        <v>-1411679112</v>
      </c>
      <c r="Y55" s="38"/>
      <c r="Z55" s="38"/>
      <c r="AA55" s="38"/>
      <c r="AB55" s="21"/>
      <c r="AC55" s="21"/>
      <c r="AD55" s="10">
        <v>668000089</v>
      </c>
      <c r="AE55" s="10">
        <v>668000089</v>
      </c>
      <c r="AF55" s="10">
        <v>668000089</v>
      </c>
      <c r="AG55" s="10">
        <v>668000089</v>
      </c>
      <c r="AH55" s="10">
        <v>668000089</v>
      </c>
    </row>
    <row r="56" spans="1:34" x14ac:dyDescent="0.25">
      <c r="A56" s="5">
        <v>69</v>
      </c>
      <c r="B56" s="36" t="s">
        <v>147</v>
      </c>
      <c r="C56" s="5" t="s">
        <v>148</v>
      </c>
      <c r="D56" s="6">
        <v>33315</v>
      </c>
      <c r="E56" s="7">
        <v>27645118000000</v>
      </c>
      <c r="F56" s="7">
        <v>29109408000000</v>
      </c>
      <c r="G56" s="7">
        <v>31159291000000</v>
      </c>
      <c r="H56" s="17">
        <v>35446051000000</v>
      </c>
      <c r="I56" s="17">
        <v>39847545000000</v>
      </c>
      <c r="J56" s="7">
        <v>4551485000000</v>
      </c>
      <c r="K56" s="7">
        <v>3642226000000</v>
      </c>
      <c r="L56" s="7">
        <v>3845833000000</v>
      </c>
      <c r="M56" s="17">
        <v>3619010000000</v>
      </c>
      <c r="N56" s="17">
        <v>2930357000000</v>
      </c>
      <c r="Y56" s="7">
        <v>918288000000</v>
      </c>
      <c r="Z56" s="7">
        <v>1934964000000</v>
      </c>
      <c r="AA56" s="9">
        <v>1328238000000</v>
      </c>
      <c r="AB56" s="9">
        <v>1836576000000</v>
      </c>
      <c r="AC56" s="9">
        <v>1770984000000</v>
      </c>
      <c r="AD56" s="10">
        <v>16398000000</v>
      </c>
      <c r="AE56" s="10">
        <v>16398000000</v>
      </c>
      <c r="AF56" s="10">
        <v>16398000000</v>
      </c>
      <c r="AG56" s="10">
        <v>16398000000</v>
      </c>
      <c r="AH56" s="10">
        <v>16398000000</v>
      </c>
    </row>
    <row r="57" spans="1:34" x14ac:dyDescent="0.25">
      <c r="A57" s="5">
        <v>70</v>
      </c>
      <c r="B57" s="36" t="s">
        <v>149</v>
      </c>
      <c r="C57" s="5" t="s">
        <v>150</v>
      </c>
      <c r="D57" s="6">
        <v>32804</v>
      </c>
      <c r="E57" s="7">
        <v>6572440000000</v>
      </c>
      <c r="F57" s="9">
        <v>6000259000000</v>
      </c>
      <c r="G57" s="7">
        <v>6326293000000</v>
      </c>
      <c r="H57" s="17">
        <v>6444438000000</v>
      </c>
      <c r="I57" s="17">
        <v>6833737000000</v>
      </c>
      <c r="J57" s="7">
        <v>1722704000000</v>
      </c>
      <c r="K57" s="22">
        <v>-348863000000</v>
      </c>
      <c r="L57" s="7">
        <v>381422000000</v>
      </c>
      <c r="M57" s="17">
        <v>2209313000000</v>
      </c>
      <c r="N57" s="17">
        <v>373978000000</v>
      </c>
      <c r="Y57" s="38"/>
      <c r="Z57" s="39"/>
      <c r="AA57" s="39"/>
      <c r="AB57" s="9">
        <v>670000000</v>
      </c>
      <c r="AC57" s="21"/>
      <c r="AD57" s="10">
        <v>59572382787</v>
      </c>
      <c r="AE57" s="10">
        <v>59572382787</v>
      </c>
      <c r="AF57" s="10">
        <v>59572382787</v>
      </c>
      <c r="AG57" s="10">
        <v>59572382787</v>
      </c>
      <c r="AH57" s="10">
        <v>59572382787</v>
      </c>
    </row>
    <row r="58" spans="1:34" x14ac:dyDescent="0.25">
      <c r="A58" s="5">
        <v>72</v>
      </c>
      <c r="B58" s="36" t="s">
        <v>154</v>
      </c>
      <c r="C58" s="5" t="s">
        <v>155</v>
      </c>
      <c r="D58" s="6">
        <v>38758</v>
      </c>
      <c r="E58" s="7">
        <v>23038028000000</v>
      </c>
      <c r="F58" s="7">
        <v>26650895000000</v>
      </c>
      <c r="G58" s="7">
        <v>25951760000000</v>
      </c>
      <c r="H58" s="17">
        <v>28589656000000</v>
      </c>
      <c r="I58" s="17">
        <v>32690887000000</v>
      </c>
      <c r="J58" s="7">
        <v>2253201000000</v>
      </c>
      <c r="K58" s="7">
        <v>1793914000000</v>
      </c>
      <c r="L58" s="7">
        <v>1221904000000</v>
      </c>
      <c r="M58" s="17">
        <v>2130896000000</v>
      </c>
      <c r="N58" s="8">
        <v>1490931000000</v>
      </c>
      <c r="Y58" s="7">
        <v>1205915000000</v>
      </c>
      <c r="Z58" s="7">
        <v>638281000000</v>
      </c>
      <c r="AA58" s="7">
        <v>258375000000</v>
      </c>
      <c r="AB58" s="21"/>
      <c r="AC58" s="9">
        <v>724969000000</v>
      </c>
      <c r="AD58" s="10">
        <v>11726575201</v>
      </c>
      <c r="AE58" s="10">
        <v>11726575201</v>
      </c>
      <c r="AF58" s="10">
        <v>11726575201</v>
      </c>
      <c r="AG58" s="10">
        <v>11726575201</v>
      </c>
      <c r="AH58" s="8">
        <v>11726575201</v>
      </c>
    </row>
    <row r="59" spans="1:34" x14ac:dyDescent="0.25">
      <c r="A59" s="5">
        <v>73</v>
      </c>
      <c r="B59" s="36" t="s">
        <v>156</v>
      </c>
      <c r="C59" s="5" t="s">
        <v>157</v>
      </c>
      <c r="D59" s="6">
        <v>35426</v>
      </c>
      <c r="E59" s="7">
        <v>4335844455000</v>
      </c>
      <c r="F59" s="7">
        <v>4648577041000</v>
      </c>
      <c r="G59" s="7">
        <v>4674206873000</v>
      </c>
      <c r="H59" s="8">
        <v>5436745210000</v>
      </c>
      <c r="I59" s="17">
        <v>5746998087000</v>
      </c>
      <c r="J59" s="7">
        <v>284246878000</v>
      </c>
      <c r="K59" s="7">
        <v>152425111000</v>
      </c>
      <c r="L59" s="16">
        <v>-38953042000</v>
      </c>
      <c r="M59" s="8">
        <v>60376485000</v>
      </c>
      <c r="N59" s="8">
        <v>26217657000</v>
      </c>
      <c r="Y59" s="7">
        <v>35820000000</v>
      </c>
      <c r="Z59" s="7">
        <v>49252500000</v>
      </c>
      <c r="AA59" s="7">
        <v>131000000</v>
      </c>
      <c r="AB59" s="21"/>
      <c r="AC59" s="9">
        <v>159600000</v>
      </c>
      <c r="AD59" s="10">
        <v>2238750000</v>
      </c>
      <c r="AE59" s="10">
        <v>2238750000</v>
      </c>
      <c r="AF59" s="10">
        <v>2238750000</v>
      </c>
      <c r="AG59" s="10">
        <v>2238750000</v>
      </c>
      <c r="AH59" s="9">
        <v>2238750000</v>
      </c>
    </row>
    <row r="60" spans="1:34" x14ac:dyDescent="0.25">
      <c r="A60" s="5">
        <v>74</v>
      </c>
      <c r="B60" s="5" t="s">
        <v>158</v>
      </c>
      <c r="C60" s="5" t="s">
        <v>159</v>
      </c>
      <c r="D60" s="6">
        <v>35426</v>
      </c>
      <c r="E60" s="7">
        <v>2187879000000</v>
      </c>
      <c r="F60" s="7">
        <v>2470793000000</v>
      </c>
      <c r="G60" s="9">
        <v>2592850000000</v>
      </c>
      <c r="H60" s="8">
        <v>2787550000000</v>
      </c>
      <c r="I60" s="17">
        <v>3002424000000</v>
      </c>
      <c r="J60" s="7">
        <v>25934000000</v>
      </c>
      <c r="K60" s="7">
        <v>79776000000</v>
      </c>
      <c r="L60" s="9">
        <v>28266000000</v>
      </c>
      <c r="M60" s="18">
        <v>-11777000000</v>
      </c>
      <c r="N60" s="18">
        <v>-218103000000</v>
      </c>
      <c r="Y60" s="38"/>
      <c r="Z60" s="38"/>
      <c r="AA60" s="39"/>
      <c r="AB60" s="21"/>
      <c r="AC60" s="21"/>
      <c r="AD60" s="10">
        <v>1339102579</v>
      </c>
      <c r="AE60" s="10">
        <v>1339102579</v>
      </c>
      <c r="AF60" s="9">
        <v>1339102579</v>
      </c>
      <c r="AG60" s="9">
        <v>1339102579</v>
      </c>
      <c r="AH60" s="9">
        <v>1339102579</v>
      </c>
    </row>
    <row r="61" spans="1:34" x14ac:dyDescent="0.25">
      <c r="A61" s="5">
        <v>77</v>
      </c>
      <c r="B61" s="5" t="s">
        <v>164</v>
      </c>
      <c r="C61" s="5" t="s">
        <v>165</v>
      </c>
      <c r="D61" s="6">
        <v>34414</v>
      </c>
      <c r="E61" s="14">
        <v>101190118</v>
      </c>
      <c r="F61" s="13">
        <v>105039965</v>
      </c>
      <c r="G61" s="13">
        <v>85099322</v>
      </c>
      <c r="H61" s="24">
        <v>89708022</v>
      </c>
      <c r="I61" s="24">
        <v>61550680</v>
      </c>
      <c r="J61" s="9">
        <v>3267396</v>
      </c>
      <c r="K61" s="16">
        <v>-9255126</v>
      </c>
      <c r="L61" s="16">
        <v>-21055729</v>
      </c>
      <c r="M61" s="24">
        <v>3619098</v>
      </c>
      <c r="N61" s="24">
        <v>37887425</v>
      </c>
      <c r="Y61" s="39"/>
      <c r="Z61" s="38"/>
      <c r="AA61" s="38"/>
      <c r="AB61" s="21"/>
      <c r="AC61" s="21"/>
      <c r="AD61" s="9">
        <v>3986916802</v>
      </c>
      <c r="AE61" s="9">
        <v>3986916802</v>
      </c>
      <c r="AF61" s="9">
        <v>3986916802</v>
      </c>
      <c r="AG61" s="9">
        <v>3986916802</v>
      </c>
      <c r="AH61" s="8">
        <v>4076916802</v>
      </c>
    </row>
    <row r="62" spans="1:34" x14ac:dyDescent="0.25">
      <c r="A62" s="5">
        <v>78</v>
      </c>
      <c r="B62" s="5" t="s">
        <v>166</v>
      </c>
      <c r="C62" s="5" t="s">
        <v>167</v>
      </c>
      <c r="D62" s="6">
        <v>36507</v>
      </c>
      <c r="E62" s="7">
        <v>923366433799</v>
      </c>
      <c r="F62" s="7">
        <v>895683018081</v>
      </c>
      <c r="G62" s="7">
        <v>394725543723</v>
      </c>
      <c r="H62" s="8">
        <v>282668964144</v>
      </c>
      <c r="I62" s="8">
        <v>252098033300</v>
      </c>
      <c r="J62" s="16">
        <v>-36477174515</v>
      </c>
      <c r="K62" s="16">
        <v>-51742898055</v>
      </c>
      <c r="L62" s="16">
        <v>-414398439415</v>
      </c>
      <c r="M62" s="18">
        <v>-126517856201</v>
      </c>
      <c r="N62" s="18">
        <v>-86345480189</v>
      </c>
      <c r="Y62" s="38"/>
      <c r="Z62" s="38"/>
      <c r="AA62" s="38"/>
      <c r="AB62" s="21"/>
      <c r="AC62" s="21"/>
      <c r="AD62" s="9">
        <v>1011774750</v>
      </c>
      <c r="AE62" s="9">
        <v>1011774750</v>
      </c>
      <c r="AF62" s="9">
        <v>1011774750</v>
      </c>
      <c r="AG62" s="9">
        <v>1011774750</v>
      </c>
      <c r="AH62" s="8">
        <v>1011774750</v>
      </c>
    </row>
    <row r="63" spans="1:34" x14ac:dyDescent="0.25">
      <c r="A63" s="5">
        <v>79</v>
      </c>
      <c r="B63" s="5" t="s">
        <v>168</v>
      </c>
      <c r="C63" s="5" t="s">
        <v>169</v>
      </c>
      <c r="D63" s="6">
        <v>40736</v>
      </c>
      <c r="E63" s="7">
        <v>526129315163</v>
      </c>
      <c r="F63" s="7">
        <v>925114449507</v>
      </c>
      <c r="G63" s="7">
        <v>953551967212</v>
      </c>
      <c r="H63" s="8">
        <v>1210809442028</v>
      </c>
      <c r="I63" s="8">
        <v>1568806950187</v>
      </c>
      <c r="J63" s="7">
        <v>42506275523</v>
      </c>
      <c r="K63" s="7">
        <v>78421735355</v>
      </c>
      <c r="L63" s="7">
        <v>65331041553</v>
      </c>
      <c r="M63" s="8">
        <v>100771009640</v>
      </c>
      <c r="N63" s="35">
        <v>65764485236</v>
      </c>
      <c r="Y63" s="7">
        <v>880000000</v>
      </c>
      <c r="Z63" s="7">
        <v>1210000000</v>
      </c>
      <c r="AA63" s="7">
        <v>1204787320</v>
      </c>
      <c r="AB63" s="8">
        <v>1626420150</v>
      </c>
      <c r="AC63" s="8">
        <v>2081817792</v>
      </c>
      <c r="AD63" s="9">
        <v>550000000</v>
      </c>
      <c r="AE63" s="9">
        <v>1100000000</v>
      </c>
      <c r="AF63" s="9">
        <v>1100000000</v>
      </c>
      <c r="AG63" s="9">
        <v>1316856020</v>
      </c>
      <c r="AH63" s="8">
        <v>1316856309</v>
      </c>
    </row>
    <row r="64" spans="1:34" x14ac:dyDescent="0.25">
      <c r="A64" s="5">
        <v>80</v>
      </c>
      <c r="B64" s="5" t="s">
        <v>170</v>
      </c>
      <c r="C64" s="5" t="s">
        <v>171</v>
      </c>
      <c r="D64" s="6">
        <v>34669</v>
      </c>
      <c r="E64" s="7">
        <v>10965118708784</v>
      </c>
      <c r="F64" s="7">
        <v>10751992944302</v>
      </c>
      <c r="G64" s="9">
        <v>11513044288721</v>
      </c>
      <c r="H64" s="8">
        <v>13302224000000</v>
      </c>
      <c r="I64" s="8">
        <v>12877846000000</v>
      </c>
      <c r="J64" s="7">
        <v>1405367771073</v>
      </c>
      <c r="K64" s="7">
        <v>968833390696</v>
      </c>
      <c r="L64" s="9">
        <v>353299343980</v>
      </c>
      <c r="M64" s="8">
        <v>617427000000</v>
      </c>
      <c r="N64" s="8">
        <v>119926000000</v>
      </c>
      <c r="Y64" s="7">
        <v>401417983494</v>
      </c>
      <c r="Z64" s="7">
        <v>569914421010</v>
      </c>
      <c r="AA64" s="9">
        <v>455931536808</v>
      </c>
      <c r="AB64" s="9">
        <v>173452000000</v>
      </c>
      <c r="AC64" s="9">
        <v>294869000000</v>
      </c>
      <c r="AD64" s="9">
        <v>2477888787</v>
      </c>
      <c r="AE64" s="9">
        <v>2477888787</v>
      </c>
      <c r="AF64" s="9">
        <v>2477888787</v>
      </c>
      <c r="AG64" s="9">
        <v>2477888787</v>
      </c>
      <c r="AH64" s="9">
        <v>2477888787</v>
      </c>
    </row>
    <row r="65" spans="1:34" x14ac:dyDescent="0.25">
      <c r="A65" s="5">
        <v>81</v>
      </c>
      <c r="B65" s="5" t="s">
        <v>172</v>
      </c>
      <c r="C65" s="5" t="s">
        <v>173</v>
      </c>
      <c r="D65" s="6">
        <v>33070</v>
      </c>
      <c r="E65" s="13">
        <v>8751013000</v>
      </c>
      <c r="F65" s="13">
        <v>8502050000</v>
      </c>
      <c r="G65" s="14">
        <v>8496277000</v>
      </c>
      <c r="H65" s="40">
        <v>13302224</v>
      </c>
      <c r="I65" s="40">
        <v>9640721000</v>
      </c>
      <c r="J65" s="7">
        <v>274390000</v>
      </c>
      <c r="K65" s="14">
        <v>294041000</v>
      </c>
      <c r="L65" s="9">
        <v>593101000</v>
      </c>
      <c r="M65" s="40">
        <v>527039000</v>
      </c>
      <c r="N65" s="40">
        <v>857462000</v>
      </c>
      <c r="Y65" s="7">
        <v>39216000</v>
      </c>
      <c r="Z65" s="7">
        <v>38033000</v>
      </c>
      <c r="AA65" s="9">
        <v>18691000</v>
      </c>
      <c r="AB65" s="13">
        <v>18691000</v>
      </c>
      <c r="AC65" s="13">
        <v>18877000</v>
      </c>
      <c r="AD65" s="9">
        <v>5470982941</v>
      </c>
      <c r="AE65" s="9">
        <v>5470982941</v>
      </c>
      <c r="AF65" s="9">
        <v>5470982941</v>
      </c>
      <c r="AG65" s="9">
        <v>5470982941</v>
      </c>
      <c r="AH65" s="9">
        <v>5470982941</v>
      </c>
    </row>
    <row r="66" spans="1:34" x14ac:dyDescent="0.25">
      <c r="A66" s="5">
        <v>82</v>
      </c>
      <c r="B66" s="5" t="s">
        <v>174</v>
      </c>
      <c r="C66" s="5" t="s">
        <v>175</v>
      </c>
      <c r="D66" s="6">
        <v>33042</v>
      </c>
      <c r="E66" s="13">
        <v>411225000</v>
      </c>
      <c r="F66" s="13">
        <v>433447000</v>
      </c>
      <c r="G66" s="13">
        <v>429841000</v>
      </c>
      <c r="H66" s="24">
        <v>474684000</v>
      </c>
      <c r="I66" s="24">
        <v>467802000</v>
      </c>
      <c r="J66" s="16">
        <v>-629000</v>
      </c>
      <c r="K66" s="16">
        <v>-19460000</v>
      </c>
      <c r="L66" s="13">
        <v>3749000</v>
      </c>
      <c r="M66" s="24">
        <v>618000</v>
      </c>
      <c r="N66" s="24">
        <v>-20489000</v>
      </c>
      <c r="Y66" s="38"/>
      <c r="Z66" s="38"/>
      <c r="AA66" s="38"/>
      <c r="AB66" s="21"/>
      <c r="AC66" s="21"/>
      <c r="AD66" s="9">
        <v>1388883283</v>
      </c>
      <c r="AE66" s="9">
        <v>1388883283</v>
      </c>
      <c r="AF66" s="9">
        <v>1388883283</v>
      </c>
      <c r="AG66" s="9">
        <v>1388883283</v>
      </c>
      <c r="AH66" s="9">
        <v>1388883283</v>
      </c>
    </row>
    <row r="67" spans="1:34" x14ac:dyDescent="0.25">
      <c r="A67" s="5">
        <v>83</v>
      </c>
      <c r="B67" s="5" t="s">
        <v>176</v>
      </c>
      <c r="C67" s="5" t="s">
        <v>177</v>
      </c>
      <c r="D67" s="6">
        <v>39640</v>
      </c>
      <c r="E67" s="7">
        <v>1058927511760</v>
      </c>
      <c r="F67" s="29"/>
      <c r="G67" s="29"/>
      <c r="H67" s="29"/>
      <c r="I67" s="29"/>
      <c r="J67" s="7">
        <v>-124767897543</v>
      </c>
      <c r="K67" s="29"/>
      <c r="L67" s="29"/>
      <c r="M67" s="29"/>
      <c r="N67" s="29"/>
      <c r="Y67" s="38"/>
      <c r="Z67" s="29"/>
      <c r="AA67" s="29"/>
      <c r="AB67" s="29"/>
      <c r="AC67" s="27"/>
      <c r="AD67" s="9">
        <v>8687995734</v>
      </c>
      <c r="AE67" s="41"/>
      <c r="AF67" s="41"/>
      <c r="AG67" s="30"/>
      <c r="AH67" s="27"/>
    </row>
    <row r="68" spans="1:34" x14ac:dyDescent="0.25">
      <c r="A68" s="5">
        <v>84</v>
      </c>
      <c r="B68" s="5" t="s">
        <v>178</v>
      </c>
      <c r="C68" s="5" t="s">
        <v>179</v>
      </c>
      <c r="D68" s="6">
        <v>35275</v>
      </c>
      <c r="E68" s="7">
        <v>1391416464512</v>
      </c>
      <c r="F68" s="7">
        <v>1253650408375</v>
      </c>
      <c r="G68" s="7">
        <v>1245707236962</v>
      </c>
      <c r="H68" s="7">
        <v>1353868759222</v>
      </c>
      <c r="I68" s="7">
        <v>1289211450108</v>
      </c>
      <c r="J68" s="7">
        <v>76761902211</v>
      </c>
      <c r="K68" s="7">
        <v>64090903507</v>
      </c>
      <c r="L68" s="7">
        <v>60178290460</v>
      </c>
      <c r="M68" s="7">
        <v>69347927958</v>
      </c>
      <c r="N68" s="7">
        <v>76150458446</v>
      </c>
      <c r="Y68" s="38"/>
      <c r="Z68" s="38"/>
      <c r="AA68" s="38"/>
      <c r="AB68" s="9">
        <v>10125000000</v>
      </c>
      <c r="AC68" s="9">
        <v>40500000000</v>
      </c>
      <c r="AD68" s="10">
        <v>405000000</v>
      </c>
      <c r="AE68" s="10">
        <v>405000000</v>
      </c>
      <c r="AF68" s="10">
        <v>405000000</v>
      </c>
      <c r="AG68" s="10">
        <v>405000000</v>
      </c>
      <c r="AH68" s="10">
        <v>405000000</v>
      </c>
    </row>
    <row r="69" spans="1:34" x14ac:dyDescent="0.25">
      <c r="A69" s="5">
        <v>85</v>
      </c>
      <c r="B69" s="5" t="s">
        <v>180</v>
      </c>
      <c r="C69" s="5" t="s">
        <v>181</v>
      </c>
      <c r="D69" s="6">
        <v>34654</v>
      </c>
      <c r="E69" s="7">
        <v>2282845632924</v>
      </c>
      <c r="F69" s="7">
        <v>2372130750775</v>
      </c>
      <c r="G69" s="7">
        <v>2316065006133</v>
      </c>
      <c r="H69" s="8">
        <v>2746153295147</v>
      </c>
      <c r="I69" s="8">
        <v>3239231499990</v>
      </c>
      <c r="J69" s="7">
        <v>82232722269</v>
      </c>
      <c r="K69" s="7">
        <v>131005670940</v>
      </c>
      <c r="L69" s="7">
        <v>162524650713</v>
      </c>
      <c r="M69" s="8">
        <v>294325560054</v>
      </c>
      <c r="N69" s="8">
        <v>336138349494</v>
      </c>
      <c r="Y69" s="38"/>
      <c r="Z69" s="38"/>
      <c r="AA69" s="38"/>
      <c r="AB69" s="9">
        <v>31718564370</v>
      </c>
      <c r="AC69" s="21"/>
      <c r="AD69" s="10">
        <v>2114570958</v>
      </c>
      <c r="AE69" s="10">
        <v>2114570958</v>
      </c>
      <c r="AF69" s="10">
        <v>2114570958</v>
      </c>
      <c r="AG69" s="10">
        <v>2791233198</v>
      </c>
      <c r="AH69" s="8">
        <v>3154092216</v>
      </c>
    </row>
    <row r="70" spans="1:34" x14ac:dyDescent="0.25">
      <c r="A70" s="5">
        <v>86</v>
      </c>
      <c r="B70" s="5" t="s">
        <v>182</v>
      </c>
      <c r="C70" s="5" t="s">
        <v>183</v>
      </c>
      <c r="D70" s="6">
        <v>43259</v>
      </c>
      <c r="E70" s="7">
        <v>550572793185</v>
      </c>
      <c r="F70" s="7">
        <v>605688084522</v>
      </c>
      <c r="G70" s="7">
        <v>640935546558</v>
      </c>
      <c r="H70" s="7">
        <v>684897530877</v>
      </c>
      <c r="I70" s="7">
        <v>658095214477</v>
      </c>
      <c r="J70" s="7">
        <v>2458835754</v>
      </c>
      <c r="K70" s="7">
        <v>3102078183</v>
      </c>
      <c r="L70" s="7">
        <v>2145671792</v>
      </c>
      <c r="M70" s="16">
        <v>-70292205107</v>
      </c>
      <c r="N70" s="16">
        <v>-58055548884</v>
      </c>
      <c r="Y70" s="38"/>
      <c r="Z70" s="38"/>
      <c r="AA70" s="38"/>
      <c r="AB70" s="38"/>
      <c r="AC70" s="38"/>
      <c r="AD70" s="10">
        <v>3019200000</v>
      </c>
      <c r="AE70" s="10">
        <v>3019200000</v>
      </c>
      <c r="AF70" s="10">
        <v>3019200000</v>
      </c>
      <c r="AG70" s="10">
        <v>3019200000</v>
      </c>
      <c r="AH70" s="10">
        <v>3019200000</v>
      </c>
    </row>
    <row r="71" spans="1:34" x14ac:dyDescent="0.25">
      <c r="A71" s="5">
        <v>87</v>
      </c>
      <c r="B71" s="5" t="s">
        <v>184</v>
      </c>
      <c r="C71" s="5" t="s">
        <v>185</v>
      </c>
      <c r="D71" s="6">
        <v>32966</v>
      </c>
      <c r="E71" s="7">
        <v>2965136000</v>
      </c>
      <c r="F71" s="13">
        <v>3062331000</v>
      </c>
      <c r="G71" s="14">
        <v>3073164000</v>
      </c>
      <c r="H71" s="40">
        <v>3161834000</v>
      </c>
      <c r="I71" s="40">
        <v>3545180000</v>
      </c>
      <c r="J71" s="7">
        <v>245709000</v>
      </c>
      <c r="K71" s="13">
        <v>166516000</v>
      </c>
      <c r="L71" s="14">
        <v>148334000</v>
      </c>
      <c r="M71" s="40">
        <v>248362000</v>
      </c>
      <c r="N71" s="8">
        <v>463345000</v>
      </c>
      <c r="Y71" s="7">
        <v>6695000</v>
      </c>
      <c r="Z71" s="7">
        <v>10821000</v>
      </c>
      <c r="AA71" s="9">
        <v>5318000</v>
      </c>
      <c r="AB71" s="9">
        <v>5371000</v>
      </c>
      <c r="AC71" s="9">
        <v>5351000</v>
      </c>
      <c r="AD71" s="9">
        <v>3113223570</v>
      </c>
      <c r="AE71" s="9">
        <v>3113223570</v>
      </c>
      <c r="AF71" s="9">
        <v>3113223570</v>
      </c>
      <c r="AG71" s="9">
        <v>3113223570</v>
      </c>
      <c r="AH71" s="9">
        <v>3113223570</v>
      </c>
    </row>
    <row r="72" spans="1:34" x14ac:dyDescent="0.25">
      <c r="A72" s="5">
        <v>89</v>
      </c>
      <c r="B72" s="5" t="s">
        <v>188</v>
      </c>
      <c r="C72" s="5" t="s">
        <v>189</v>
      </c>
      <c r="D72" s="6">
        <v>32860</v>
      </c>
      <c r="E72" s="9">
        <v>534676677468</v>
      </c>
      <c r="F72" s="7">
        <v>467727877054</v>
      </c>
      <c r="G72" s="7">
        <v>486076522777</v>
      </c>
      <c r="H72" s="8">
        <v>540054244827</v>
      </c>
      <c r="I72" s="8">
        <v>464408648410</v>
      </c>
      <c r="J72" s="9">
        <v>4470170253</v>
      </c>
      <c r="K72" s="16">
        <v>-4223774106</v>
      </c>
      <c r="L72" s="16">
        <v>-6805143468</v>
      </c>
      <c r="M72" s="8">
        <v>742939617</v>
      </c>
      <c r="N72" s="8">
        <v>-1192790627</v>
      </c>
      <c r="Y72" s="39"/>
      <c r="Z72" s="38"/>
      <c r="AA72" s="38"/>
      <c r="AB72" s="21"/>
      <c r="AC72" s="21"/>
      <c r="AD72" s="9">
        <v>1438370465</v>
      </c>
      <c r="AE72" s="9">
        <v>1438370465</v>
      </c>
      <c r="AF72" s="9">
        <v>1438370465</v>
      </c>
      <c r="AG72" s="9">
        <v>1438370465</v>
      </c>
      <c r="AH72" s="9">
        <v>1438370465</v>
      </c>
    </row>
    <row r="73" spans="1:34" x14ac:dyDescent="0.25">
      <c r="A73" s="5">
        <v>91</v>
      </c>
      <c r="B73" s="5" t="s">
        <v>192</v>
      </c>
      <c r="C73" s="5" t="s">
        <v>193</v>
      </c>
      <c r="D73" s="6">
        <v>42905</v>
      </c>
      <c r="E73" s="7">
        <v>3548239174625</v>
      </c>
      <c r="F73" s="7">
        <v>4084828309213</v>
      </c>
      <c r="G73" s="7">
        <v>5127760608990</v>
      </c>
      <c r="H73" s="8">
        <v>5575135591236</v>
      </c>
      <c r="I73" s="8">
        <v>4798796482352</v>
      </c>
      <c r="J73" s="7">
        <v>1585148671</v>
      </c>
      <c r="K73" s="7">
        <v>14671516876</v>
      </c>
      <c r="L73" s="7">
        <v>197498349769</v>
      </c>
      <c r="M73" s="8">
        <v>81527139693</v>
      </c>
      <c r="N73" s="8">
        <v>-29659917082</v>
      </c>
      <c r="Y73" s="7">
        <v>132684548160</v>
      </c>
      <c r="Z73" s="38"/>
      <c r="AA73" s="38"/>
      <c r="AB73" s="9">
        <v>98748703876</v>
      </c>
      <c r="AC73" s="9">
        <v>40748217240</v>
      </c>
      <c r="AD73" s="10">
        <v>7682950000</v>
      </c>
      <c r="AE73" s="10">
        <v>8215366379</v>
      </c>
      <c r="AF73" s="10">
        <v>8215366379</v>
      </c>
      <c r="AG73" s="25">
        <v>8215366379</v>
      </c>
      <c r="AH73" s="10">
        <v>8215366379</v>
      </c>
    </row>
    <row r="74" spans="1:34" x14ac:dyDescent="0.25">
      <c r="A74" s="5">
        <v>92</v>
      </c>
      <c r="B74" s="5" t="s">
        <v>194</v>
      </c>
      <c r="C74" s="5" t="s">
        <v>195</v>
      </c>
      <c r="D74" s="6">
        <v>42348</v>
      </c>
      <c r="E74" s="43">
        <v>404722056954</v>
      </c>
      <c r="F74" s="43">
        <v>420680923158</v>
      </c>
      <c r="G74" s="7">
        <v>350375482319</v>
      </c>
      <c r="H74" s="29"/>
      <c r="I74" s="29"/>
      <c r="J74" s="43">
        <v>32352159254</v>
      </c>
      <c r="K74" s="7">
        <v>10231229929</v>
      </c>
      <c r="L74" s="16">
        <v>-57108102152</v>
      </c>
      <c r="M74" s="29"/>
      <c r="N74" s="29"/>
      <c r="Y74" s="43">
        <v>8640000000</v>
      </c>
      <c r="Z74" s="7">
        <v>8640000000</v>
      </c>
      <c r="AA74" s="38"/>
      <c r="AB74" s="29"/>
      <c r="AC74" s="27"/>
      <c r="AD74" s="44">
        <v>1080000000</v>
      </c>
      <c r="AE74" s="9">
        <v>1080000000</v>
      </c>
      <c r="AF74" s="9">
        <v>1080000000</v>
      </c>
      <c r="AG74" s="27"/>
      <c r="AH74" s="27"/>
    </row>
    <row r="75" spans="1:34" x14ac:dyDescent="0.25">
      <c r="A75" s="5">
        <v>94</v>
      </c>
      <c r="B75" s="5" t="s">
        <v>198</v>
      </c>
      <c r="C75" s="5" t="s">
        <v>199</v>
      </c>
      <c r="D75" s="6">
        <v>43018</v>
      </c>
      <c r="E75" s="13">
        <v>742548016</v>
      </c>
      <c r="F75" s="13">
        <v>756390458</v>
      </c>
      <c r="G75" s="13">
        <v>520855088</v>
      </c>
      <c r="H75" s="24">
        <v>397415973</v>
      </c>
      <c r="I75" s="24">
        <v>390658710</v>
      </c>
      <c r="J75" s="7">
        <v>30544859</v>
      </c>
      <c r="K75" s="16">
        <v>-54013803</v>
      </c>
      <c r="L75" s="16">
        <v>-328760804</v>
      </c>
      <c r="M75" s="18">
        <v>-127351803</v>
      </c>
      <c r="N75" s="24">
        <v>3628331</v>
      </c>
      <c r="Y75" s="7">
        <v>10189270</v>
      </c>
      <c r="Z75" s="7">
        <v>6108972</v>
      </c>
      <c r="AA75" s="38"/>
      <c r="AB75" s="38"/>
      <c r="AC75" s="21"/>
      <c r="AD75" s="10">
        <v>28233511500</v>
      </c>
      <c r="AE75" s="10">
        <v>28233511500</v>
      </c>
      <c r="AF75" s="10">
        <v>28233511500</v>
      </c>
      <c r="AG75" s="10">
        <v>28233511500</v>
      </c>
      <c r="AH75" s="10">
        <v>28233511500</v>
      </c>
    </row>
    <row r="76" spans="1:34" x14ac:dyDescent="0.25">
      <c r="A76" s="5">
        <v>96</v>
      </c>
      <c r="B76" s="5" t="s">
        <v>202</v>
      </c>
      <c r="C76" s="5" t="s">
        <v>203</v>
      </c>
      <c r="D76" s="6">
        <v>43259</v>
      </c>
      <c r="E76" s="7">
        <v>753736481783</v>
      </c>
      <c r="F76" s="7">
        <v>756289935459</v>
      </c>
      <c r="G76" s="29"/>
      <c r="H76" s="29"/>
      <c r="I76" s="29"/>
      <c r="J76" s="7">
        <v>1394824804</v>
      </c>
      <c r="K76" s="16">
        <v>-3149481211</v>
      </c>
      <c r="L76" s="29"/>
      <c r="M76" s="29"/>
      <c r="N76" s="29"/>
      <c r="Y76" s="21"/>
      <c r="Z76" s="21"/>
      <c r="AA76" s="29"/>
      <c r="AB76" s="29"/>
      <c r="AC76" s="27"/>
      <c r="AD76" s="10">
        <v>992362650</v>
      </c>
      <c r="AE76" s="10">
        <v>1069009400</v>
      </c>
      <c r="AF76" s="30"/>
      <c r="AG76" s="30"/>
      <c r="AH76" s="27"/>
    </row>
    <row r="77" spans="1:34" x14ac:dyDescent="0.25">
      <c r="A77" s="5">
        <v>97</v>
      </c>
      <c r="B77" s="5" t="s">
        <v>204</v>
      </c>
      <c r="C77" s="5" t="s">
        <v>205</v>
      </c>
      <c r="D77" s="6">
        <v>41586</v>
      </c>
      <c r="E77" s="7">
        <v>606055631089</v>
      </c>
      <c r="F77" s="29"/>
      <c r="G77" s="29"/>
      <c r="H77" s="29"/>
      <c r="I77" s="29"/>
      <c r="J77" s="16">
        <v>-66731357187</v>
      </c>
      <c r="K77" s="29"/>
      <c r="L77" s="29"/>
      <c r="M77" s="29"/>
      <c r="N77" s="29"/>
      <c r="Y77" s="21"/>
      <c r="Z77" s="29"/>
      <c r="AA77" s="29"/>
      <c r="AB77" s="29"/>
      <c r="AC77" s="27"/>
      <c r="AD77" s="9">
        <v>971190000</v>
      </c>
      <c r="AE77" s="30"/>
      <c r="AF77" s="30"/>
      <c r="AG77" s="30"/>
      <c r="AH77" s="27"/>
    </row>
    <row r="78" spans="1:34" x14ac:dyDescent="0.25">
      <c r="A78" s="5">
        <v>99</v>
      </c>
      <c r="B78" s="5" t="s">
        <v>208</v>
      </c>
      <c r="C78" s="5" t="s">
        <v>209</v>
      </c>
      <c r="D78" s="6">
        <v>32967</v>
      </c>
      <c r="E78" s="7">
        <v>344711000000000</v>
      </c>
      <c r="F78" s="7">
        <v>351958000000000</v>
      </c>
      <c r="G78" s="9">
        <v>338203000000000</v>
      </c>
      <c r="H78" s="8">
        <v>367311000000000</v>
      </c>
      <c r="I78" s="8">
        <v>413297000000000</v>
      </c>
      <c r="J78" s="7">
        <v>27372000000000</v>
      </c>
      <c r="K78" s="7">
        <v>26621000000000</v>
      </c>
      <c r="L78" s="9">
        <v>18571000000000</v>
      </c>
      <c r="M78" s="8">
        <v>25586000000000</v>
      </c>
      <c r="N78" s="8">
        <v>40420000000000</v>
      </c>
      <c r="Y78" s="7">
        <v>10202000000000</v>
      </c>
      <c r="Z78" s="7">
        <v>11235000000000</v>
      </c>
      <c r="AA78" s="9">
        <v>9423000000000</v>
      </c>
      <c r="AB78" s="9">
        <v>7123000000000</v>
      </c>
      <c r="AC78" s="9">
        <v>15302000000000</v>
      </c>
      <c r="AD78" s="9">
        <v>40483553140</v>
      </c>
      <c r="AE78" s="9">
        <v>40483553140</v>
      </c>
      <c r="AF78" s="9">
        <v>40483553140</v>
      </c>
      <c r="AG78" s="9">
        <v>40483553140</v>
      </c>
      <c r="AH78" s="9">
        <v>40483553140</v>
      </c>
    </row>
    <row r="79" spans="1:34" x14ac:dyDescent="0.25">
      <c r="A79" s="5">
        <v>100</v>
      </c>
      <c r="B79" s="5" t="s">
        <v>210</v>
      </c>
      <c r="C79" s="5" t="s">
        <v>211</v>
      </c>
      <c r="D79" s="6">
        <v>35961</v>
      </c>
      <c r="E79" s="7">
        <v>15889648000000</v>
      </c>
      <c r="F79" s="7">
        <v>16015709000000</v>
      </c>
      <c r="G79" s="7">
        <v>15180094000000</v>
      </c>
      <c r="H79" s="8">
        <v>16947148000000</v>
      </c>
      <c r="I79" s="17">
        <v>18521261000000</v>
      </c>
      <c r="J79" s="7">
        <v>680801000000</v>
      </c>
      <c r="K79" s="7">
        <v>816971000000</v>
      </c>
      <c r="L79" s="16">
        <v>-37864000000</v>
      </c>
      <c r="M79" s="8">
        <v>634931000000</v>
      </c>
      <c r="N79" s="17">
        <v>1474280000000</v>
      </c>
      <c r="Y79" s="7">
        <v>265965000000</v>
      </c>
      <c r="Z79" s="7">
        <v>300103000000</v>
      </c>
      <c r="AA79" s="7">
        <v>241359000000</v>
      </c>
      <c r="AB79" s="9">
        <f>82951000000+53017000000</f>
        <v>135968000000</v>
      </c>
      <c r="AC79" s="9">
        <f>220926000000+106034000000</f>
        <v>326960000000</v>
      </c>
      <c r="AD79" s="9">
        <v>4819733000</v>
      </c>
      <c r="AE79" s="9">
        <v>4819733000</v>
      </c>
      <c r="AF79" s="9">
        <v>4819733000</v>
      </c>
      <c r="AG79" s="9">
        <v>4819733000</v>
      </c>
      <c r="AH79" s="9">
        <v>4819733000</v>
      </c>
    </row>
    <row r="80" spans="1:34" x14ac:dyDescent="0.25">
      <c r="A80" s="5">
        <v>101</v>
      </c>
      <c r="B80" s="5" t="s">
        <v>212</v>
      </c>
      <c r="C80" s="5" t="s">
        <v>213</v>
      </c>
      <c r="D80" s="6">
        <v>42192</v>
      </c>
      <c r="E80" s="7">
        <v>1312376999120</v>
      </c>
      <c r="F80" s="7">
        <v>1265912330625</v>
      </c>
      <c r="G80" s="7">
        <v>1119076870425</v>
      </c>
      <c r="H80" s="8">
        <v>1368411097483</v>
      </c>
      <c r="I80" s="8">
        <v>1405279687983</v>
      </c>
      <c r="J80" s="7">
        <v>75738099614</v>
      </c>
      <c r="K80" s="7">
        <v>51492605525</v>
      </c>
      <c r="L80" s="16">
        <v>-57388292245</v>
      </c>
      <c r="M80" s="8">
        <v>82749100903</v>
      </c>
      <c r="N80" s="8">
        <v>57466752275</v>
      </c>
      <c r="Y80" s="7">
        <v>75000000000</v>
      </c>
      <c r="Z80" s="7">
        <v>28125000000</v>
      </c>
      <c r="AA80" s="38"/>
      <c r="AB80" s="21"/>
      <c r="AC80" s="9">
        <v>30937500000</v>
      </c>
      <c r="AD80" s="9">
        <v>2343750000</v>
      </c>
      <c r="AE80" s="9">
        <v>2343750000</v>
      </c>
      <c r="AF80" s="9">
        <v>2343750000</v>
      </c>
      <c r="AG80" s="9">
        <v>2343750000</v>
      </c>
      <c r="AH80" s="9">
        <v>2343750000</v>
      </c>
    </row>
    <row r="81" spans="1:34" x14ac:dyDescent="0.25">
      <c r="A81" s="5">
        <v>102</v>
      </c>
      <c r="B81" s="5" t="s">
        <v>214</v>
      </c>
      <c r="C81" s="5" t="s">
        <v>215</v>
      </c>
      <c r="D81" s="6">
        <v>33121</v>
      </c>
      <c r="E81" s="13">
        <v>296400018</v>
      </c>
      <c r="F81" s="13">
        <v>279484828</v>
      </c>
      <c r="G81" s="14">
        <v>263740526</v>
      </c>
      <c r="H81" s="40">
        <v>289992314</v>
      </c>
      <c r="I81" s="40">
        <v>290896966</v>
      </c>
      <c r="J81" s="13">
        <v>19377050</v>
      </c>
      <c r="K81" s="13">
        <v>14582693</v>
      </c>
      <c r="L81" s="22">
        <v>-4045417</v>
      </c>
      <c r="M81" s="40">
        <v>26438801</v>
      </c>
      <c r="N81" s="40">
        <v>34919701</v>
      </c>
      <c r="Y81" s="7">
        <f>18937583+3308448</f>
        <v>22246031</v>
      </c>
      <c r="Z81" s="7">
        <v>17678347</v>
      </c>
      <c r="AA81" s="9">
        <v>7707082</v>
      </c>
      <c r="AB81" s="13">
        <v>18942505</v>
      </c>
      <c r="AC81" s="13">
        <v>14926122</v>
      </c>
      <c r="AD81" s="9">
        <v>450000000</v>
      </c>
      <c r="AE81" s="9">
        <v>450000000</v>
      </c>
      <c r="AF81" s="9">
        <v>450000000</v>
      </c>
      <c r="AG81" s="9">
        <v>450000000</v>
      </c>
      <c r="AH81" s="9">
        <v>450000000</v>
      </c>
    </row>
    <row r="82" spans="1:34" x14ac:dyDescent="0.25">
      <c r="A82" s="5">
        <v>104</v>
      </c>
      <c r="B82" s="5" t="s">
        <v>218</v>
      </c>
      <c r="C82" s="5" t="s">
        <v>219</v>
      </c>
      <c r="D82" s="6">
        <v>29556</v>
      </c>
      <c r="E82" s="13">
        <v>126016356</v>
      </c>
      <c r="F82" s="13">
        <v>120360141</v>
      </c>
      <c r="G82" s="13">
        <v>116510444</v>
      </c>
      <c r="H82" s="24">
        <v>119934604</v>
      </c>
      <c r="I82" s="24">
        <v>124391220</v>
      </c>
      <c r="J82" s="13">
        <v>505306</v>
      </c>
      <c r="K82" s="16">
        <v>-1196792</v>
      </c>
      <c r="L82" s="16">
        <v>-7111272</v>
      </c>
      <c r="M82" s="24">
        <v>2434023</v>
      </c>
      <c r="N82" s="24">
        <v>-3114914</v>
      </c>
      <c r="Y82" s="38"/>
      <c r="Z82" s="38"/>
      <c r="AA82" s="38"/>
      <c r="AB82" s="21"/>
      <c r="AC82" s="21"/>
      <c r="AD82" s="14">
        <v>410000000</v>
      </c>
      <c r="AE82" s="14">
        <v>410000000</v>
      </c>
      <c r="AF82" s="14">
        <v>410000000</v>
      </c>
      <c r="AG82" s="14">
        <v>410000000</v>
      </c>
      <c r="AH82" s="14">
        <v>410000000</v>
      </c>
    </row>
    <row r="83" spans="1:34" x14ac:dyDescent="0.25">
      <c r="A83" s="5">
        <v>105</v>
      </c>
      <c r="B83" s="5" t="s">
        <v>220</v>
      </c>
      <c r="C83" s="5" t="s">
        <v>221</v>
      </c>
      <c r="D83" s="6">
        <v>33001</v>
      </c>
      <c r="E83" s="7">
        <v>19711478000000</v>
      </c>
      <c r="F83" s="7">
        <v>18856075000000</v>
      </c>
      <c r="G83" s="7">
        <v>17781660000000</v>
      </c>
      <c r="H83" s="8">
        <v>18400697000000</v>
      </c>
      <c r="I83" s="8">
        <v>19016012000000</v>
      </c>
      <c r="J83" s="16">
        <v>-74557000000</v>
      </c>
      <c r="K83" s="7">
        <v>269107000000</v>
      </c>
      <c r="L83" s="7">
        <v>318914000000</v>
      </c>
      <c r="M83" s="8">
        <v>74027000000</v>
      </c>
      <c r="N83" s="8">
        <v>-190572000000</v>
      </c>
      <c r="Y83" s="38"/>
      <c r="Z83" s="38"/>
      <c r="AA83" s="38"/>
      <c r="AB83" s="9">
        <v>34848000000</v>
      </c>
      <c r="AC83" s="21"/>
      <c r="AD83" s="9">
        <v>3484800000</v>
      </c>
      <c r="AE83" s="9">
        <v>3484800000</v>
      </c>
      <c r="AF83" s="9">
        <v>3484800000</v>
      </c>
      <c r="AG83" s="9">
        <v>3484800000</v>
      </c>
      <c r="AH83" s="8">
        <v>3484408600</v>
      </c>
    </row>
    <row r="84" spans="1:34" x14ac:dyDescent="0.25">
      <c r="A84" s="5">
        <v>106</v>
      </c>
      <c r="B84" s="5" t="s">
        <v>222</v>
      </c>
      <c r="C84" s="5" t="s">
        <v>223</v>
      </c>
      <c r="D84" s="6">
        <v>34227</v>
      </c>
      <c r="E84" s="7">
        <v>40955996273862</v>
      </c>
      <c r="F84" s="7">
        <v>44697971458665</v>
      </c>
      <c r="G84" s="9">
        <v>48408700495082</v>
      </c>
      <c r="H84" s="17">
        <v>51023608000000</v>
      </c>
      <c r="I84" s="8">
        <v>57445068000000</v>
      </c>
      <c r="J84" s="7">
        <v>98774620340</v>
      </c>
      <c r="K84" s="7">
        <v>121769771786</v>
      </c>
      <c r="L84" s="22">
        <v>-675710445502</v>
      </c>
      <c r="M84" s="23">
        <v>-255340000000</v>
      </c>
      <c r="N84" s="8">
        <v>562551000000</v>
      </c>
      <c r="Y84" s="7">
        <v>78647403077</v>
      </c>
      <c r="Z84" s="7">
        <v>34773260147</v>
      </c>
      <c r="AA84" s="9">
        <v>35520332061</v>
      </c>
      <c r="AB84" s="9">
        <v>179002000000</v>
      </c>
      <c r="AC84" s="9">
        <v>32931000000</v>
      </c>
      <c r="AD84" s="9">
        <v>2765278412</v>
      </c>
      <c r="AE84" s="9">
        <v>2765278412</v>
      </c>
      <c r="AF84" s="9">
        <v>3994291039</v>
      </c>
      <c r="AG84" s="9">
        <v>3994291039</v>
      </c>
      <c r="AH84" s="9">
        <v>3994291039</v>
      </c>
    </row>
    <row r="85" spans="1:34" x14ac:dyDescent="0.25">
      <c r="A85" s="5">
        <v>107</v>
      </c>
      <c r="B85" s="5" t="s">
        <v>224</v>
      </c>
      <c r="C85" s="5" t="s">
        <v>225</v>
      </c>
      <c r="D85" s="6">
        <v>33095</v>
      </c>
      <c r="E85" s="7">
        <v>2482337567967</v>
      </c>
      <c r="F85" s="7">
        <v>2834422741208</v>
      </c>
      <c r="G85" s="7">
        <v>2826260084696</v>
      </c>
      <c r="H85" s="8">
        <v>3538818568392</v>
      </c>
      <c r="I85" s="8">
        <v>3882465049707</v>
      </c>
      <c r="J85" s="7">
        <v>110686883366</v>
      </c>
      <c r="K85" s="7">
        <v>101465560351</v>
      </c>
      <c r="L85" s="7">
        <v>58751009229</v>
      </c>
      <c r="M85" s="8">
        <v>180680527603</v>
      </c>
      <c r="N85" s="8">
        <v>228542263599</v>
      </c>
      <c r="Y85" s="7">
        <v>65624971000</v>
      </c>
      <c r="Z85" s="7">
        <v>65624971000</v>
      </c>
      <c r="AA85" s="7">
        <v>65624971000</v>
      </c>
      <c r="AB85" s="9">
        <v>55781225350</v>
      </c>
      <c r="AC85" s="9">
        <v>49218728250</v>
      </c>
      <c r="AD85" s="9">
        <v>656249710</v>
      </c>
      <c r="AE85" s="9">
        <v>656249710</v>
      </c>
      <c r="AF85" s="9">
        <v>656249710</v>
      </c>
      <c r="AG85" s="9">
        <v>656249710</v>
      </c>
      <c r="AH85" s="9">
        <v>656249710</v>
      </c>
    </row>
    <row r="86" spans="1:34" x14ac:dyDescent="0.25">
      <c r="A86" s="5">
        <v>109</v>
      </c>
      <c r="B86" s="5" t="s">
        <v>228</v>
      </c>
      <c r="C86" s="5" t="s">
        <v>229</v>
      </c>
      <c r="D86" s="6">
        <v>32909</v>
      </c>
      <c r="E86" s="7">
        <v>301596448818</v>
      </c>
      <c r="F86" s="7">
        <v>324916202729</v>
      </c>
      <c r="G86" s="7">
        <v>337792393010</v>
      </c>
      <c r="H86" s="8">
        <v>310880071852</v>
      </c>
      <c r="I86" s="8">
        <v>337442939231</v>
      </c>
      <c r="J86" s="7">
        <v>32755830588</v>
      </c>
      <c r="K86" s="7">
        <v>29918519921</v>
      </c>
      <c r="L86" s="7">
        <v>6732478855</v>
      </c>
      <c r="M86" s="8">
        <v>23408672795</v>
      </c>
      <c r="N86" s="8">
        <v>26673231906</v>
      </c>
      <c r="Y86" s="38"/>
      <c r="Z86" s="38"/>
      <c r="AA86" s="38"/>
      <c r="AB86" s="9">
        <v>49725000000</v>
      </c>
      <c r="AC86" s="9">
        <v>6375000000</v>
      </c>
      <c r="AD86" s="9">
        <v>106250000</v>
      </c>
      <c r="AE86" s="9">
        <v>425000000</v>
      </c>
      <c r="AF86" s="9">
        <v>425000000</v>
      </c>
      <c r="AG86" s="9">
        <v>425000000</v>
      </c>
      <c r="AH86" s="9">
        <v>425000000</v>
      </c>
    </row>
    <row r="87" spans="1:34" x14ac:dyDescent="0.25">
      <c r="A87" s="5">
        <v>110</v>
      </c>
      <c r="B87" s="5" t="s">
        <v>230</v>
      </c>
      <c r="C87" s="5" t="s">
        <v>231</v>
      </c>
      <c r="D87" s="6">
        <v>38512</v>
      </c>
      <c r="E87" s="13">
        <v>643361511</v>
      </c>
      <c r="F87" s="13">
        <v>451103384</v>
      </c>
      <c r="G87" s="13">
        <v>447155090</v>
      </c>
      <c r="H87" s="24">
        <v>522383562</v>
      </c>
      <c r="I87" s="24">
        <v>462933465</v>
      </c>
      <c r="J87" s="16">
        <v>-17908495</v>
      </c>
      <c r="K87" s="16">
        <v>-11188992</v>
      </c>
      <c r="L87" s="13">
        <v>33160574</v>
      </c>
      <c r="M87" s="24">
        <v>50302117</v>
      </c>
      <c r="N87" s="24">
        <v>52912831</v>
      </c>
      <c r="Y87" s="38"/>
      <c r="Z87" s="38"/>
      <c r="AA87" s="38"/>
      <c r="AB87" s="21"/>
      <c r="AC87" s="21"/>
      <c r="AD87" s="9">
        <v>9182946945</v>
      </c>
      <c r="AE87" s="9">
        <v>9182946945</v>
      </c>
      <c r="AF87" s="9">
        <v>9182946945</v>
      </c>
      <c r="AG87" s="25">
        <v>9182946945</v>
      </c>
      <c r="AH87" s="25">
        <v>9182946945</v>
      </c>
    </row>
    <row r="88" spans="1:34" x14ac:dyDescent="0.25">
      <c r="A88" s="5">
        <v>111</v>
      </c>
      <c r="B88" s="5" t="s">
        <v>232</v>
      </c>
      <c r="C88" s="5" t="s">
        <v>233</v>
      </c>
      <c r="D88" s="6">
        <v>33443</v>
      </c>
      <c r="E88" s="29"/>
      <c r="F88" s="29"/>
      <c r="G88" s="29"/>
      <c r="H88" s="29"/>
      <c r="I88" s="29"/>
      <c r="J88" s="29"/>
      <c r="K88" s="29"/>
      <c r="L88" s="29"/>
      <c r="M88" s="29"/>
      <c r="N88" s="29"/>
      <c r="Y88" s="29"/>
      <c r="Z88" s="47"/>
      <c r="AA88" s="47"/>
      <c r="AB88" s="29"/>
      <c r="AC88" s="27"/>
      <c r="AD88" s="30"/>
      <c r="AE88" s="41"/>
      <c r="AF88" s="41"/>
      <c r="AG88" s="30"/>
      <c r="AH88" s="27"/>
    </row>
    <row r="89" spans="1:34" x14ac:dyDescent="0.25">
      <c r="A89" s="5">
        <v>112</v>
      </c>
      <c r="B89" s="5" t="s">
        <v>234</v>
      </c>
      <c r="C89" s="5" t="s">
        <v>235</v>
      </c>
      <c r="D89" s="6">
        <v>33066</v>
      </c>
      <c r="E89" s="7">
        <v>1635543021515</v>
      </c>
      <c r="F89" s="7">
        <v>1657127269798</v>
      </c>
      <c r="G89" s="7">
        <v>1668922580521</v>
      </c>
      <c r="H89" s="7">
        <v>1637794655748</v>
      </c>
      <c r="I89" s="7">
        <v>1576913211157</v>
      </c>
      <c r="J89" s="7">
        <v>6357160962</v>
      </c>
      <c r="K89" s="16">
        <v>-43624116829</v>
      </c>
      <c r="L89" s="16">
        <v>-4948479351</v>
      </c>
      <c r="M89" s="16">
        <v>-710084072</v>
      </c>
      <c r="N89" s="16">
        <v>-90614186434</v>
      </c>
      <c r="Y89" s="38"/>
      <c r="Z89" s="38"/>
      <c r="AA89" s="38"/>
      <c r="AB89" s="21"/>
      <c r="AC89" s="21"/>
      <c r="AD89" s="9">
        <v>701043478</v>
      </c>
      <c r="AE89" s="9">
        <v>701043478</v>
      </c>
      <c r="AF89" s="9">
        <v>701043478</v>
      </c>
      <c r="AG89" s="9">
        <v>701043478</v>
      </c>
      <c r="AH89" s="9">
        <v>701043478</v>
      </c>
    </row>
    <row r="90" spans="1:34" x14ac:dyDescent="0.25">
      <c r="A90" s="5">
        <v>113</v>
      </c>
      <c r="B90" s="5" t="s">
        <v>236</v>
      </c>
      <c r="C90" s="5" t="s">
        <v>237</v>
      </c>
      <c r="D90" s="6">
        <v>35317</v>
      </c>
      <c r="E90" s="7">
        <v>2801203000000</v>
      </c>
      <c r="F90" s="7">
        <v>3106981000000</v>
      </c>
      <c r="G90" s="7">
        <v>3375526000000</v>
      </c>
      <c r="H90" s="17">
        <v>3868862000000</v>
      </c>
      <c r="I90" s="17">
        <v>4379577000000</v>
      </c>
      <c r="J90" s="7">
        <v>63355000000</v>
      </c>
      <c r="K90" s="7">
        <v>638676000000</v>
      </c>
      <c r="L90" s="7">
        <v>539116000000</v>
      </c>
      <c r="M90" s="17">
        <v>728263000000</v>
      </c>
      <c r="N90" s="17">
        <v>935944000000</v>
      </c>
      <c r="Y90" s="7">
        <v>329205000000</v>
      </c>
      <c r="Z90" s="7">
        <v>365724000000</v>
      </c>
      <c r="AA90" s="7">
        <v>375417000000</v>
      </c>
      <c r="AB90" s="9">
        <v>375417000000</v>
      </c>
      <c r="AC90" s="17">
        <f>115174000000+57586000000+115174000000+115174000000+43517000000</f>
        <v>446625000000</v>
      </c>
      <c r="AD90" s="9">
        <v>5758675440</v>
      </c>
      <c r="AE90" s="9">
        <v>5758675440</v>
      </c>
      <c r="AF90" s="9">
        <v>5758675440</v>
      </c>
      <c r="AG90" s="9">
        <v>5758675440</v>
      </c>
      <c r="AH90" s="9">
        <v>5758675440</v>
      </c>
    </row>
    <row r="91" spans="1:34" x14ac:dyDescent="0.25">
      <c r="A91" s="5">
        <v>114</v>
      </c>
      <c r="B91" s="19" t="s">
        <v>238</v>
      </c>
      <c r="C91" s="19" t="s">
        <v>239</v>
      </c>
      <c r="D91" s="6">
        <v>34262</v>
      </c>
      <c r="E91" s="13">
        <v>280679854</v>
      </c>
      <c r="F91" s="13">
        <v>255228195</v>
      </c>
      <c r="G91" s="13">
        <v>205764168</v>
      </c>
      <c r="H91" s="13">
        <v>203791105</v>
      </c>
      <c r="I91" s="13">
        <v>172000176</v>
      </c>
      <c r="J91" s="16">
        <v>-1304581</v>
      </c>
      <c r="K91" s="16">
        <v>-29590834</v>
      </c>
      <c r="L91" s="16">
        <v>-38676045</v>
      </c>
      <c r="M91" s="13">
        <v>355873</v>
      </c>
      <c r="N91" s="16">
        <v>-26746256</v>
      </c>
      <c r="Y91" s="38"/>
      <c r="Z91" s="38"/>
      <c r="AA91" s="38"/>
      <c r="AB91" s="38"/>
      <c r="AC91" s="38"/>
      <c r="AD91" s="9">
        <v>3889179559</v>
      </c>
      <c r="AE91" s="9">
        <v>3889179559</v>
      </c>
      <c r="AF91" s="9">
        <v>3889179559</v>
      </c>
      <c r="AG91" s="9">
        <v>3889179559</v>
      </c>
      <c r="AH91" s="9">
        <v>3889179559</v>
      </c>
    </row>
    <row r="92" spans="1:34" x14ac:dyDescent="0.25">
      <c r="A92" s="5">
        <v>115</v>
      </c>
      <c r="B92" s="5" t="s">
        <v>240</v>
      </c>
      <c r="C92" s="5" t="s">
        <v>241</v>
      </c>
      <c r="D92" s="6">
        <v>33245</v>
      </c>
      <c r="E92" s="13">
        <v>88323888</v>
      </c>
      <c r="F92" s="13">
        <v>85032904</v>
      </c>
      <c r="G92" s="13">
        <v>80185206</v>
      </c>
      <c r="H92" s="17">
        <v>1122379949306</v>
      </c>
      <c r="I92" s="17">
        <v>1129483925972</v>
      </c>
      <c r="J92" s="16">
        <v>-8186633</v>
      </c>
      <c r="K92" s="16">
        <v>-7277027</v>
      </c>
      <c r="L92" s="16">
        <v>-5110016</v>
      </c>
      <c r="M92" s="18">
        <v>-32071101375</v>
      </c>
      <c r="N92" s="18">
        <v>-97329335486</v>
      </c>
      <c r="Y92" s="38"/>
      <c r="Z92" s="38"/>
      <c r="AA92" s="38"/>
      <c r="AB92" s="21"/>
      <c r="AC92" s="21"/>
      <c r="AD92" s="9">
        <v>335557450</v>
      </c>
      <c r="AE92" s="9">
        <v>335557450</v>
      </c>
      <c r="AF92" s="9">
        <v>335557450</v>
      </c>
      <c r="AG92" s="9">
        <v>335557450</v>
      </c>
      <c r="AH92" s="9">
        <v>335557450</v>
      </c>
    </row>
    <row r="93" spans="1:34" x14ac:dyDescent="0.25">
      <c r="A93" s="5">
        <v>116</v>
      </c>
      <c r="B93" s="5" t="s">
        <v>242</v>
      </c>
      <c r="C93" s="5" t="s">
        <v>243</v>
      </c>
      <c r="D93" s="6">
        <v>43017</v>
      </c>
      <c r="E93" s="7">
        <v>514962171773</v>
      </c>
      <c r="F93" s="7">
        <v>590884444113</v>
      </c>
      <c r="G93" s="7">
        <v>554235931111</v>
      </c>
      <c r="H93" s="17">
        <v>524473606697</v>
      </c>
      <c r="I93" s="17">
        <v>525780962665</v>
      </c>
      <c r="J93" s="7">
        <v>24022782725</v>
      </c>
      <c r="K93" s="16">
        <v>23213651840</v>
      </c>
      <c r="L93" s="16">
        <v>-16558668514</v>
      </c>
      <c r="M93" s="17">
        <v>4172725902</v>
      </c>
      <c r="N93" s="17">
        <v>4462174046</v>
      </c>
      <c r="Y93" s="7">
        <v>4350000000</v>
      </c>
      <c r="Z93" s="7">
        <v>5075000000</v>
      </c>
      <c r="AA93" s="7">
        <v>782636476</v>
      </c>
      <c r="AB93" s="9">
        <v>507500000</v>
      </c>
      <c r="AC93" s="9">
        <f>2030000000+545000000</f>
        <v>2575000000</v>
      </c>
      <c r="AD93" s="10">
        <v>1450000000</v>
      </c>
      <c r="AE93" s="10">
        <v>1450000000</v>
      </c>
      <c r="AF93" s="9">
        <v>7250000000</v>
      </c>
      <c r="AG93" s="9">
        <v>7250000000</v>
      </c>
      <c r="AH93" s="9">
        <v>7250000000</v>
      </c>
    </row>
    <row r="94" spans="1:34" x14ac:dyDescent="0.25">
      <c r="A94" s="5">
        <v>117</v>
      </c>
      <c r="B94" s="5" t="s">
        <v>244</v>
      </c>
      <c r="C94" s="5" t="s">
        <v>245</v>
      </c>
      <c r="D94" s="6">
        <v>28997</v>
      </c>
      <c r="E94" s="14">
        <v>47492460</v>
      </c>
      <c r="F94" s="43"/>
      <c r="G94" s="43"/>
      <c r="H94" s="43"/>
      <c r="I94" s="27"/>
      <c r="J94" s="22">
        <v>-205434</v>
      </c>
      <c r="K94" s="43"/>
      <c r="L94" s="43"/>
      <c r="M94" s="43"/>
      <c r="N94" s="27"/>
      <c r="Y94" s="39"/>
      <c r="Z94" s="38"/>
      <c r="AA94" s="38"/>
      <c r="AB94" s="38"/>
      <c r="AC94" s="27"/>
      <c r="AD94" s="9">
        <v>200000000</v>
      </c>
      <c r="AE94" s="44"/>
      <c r="AF94" s="29"/>
      <c r="AG94" s="30"/>
      <c r="AH94" s="27"/>
    </row>
    <row r="95" spans="1:34" x14ac:dyDescent="0.25">
      <c r="A95" s="5">
        <v>118</v>
      </c>
      <c r="B95" s="5" t="s">
        <v>246</v>
      </c>
      <c r="C95" s="5" t="s">
        <v>247</v>
      </c>
      <c r="D95" s="6">
        <v>33106</v>
      </c>
      <c r="E95" s="13">
        <v>62585854</v>
      </c>
      <c r="F95" s="13">
        <v>71422968</v>
      </c>
      <c r="G95" s="13">
        <v>68564658</v>
      </c>
      <c r="H95" s="24">
        <v>72697937</v>
      </c>
      <c r="I95" s="24">
        <v>78716650</v>
      </c>
      <c r="J95" s="13">
        <v>1059744</v>
      </c>
      <c r="K95" s="13">
        <v>841583</v>
      </c>
      <c r="L95" s="16">
        <v>-970496</v>
      </c>
      <c r="M95" s="24">
        <v>1583643</v>
      </c>
      <c r="N95" s="24">
        <v>3916193</v>
      </c>
      <c r="Y95" s="38"/>
      <c r="Z95" s="38"/>
      <c r="AA95" s="38"/>
      <c r="AB95" s="21"/>
      <c r="AC95" s="14">
        <v>250000</v>
      </c>
      <c r="AD95" s="9">
        <v>1286539792</v>
      </c>
      <c r="AE95" s="9">
        <v>1286539792</v>
      </c>
      <c r="AF95" s="9">
        <v>1286539792</v>
      </c>
      <c r="AG95" s="9">
        <v>1286539792</v>
      </c>
      <c r="AH95" s="8">
        <v>1286539792</v>
      </c>
    </row>
    <row r="96" spans="1:34" x14ac:dyDescent="0.25">
      <c r="A96" s="5">
        <v>119</v>
      </c>
      <c r="B96" s="5" t="s">
        <v>248</v>
      </c>
      <c r="C96" s="5" t="s">
        <v>249</v>
      </c>
      <c r="D96" s="6">
        <v>33890</v>
      </c>
      <c r="E96" s="13">
        <v>62027720</v>
      </c>
      <c r="F96" s="13">
        <v>61112029</v>
      </c>
      <c r="G96" s="14">
        <v>54473395</v>
      </c>
      <c r="H96" s="40">
        <v>51213443</v>
      </c>
      <c r="I96" s="24">
        <v>48194418</v>
      </c>
      <c r="J96" s="13">
        <v>1413112</v>
      </c>
      <c r="K96" s="16">
        <v>-2792947</v>
      </c>
      <c r="L96" s="22">
        <v>-577944</v>
      </c>
      <c r="M96" s="40">
        <v>1612542</v>
      </c>
      <c r="N96" s="24">
        <v>66319</v>
      </c>
      <c r="Y96" s="38"/>
      <c r="Z96" s="38"/>
      <c r="AA96" s="39"/>
      <c r="AB96" s="21"/>
      <c r="AC96" s="14">
        <v>129214</v>
      </c>
      <c r="AD96" s="9">
        <v>2015208720</v>
      </c>
      <c r="AE96" s="9">
        <v>2015208720</v>
      </c>
      <c r="AF96" s="9">
        <v>2015208720</v>
      </c>
      <c r="AG96" s="9">
        <v>2015208720</v>
      </c>
      <c r="AH96" s="9">
        <v>2015208720</v>
      </c>
    </row>
    <row r="97" spans="1:34" x14ac:dyDescent="0.25">
      <c r="A97" s="5">
        <v>120</v>
      </c>
      <c r="B97" s="5" t="s">
        <v>250</v>
      </c>
      <c r="C97" s="5" t="s">
        <v>251</v>
      </c>
      <c r="D97" s="6">
        <v>33030</v>
      </c>
      <c r="E97" s="7">
        <v>586940667000</v>
      </c>
      <c r="F97" s="7">
        <v>423791061000</v>
      </c>
      <c r="G97" s="7">
        <v>384116199000</v>
      </c>
      <c r="H97" s="8">
        <v>346377425000</v>
      </c>
      <c r="I97" s="8">
        <v>265693432000</v>
      </c>
      <c r="J97" s="48">
        <v>-229988885000</v>
      </c>
      <c r="K97" s="16">
        <v>-65673323000</v>
      </c>
      <c r="L97" s="16">
        <v>-47969988000</v>
      </c>
      <c r="M97" s="16">
        <v>-41970335000</v>
      </c>
      <c r="N97" s="16">
        <v>-57362444000</v>
      </c>
      <c r="Y97" s="38"/>
      <c r="Z97" s="38"/>
      <c r="AA97" s="38"/>
      <c r="AB97" s="38"/>
      <c r="AC97" s="38"/>
      <c r="AD97" s="9">
        <v>3601462800</v>
      </c>
      <c r="AE97" s="9">
        <v>3601462800</v>
      </c>
      <c r="AF97" s="9">
        <v>3601462800</v>
      </c>
      <c r="AG97" s="9">
        <v>3601462800</v>
      </c>
      <c r="AH97" s="9">
        <v>3601462800</v>
      </c>
    </row>
    <row r="98" spans="1:34" x14ac:dyDescent="0.25">
      <c r="A98" s="5">
        <v>121</v>
      </c>
      <c r="B98" s="5" t="s">
        <v>252</v>
      </c>
      <c r="C98" s="5" t="s">
        <v>253</v>
      </c>
      <c r="D98" s="6">
        <v>33088</v>
      </c>
      <c r="E98" s="13">
        <v>805918779</v>
      </c>
      <c r="F98" s="13">
        <v>753558270</v>
      </c>
      <c r="G98" s="14">
        <v>763855590</v>
      </c>
      <c r="H98" s="40">
        <v>905497694</v>
      </c>
      <c r="I98" s="40">
        <v>869800216</v>
      </c>
      <c r="J98" s="13">
        <v>62367343</v>
      </c>
      <c r="K98" s="13">
        <v>38111238</v>
      </c>
      <c r="L98" s="14">
        <v>6231992</v>
      </c>
      <c r="M98" s="40">
        <v>84568285</v>
      </c>
      <c r="N98" s="40">
        <v>42534663</v>
      </c>
      <c r="Y98" s="38"/>
      <c r="Z98" s="7">
        <v>15493007</v>
      </c>
      <c r="AA98" s="39"/>
      <c r="AB98" s="39"/>
      <c r="AC98" s="9">
        <v>41462124</v>
      </c>
      <c r="AD98" s="9">
        <v>654351707</v>
      </c>
      <c r="AE98" s="9">
        <v>654351707</v>
      </c>
      <c r="AF98" s="9">
        <v>654351707</v>
      </c>
      <c r="AG98" s="9">
        <v>654351707</v>
      </c>
      <c r="AH98" s="9">
        <v>654351707</v>
      </c>
    </row>
    <row r="99" spans="1:34" x14ac:dyDescent="0.25">
      <c r="A99" s="5">
        <v>122</v>
      </c>
      <c r="B99" s="5" t="s">
        <v>254</v>
      </c>
      <c r="C99" s="5" t="s">
        <v>255</v>
      </c>
      <c r="D99" s="6">
        <v>32791</v>
      </c>
      <c r="E99" s="7">
        <v>3747570000000</v>
      </c>
      <c r="F99" s="7">
        <v>3686259000000</v>
      </c>
      <c r="G99" s="7">
        <v>3884567000000</v>
      </c>
      <c r="H99" s="8">
        <v>3744934000000</v>
      </c>
      <c r="I99" s="8">
        <v>3959904000000</v>
      </c>
      <c r="J99" s="16">
        <v>-170235000000</v>
      </c>
      <c r="K99" s="16">
        <v>-241027000000</v>
      </c>
      <c r="L99" s="16">
        <v>-114827000000</v>
      </c>
      <c r="M99" s="18">
        <v>-139616000000</v>
      </c>
      <c r="N99" s="18">
        <v>-21393000000</v>
      </c>
      <c r="Y99" s="38"/>
      <c r="Z99" s="38"/>
      <c r="AA99" s="38"/>
      <c r="AB99" s="39"/>
      <c r="AC99" s="39"/>
      <c r="AD99" s="9">
        <v>1466666577</v>
      </c>
      <c r="AE99" s="9">
        <v>7747281949</v>
      </c>
      <c r="AF99" s="9">
        <v>7747281949</v>
      </c>
      <c r="AG99" s="9">
        <v>7747281949</v>
      </c>
      <c r="AH99" s="9">
        <v>7747281949</v>
      </c>
    </row>
    <row r="100" spans="1:34" x14ac:dyDescent="0.25">
      <c r="A100" s="5">
        <v>123</v>
      </c>
      <c r="B100" s="5" t="s">
        <v>256</v>
      </c>
      <c r="C100" s="5" t="s">
        <v>257</v>
      </c>
      <c r="D100" s="6">
        <v>33162</v>
      </c>
      <c r="E100" s="13">
        <v>579066122</v>
      </c>
      <c r="F100" s="13">
        <v>658393892</v>
      </c>
      <c r="G100" s="13">
        <v>693123729</v>
      </c>
      <c r="H100" s="24">
        <v>696625283</v>
      </c>
      <c r="I100" s="24">
        <v>724645099</v>
      </c>
      <c r="J100" s="13">
        <v>16260183</v>
      </c>
      <c r="K100" s="13">
        <v>17050942</v>
      </c>
      <c r="L100" s="13">
        <v>19367114</v>
      </c>
      <c r="M100" s="24">
        <v>15403762</v>
      </c>
      <c r="N100" s="24">
        <v>2336379</v>
      </c>
      <c r="Y100" s="7">
        <v>931995</v>
      </c>
      <c r="Z100" s="7">
        <v>2132153</v>
      </c>
      <c r="AA100" s="38"/>
      <c r="AB100" s="13">
        <v>1225325</v>
      </c>
      <c r="AC100" s="39"/>
      <c r="AD100" s="9">
        <v>6478295611</v>
      </c>
      <c r="AE100" s="9">
        <v>6478295611</v>
      </c>
      <c r="AF100" s="9">
        <v>6478295611</v>
      </c>
      <c r="AG100" s="9">
        <v>6478295611</v>
      </c>
      <c r="AH100" s="8">
        <v>6478295611</v>
      </c>
    </row>
    <row r="101" spans="1:34" x14ac:dyDescent="0.25">
      <c r="A101" s="5">
        <v>124</v>
      </c>
      <c r="B101" s="5" t="s">
        <v>258</v>
      </c>
      <c r="C101" s="5" t="s">
        <v>259</v>
      </c>
      <c r="D101" s="6">
        <v>33309</v>
      </c>
      <c r="E101" s="13">
        <v>238246828</v>
      </c>
      <c r="F101" s="13">
        <v>242051545</v>
      </c>
      <c r="G101" s="14">
        <v>231030116</v>
      </c>
      <c r="H101" s="40">
        <v>238206780</v>
      </c>
      <c r="I101" s="40">
        <v>228076478</v>
      </c>
      <c r="J101" s="13">
        <v>1283226</v>
      </c>
      <c r="K101" s="16">
        <v>-11914906</v>
      </c>
      <c r="L101" s="22">
        <v>-20549350</v>
      </c>
      <c r="M101" s="40">
        <v>3424161</v>
      </c>
      <c r="N101" s="40">
        <v>12313779</v>
      </c>
      <c r="Y101" s="38"/>
      <c r="Z101" s="38"/>
      <c r="AA101" s="39"/>
      <c r="AB101" s="39"/>
      <c r="AC101" s="39"/>
      <c r="AD101" s="9">
        <v>2495753347</v>
      </c>
      <c r="AE101" s="9">
        <v>2495753347</v>
      </c>
      <c r="AF101" s="9">
        <v>2495753347</v>
      </c>
      <c r="AG101" s="9">
        <v>2495753347</v>
      </c>
      <c r="AH101" s="9">
        <v>2495753347</v>
      </c>
    </row>
    <row r="102" spans="1:34" x14ac:dyDescent="0.25">
      <c r="A102" s="5">
        <v>126</v>
      </c>
      <c r="B102" s="5" t="s">
        <v>262</v>
      </c>
      <c r="C102" s="5" t="s">
        <v>263</v>
      </c>
      <c r="D102" s="6">
        <v>35817</v>
      </c>
      <c r="E102" s="7">
        <v>1539602054832</v>
      </c>
      <c r="F102" s="7">
        <v>1619854736252</v>
      </c>
      <c r="G102" s="7">
        <v>1736897169061</v>
      </c>
      <c r="H102" s="8">
        <v>1694313967553</v>
      </c>
      <c r="I102" s="8">
        <v>1639882069759</v>
      </c>
      <c r="J102" s="7">
        <v>18480376458</v>
      </c>
      <c r="K102" s="7">
        <v>17219044542</v>
      </c>
      <c r="L102" s="16">
        <v>-77578476383</v>
      </c>
      <c r="M102" s="18">
        <v>-66098078641</v>
      </c>
      <c r="N102" s="8">
        <v>-69375798083</v>
      </c>
      <c r="Y102" s="7">
        <v>1925152530</v>
      </c>
      <c r="Z102" s="7">
        <v>1925152530</v>
      </c>
      <c r="AA102" s="38"/>
      <c r="AB102" s="39"/>
      <c r="AC102" s="39"/>
      <c r="AD102" s="9">
        <v>641717510</v>
      </c>
      <c r="AE102" s="9">
        <v>641717510</v>
      </c>
      <c r="AF102" s="9">
        <v>641717510</v>
      </c>
      <c r="AG102" s="25">
        <v>641717510</v>
      </c>
      <c r="AH102" s="25">
        <v>641717510</v>
      </c>
    </row>
    <row r="103" spans="1:34" x14ac:dyDescent="0.25">
      <c r="A103" s="5">
        <v>128</v>
      </c>
      <c r="B103" s="5" t="s">
        <v>266</v>
      </c>
      <c r="C103" s="5" t="s">
        <v>267</v>
      </c>
      <c r="D103" s="6">
        <v>41442</v>
      </c>
      <c r="E103" s="13">
        <v>1364271991</v>
      </c>
      <c r="F103" s="13">
        <v>1559251755</v>
      </c>
      <c r="G103" s="13">
        <v>1851988840</v>
      </c>
      <c r="H103" s="13">
        <v>1234193246</v>
      </c>
      <c r="I103" s="13">
        <v>764552039</v>
      </c>
      <c r="J103" s="7">
        <v>84556033</v>
      </c>
      <c r="K103" s="13">
        <v>87652548</v>
      </c>
      <c r="L103" s="13">
        <v>85325108</v>
      </c>
      <c r="M103" s="16">
        <v>-1074402760</v>
      </c>
      <c r="N103" s="16">
        <v>-395563161</v>
      </c>
      <c r="Y103" s="7">
        <v>12076869</v>
      </c>
      <c r="Z103" s="7">
        <v>4237037</v>
      </c>
      <c r="AA103" s="7">
        <v>1471274</v>
      </c>
      <c r="AB103" s="39"/>
      <c r="AC103" s="39"/>
      <c r="AD103" s="9">
        <v>20452176844</v>
      </c>
      <c r="AE103" s="9">
        <v>20452176844</v>
      </c>
      <c r="AF103" s="9">
        <v>20452176844</v>
      </c>
      <c r="AG103" s="9">
        <v>20452176844</v>
      </c>
      <c r="AH103" s="9">
        <v>20452176844</v>
      </c>
    </row>
    <row r="104" spans="1:34" x14ac:dyDescent="0.25">
      <c r="A104" s="5">
        <v>129</v>
      </c>
      <c r="B104" s="5" t="s">
        <v>268</v>
      </c>
      <c r="C104" s="5" t="s">
        <v>269</v>
      </c>
      <c r="D104" s="6">
        <v>35662</v>
      </c>
      <c r="E104" s="7">
        <v>562174180897</v>
      </c>
      <c r="F104" s="7">
        <v>514765731890</v>
      </c>
      <c r="G104" s="7">
        <v>482065294095</v>
      </c>
      <c r="H104" s="7">
        <v>471128491654</v>
      </c>
      <c r="I104" s="7">
        <v>442106656917</v>
      </c>
      <c r="J104" s="7">
        <v>1112037917</v>
      </c>
      <c r="K104" s="16">
        <v>-16266732177</v>
      </c>
      <c r="L104" s="16">
        <v>-15354377443</v>
      </c>
      <c r="M104" s="7">
        <v>56749821815</v>
      </c>
      <c r="N104" s="7">
        <v>-6044861775</v>
      </c>
      <c r="Y104" s="38"/>
      <c r="Z104" s="38"/>
      <c r="AA104" s="38"/>
      <c r="AB104" s="39"/>
      <c r="AC104" s="39"/>
      <c r="AD104" s="9">
        <v>1170909181</v>
      </c>
      <c r="AE104" s="9">
        <v>1170909181</v>
      </c>
      <c r="AF104" s="9">
        <v>1170909181</v>
      </c>
      <c r="AG104" s="9">
        <v>1170909181</v>
      </c>
      <c r="AH104" s="9">
        <v>1170909181</v>
      </c>
    </row>
    <row r="105" spans="1:34" x14ac:dyDescent="0.25">
      <c r="A105" s="5">
        <v>130</v>
      </c>
      <c r="B105" s="5" t="s">
        <v>270</v>
      </c>
      <c r="C105" s="5" t="s">
        <v>271</v>
      </c>
      <c r="D105" s="6">
        <v>40737</v>
      </c>
      <c r="E105" s="7">
        <v>615956006710</v>
      </c>
      <c r="F105" s="7">
        <v>579813156839</v>
      </c>
      <c r="G105" s="7">
        <v>497557497473</v>
      </c>
      <c r="H105" s="17">
        <v>508447134690</v>
      </c>
      <c r="I105" s="17">
        <v>509387241941</v>
      </c>
      <c r="J105" s="7">
        <v>173591040</v>
      </c>
      <c r="K105" s="7">
        <v>1951111404</v>
      </c>
      <c r="L105" s="7">
        <v>5808171411</v>
      </c>
      <c r="M105" s="17">
        <v>10513086262</v>
      </c>
      <c r="N105" s="17">
        <v>1749860911</v>
      </c>
      <c r="Y105" s="38"/>
      <c r="Z105" s="38"/>
      <c r="AA105" s="38"/>
      <c r="AB105" s="39"/>
      <c r="AC105" s="39"/>
      <c r="AD105" s="9">
        <v>4800000602</v>
      </c>
      <c r="AE105" s="9">
        <v>4800000602</v>
      </c>
      <c r="AF105" s="9">
        <v>4800000602</v>
      </c>
      <c r="AG105" s="9">
        <v>4800000602</v>
      </c>
      <c r="AH105" s="9">
        <v>4800000602</v>
      </c>
    </row>
    <row r="106" spans="1:34" x14ac:dyDescent="0.25">
      <c r="A106" s="5">
        <v>131</v>
      </c>
      <c r="B106" s="5" t="s">
        <v>272</v>
      </c>
      <c r="C106" s="5" t="s">
        <v>273</v>
      </c>
      <c r="D106" s="6">
        <v>29277</v>
      </c>
      <c r="E106" s="13">
        <v>321852867</v>
      </c>
      <c r="F106" s="13">
        <v>313569276</v>
      </c>
      <c r="G106" s="14">
        <v>317722871</v>
      </c>
      <c r="H106" s="40">
        <v>334578949</v>
      </c>
      <c r="I106" s="24">
        <v>334102307</v>
      </c>
      <c r="J106" s="16">
        <v>-494963</v>
      </c>
      <c r="K106" s="16">
        <v>-5258349</v>
      </c>
      <c r="L106" s="22">
        <v>-857539</v>
      </c>
      <c r="M106" s="24">
        <v>13557986</v>
      </c>
      <c r="N106" s="24">
        <v>3415772</v>
      </c>
      <c r="Y106" s="38"/>
      <c r="Z106" s="38"/>
      <c r="AA106" s="39"/>
      <c r="AB106" s="39"/>
      <c r="AC106" s="39"/>
      <c r="AD106" s="9">
        <v>4823076400</v>
      </c>
      <c r="AE106" s="9">
        <v>4823076400</v>
      </c>
      <c r="AF106" s="9">
        <v>4823076400</v>
      </c>
      <c r="AG106" s="9">
        <v>4823076400</v>
      </c>
      <c r="AH106" s="9">
        <v>4823076400</v>
      </c>
    </row>
    <row r="107" spans="1:34" x14ac:dyDescent="0.25">
      <c r="A107" s="5">
        <v>132</v>
      </c>
      <c r="B107" s="5" t="s">
        <v>274</v>
      </c>
      <c r="C107" s="5" t="s">
        <v>275</v>
      </c>
      <c r="D107" s="6">
        <v>41088</v>
      </c>
      <c r="E107" s="7">
        <v>633014281325</v>
      </c>
      <c r="F107" s="7">
        <v>1147246311331</v>
      </c>
      <c r="G107" s="7">
        <v>1068940700530</v>
      </c>
      <c r="H107" s="17">
        <v>1060742742644</v>
      </c>
      <c r="I107" s="17">
        <v>1177807599498</v>
      </c>
      <c r="J107" s="7">
        <v>19665074694</v>
      </c>
      <c r="K107" s="7">
        <v>41484677098</v>
      </c>
      <c r="L107" s="16">
        <v>-3987303838</v>
      </c>
      <c r="M107" s="17">
        <v>18024581177</v>
      </c>
      <c r="N107" s="17">
        <v>64521509302</v>
      </c>
      <c r="Y107" s="7">
        <v>5234640010</v>
      </c>
      <c r="Z107" s="7">
        <v>5838086004</v>
      </c>
      <c r="AA107" s="7">
        <v>11397562481</v>
      </c>
      <c r="AB107" s="9">
        <v>4904062114</v>
      </c>
      <c r="AC107" s="9">
        <v>5490705161</v>
      </c>
      <c r="AD107" s="9">
        <v>1047587802</v>
      </c>
      <c r="AE107" s="9">
        <v>3141443806</v>
      </c>
      <c r="AF107" s="9">
        <v>3141443806</v>
      </c>
      <c r="AG107" s="10">
        <v>3141443806</v>
      </c>
      <c r="AH107" s="17">
        <v>3141443831</v>
      </c>
    </row>
    <row r="108" spans="1:34" x14ac:dyDescent="0.25">
      <c r="A108" s="5">
        <v>134</v>
      </c>
      <c r="B108" s="5" t="s">
        <v>278</v>
      </c>
      <c r="C108" s="5" t="s">
        <v>279</v>
      </c>
      <c r="D108" s="6">
        <v>37364</v>
      </c>
      <c r="E108" s="7">
        <v>116281017000000</v>
      </c>
      <c r="F108" s="7">
        <v>111713375000000</v>
      </c>
      <c r="G108" s="29"/>
      <c r="H108" s="29"/>
      <c r="I108" s="29"/>
      <c r="J108" s="7">
        <v>11498409000000</v>
      </c>
      <c r="K108" s="7">
        <v>11134641000000</v>
      </c>
      <c r="L108" s="29"/>
      <c r="M108" s="29"/>
      <c r="N108" s="29"/>
      <c r="Y108" s="7">
        <v>3883845000000</v>
      </c>
      <c r="Z108" s="7">
        <v>4900419000000</v>
      </c>
      <c r="AA108" s="7">
        <v>3838759000000</v>
      </c>
      <c r="AB108" s="39"/>
      <c r="AC108" s="27"/>
      <c r="AD108" s="9">
        <v>3730135136</v>
      </c>
      <c r="AE108" s="9">
        <v>3730135136</v>
      </c>
      <c r="AF108" s="27"/>
      <c r="AG108" s="27"/>
      <c r="AH108" s="27"/>
    </row>
    <row r="109" spans="1:34" x14ac:dyDescent="0.25">
      <c r="A109" s="5">
        <v>135</v>
      </c>
      <c r="B109" s="5" t="s">
        <v>280</v>
      </c>
      <c r="C109" s="5" t="s">
        <v>281</v>
      </c>
      <c r="D109" s="6">
        <v>43446</v>
      </c>
      <c r="E109" s="7">
        <v>398437984462</v>
      </c>
      <c r="F109" s="7">
        <v>538644833986</v>
      </c>
      <c r="G109" s="7">
        <v>563628549785</v>
      </c>
      <c r="H109" s="8">
        <v>562739101102</v>
      </c>
      <c r="I109" s="8">
        <v>651781230958</v>
      </c>
      <c r="J109" s="7">
        <v>41027946306</v>
      </c>
      <c r="K109" s="7">
        <v>51222668919</v>
      </c>
      <c r="L109" s="16">
        <v>-37620281385</v>
      </c>
      <c r="M109" s="8">
        <v>30781262235</v>
      </c>
      <c r="N109" s="8">
        <v>72940513980</v>
      </c>
      <c r="Y109" s="7">
        <v>80151111110</v>
      </c>
      <c r="Z109" s="38"/>
      <c r="AA109" s="38"/>
      <c r="AB109" s="39"/>
      <c r="AC109" s="9">
        <v>9267326241</v>
      </c>
      <c r="AD109" s="10">
        <v>797000000</v>
      </c>
      <c r="AE109" s="10">
        <v>870171478</v>
      </c>
      <c r="AF109" s="10">
        <v>870171478</v>
      </c>
      <c r="AG109" s="10">
        <v>870171478</v>
      </c>
      <c r="AH109" s="10">
        <v>870171478</v>
      </c>
    </row>
    <row r="110" spans="1:34" x14ac:dyDescent="0.25">
      <c r="A110" s="5">
        <v>136</v>
      </c>
      <c r="B110" s="5" t="s">
        <v>282</v>
      </c>
      <c r="C110" s="5" t="s">
        <v>283</v>
      </c>
      <c r="D110" s="6">
        <v>30034</v>
      </c>
      <c r="E110" s="7">
        <v>876856225000</v>
      </c>
      <c r="F110" s="7">
        <v>863146554000</v>
      </c>
      <c r="G110" s="7">
        <v>775324937000</v>
      </c>
      <c r="H110" s="8">
        <v>652742235000</v>
      </c>
      <c r="I110" s="8">
        <v>724073958000</v>
      </c>
      <c r="J110" s="7">
        <v>67944867000</v>
      </c>
      <c r="K110" s="7">
        <v>23441338000</v>
      </c>
      <c r="L110" s="16">
        <v>-177761030000</v>
      </c>
      <c r="M110" s="18">
        <v>-51233663000</v>
      </c>
      <c r="N110" s="18">
        <v>-106123023000</v>
      </c>
      <c r="Y110" s="7">
        <v>18538000000</v>
      </c>
      <c r="Z110" s="7">
        <v>11401000000</v>
      </c>
      <c r="AA110" s="38"/>
      <c r="AB110" s="39"/>
      <c r="AC110" s="39"/>
      <c r="AD110" s="9">
        <v>1300000000</v>
      </c>
      <c r="AE110" s="9">
        <v>1300000000</v>
      </c>
      <c r="AF110" s="9">
        <v>1300000000</v>
      </c>
      <c r="AG110" s="9">
        <v>1300000000</v>
      </c>
      <c r="AH110" s="9">
        <v>1300000000</v>
      </c>
    </row>
    <row r="111" spans="1:34" x14ac:dyDescent="0.25">
      <c r="A111" s="5">
        <v>137</v>
      </c>
      <c r="B111" s="5" t="s">
        <v>284</v>
      </c>
      <c r="C111" s="5" t="s">
        <v>285</v>
      </c>
      <c r="D111" s="6">
        <v>34576</v>
      </c>
      <c r="E111" s="7">
        <v>98190640839</v>
      </c>
      <c r="F111" s="7">
        <v>246536771775</v>
      </c>
      <c r="G111" s="7">
        <v>223781482859</v>
      </c>
      <c r="H111" s="8">
        <v>218663866293</v>
      </c>
      <c r="I111" s="8">
        <v>310462822260</v>
      </c>
      <c r="J111" s="7">
        <v>2349855961</v>
      </c>
      <c r="K111" s="7">
        <v>3048600900</v>
      </c>
      <c r="L111" s="16">
        <v>-31519632982</v>
      </c>
      <c r="M111" s="18">
        <v>-20265774760</v>
      </c>
      <c r="N111" s="8">
        <v>-2369378400</v>
      </c>
      <c r="Y111" s="38"/>
      <c r="Z111" s="38"/>
      <c r="AA111" s="38"/>
      <c r="AB111" s="39"/>
      <c r="AC111" s="39"/>
      <c r="AD111" s="9">
        <f>436175716+172000000</f>
        <v>608175716</v>
      </c>
      <c r="AE111" s="9">
        <v>608175716</v>
      </c>
      <c r="AF111" s="9">
        <v>608175716</v>
      </c>
      <c r="AG111" s="9">
        <v>608175716</v>
      </c>
      <c r="AH111" s="9">
        <v>608175716</v>
      </c>
    </row>
    <row r="112" spans="1:34" x14ac:dyDescent="0.25">
      <c r="A112" s="5">
        <v>139</v>
      </c>
      <c r="B112" s="5" t="s">
        <v>288</v>
      </c>
      <c r="C112" s="5" t="s">
        <v>289</v>
      </c>
      <c r="D112" s="6">
        <v>33259</v>
      </c>
      <c r="E112" s="13">
        <v>81407029</v>
      </c>
      <c r="F112" s="43">
        <v>91730054</v>
      </c>
      <c r="G112" s="43">
        <v>94808906</v>
      </c>
      <c r="H112" s="29"/>
      <c r="I112" s="27"/>
      <c r="J112" s="7">
        <v>1233587</v>
      </c>
      <c r="K112" s="43">
        <v>2346766</v>
      </c>
      <c r="L112" s="16">
        <v>-1299041</v>
      </c>
      <c r="M112" s="29"/>
      <c r="N112" s="27"/>
      <c r="Y112" s="7">
        <v>411264</v>
      </c>
      <c r="Z112" s="43">
        <v>773568</v>
      </c>
      <c r="AA112" s="43">
        <v>87516</v>
      </c>
      <c r="AB112" s="29"/>
      <c r="AC112" s="27"/>
      <c r="AD112" s="9">
        <v>1224000000</v>
      </c>
      <c r="AE112" s="9">
        <v>1224000000</v>
      </c>
      <c r="AF112" s="9">
        <v>1224000000</v>
      </c>
      <c r="AG112" s="30"/>
      <c r="AH112" s="27"/>
    </row>
    <row r="113" spans="1:34" x14ac:dyDescent="0.25">
      <c r="A113" s="5">
        <v>140</v>
      </c>
      <c r="B113" s="5" t="s">
        <v>290</v>
      </c>
      <c r="C113" s="5" t="s">
        <v>291</v>
      </c>
      <c r="D113" s="6">
        <v>33926</v>
      </c>
      <c r="E113" s="7">
        <v>2081620993000</v>
      </c>
      <c r="F113" s="7">
        <v>1888753850000</v>
      </c>
      <c r="G113" s="7">
        <v>1513949141000</v>
      </c>
      <c r="H113" s="8">
        <v>1736977382000</v>
      </c>
      <c r="I113" s="8">
        <v>2199797641000</v>
      </c>
      <c r="J113" s="7">
        <v>88428879000</v>
      </c>
      <c r="K113" s="7">
        <v>102517868000</v>
      </c>
      <c r="L113" s="7">
        <v>11924112000</v>
      </c>
      <c r="M113" s="18">
        <v>-47179855000</v>
      </c>
      <c r="N113" s="8">
        <v>57625088000</v>
      </c>
      <c r="Y113" s="7">
        <v>30240000000</v>
      </c>
      <c r="Z113" s="7">
        <v>45360000000</v>
      </c>
      <c r="AA113" s="38"/>
      <c r="AB113" s="39"/>
      <c r="AC113" s="39"/>
      <c r="AD113" s="9">
        <v>151200000</v>
      </c>
      <c r="AE113" s="9">
        <v>151200000</v>
      </c>
      <c r="AF113" s="9">
        <v>151200000</v>
      </c>
      <c r="AG113" s="9">
        <v>151200000</v>
      </c>
      <c r="AH113" s="9">
        <v>151200000</v>
      </c>
    </row>
    <row r="114" spans="1:34" x14ac:dyDescent="0.25">
      <c r="A114" s="5">
        <v>141</v>
      </c>
      <c r="B114" s="5" t="s">
        <v>292</v>
      </c>
      <c r="C114" s="5" t="s">
        <v>293</v>
      </c>
      <c r="D114" s="6">
        <v>33791</v>
      </c>
      <c r="E114" s="7">
        <v>3244821647076</v>
      </c>
      <c r="F114" s="7">
        <v>3556474711037</v>
      </c>
      <c r="G114" s="7">
        <v>3009724379484</v>
      </c>
      <c r="H114" s="8">
        <v>2725242711423</v>
      </c>
      <c r="I114" s="8">
        <v>2797005026270</v>
      </c>
      <c r="J114" s="7">
        <v>235651063203</v>
      </c>
      <c r="K114" s="7">
        <v>394950161188</v>
      </c>
      <c r="L114" s="16">
        <v>-73694555905</v>
      </c>
      <c r="M114" s="8">
        <v>93371439103</v>
      </c>
      <c r="N114" s="8">
        <v>59961666687</v>
      </c>
      <c r="Y114" s="7">
        <v>40072351070</v>
      </c>
      <c r="Z114" s="7">
        <v>32057880856</v>
      </c>
      <c r="AA114" s="7">
        <v>32057880856</v>
      </c>
      <c r="AB114" s="39"/>
      <c r="AC114" s="9">
        <v>16028940428</v>
      </c>
      <c r="AD114" s="9">
        <v>4007235107</v>
      </c>
      <c r="AE114" s="9">
        <v>4007235107</v>
      </c>
      <c r="AF114" s="9">
        <v>4007235107</v>
      </c>
      <c r="AG114" s="9">
        <v>4007235107</v>
      </c>
      <c r="AH114" s="9">
        <v>4007235107</v>
      </c>
    </row>
    <row r="115" spans="1:34" x14ac:dyDescent="0.25">
      <c r="A115" s="5">
        <v>142</v>
      </c>
      <c r="B115" s="5" t="s">
        <v>294</v>
      </c>
      <c r="C115" s="5" t="s">
        <v>295</v>
      </c>
      <c r="D115" s="6">
        <v>33604</v>
      </c>
      <c r="E115" s="7">
        <v>1298358478375</v>
      </c>
      <c r="F115" s="7">
        <v>1284437358420</v>
      </c>
      <c r="G115" s="7">
        <v>1026762882496</v>
      </c>
      <c r="H115" s="8">
        <v>1497181021456</v>
      </c>
      <c r="I115" s="8">
        <v>1508596356369</v>
      </c>
      <c r="J115" s="7">
        <v>40675096628</v>
      </c>
      <c r="K115" s="7">
        <v>38648269147</v>
      </c>
      <c r="L115" s="7">
        <v>6563771460</v>
      </c>
      <c r="M115" s="18">
        <v>-12999702678</v>
      </c>
      <c r="N115" s="8">
        <v>30497463746</v>
      </c>
      <c r="Y115" s="7">
        <v>11200000000</v>
      </c>
      <c r="Z115" s="7">
        <v>11200000000</v>
      </c>
      <c r="AA115" s="7">
        <v>11200000000</v>
      </c>
      <c r="AB115" s="39"/>
      <c r="AC115" s="39"/>
      <c r="AD115" s="9">
        <v>1120000000</v>
      </c>
      <c r="AE115" s="9">
        <v>1120000000</v>
      </c>
      <c r="AF115" s="9">
        <v>1120000000</v>
      </c>
      <c r="AG115" s="9">
        <v>1120000000</v>
      </c>
      <c r="AH115" s="9">
        <v>1120000000</v>
      </c>
    </row>
    <row r="116" spans="1:34" x14ac:dyDescent="0.25">
      <c r="A116" s="5">
        <v>143</v>
      </c>
      <c r="B116" s="5" t="s">
        <v>296</v>
      </c>
      <c r="C116" s="5" t="s">
        <v>297</v>
      </c>
      <c r="D116" s="6">
        <v>30152</v>
      </c>
      <c r="E116" s="7">
        <v>4165196478857</v>
      </c>
      <c r="F116" s="7">
        <v>4400655628146</v>
      </c>
      <c r="G116" s="7">
        <v>3743659818718</v>
      </c>
      <c r="H116" s="8">
        <v>4698864127234</v>
      </c>
      <c r="I116" s="8">
        <v>5128133329237</v>
      </c>
      <c r="J116" s="7">
        <v>253995332656</v>
      </c>
      <c r="K116" s="7">
        <v>303593922331</v>
      </c>
      <c r="L116" s="7">
        <v>238152486485</v>
      </c>
      <c r="M116" s="8">
        <v>140694706122</v>
      </c>
      <c r="N116" s="8">
        <v>106708261439</v>
      </c>
      <c r="Y116" s="7">
        <v>72038190000</v>
      </c>
      <c r="Z116" s="7">
        <v>72374190000</v>
      </c>
      <c r="AA116" s="7">
        <v>102861700000</v>
      </c>
      <c r="AB116" s="9">
        <v>61755020000</v>
      </c>
      <c r="AC116" s="9">
        <v>41165680000</v>
      </c>
      <c r="AD116" s="9">
        <v>205583400</v>
      </c>
      <c r="AE116" s="9">
        <v>205583400</v>
      </c>
      <c r="AF116" s="9">
        <v>205583400</v>
      </c>
      <c r="AG116" s="9">
        <v>205583400</v>
      </c>
      <c r="AH116" s="9">
        <v>205583400</v>
      </c>
    </row>
    <row r="117" spans="1:34" x14ac:dyDescent="0.25">
      <c r="A117" s="5">
        <v>144</v>
      </c>
      <c r="B117" s="5" t="s">
        <v>298</v>
      </c>
      <c r="C117" s="5" t="s">
        <v>299</v>
      </c>
      <c r="D117" s="6">
        <v>33227</v>
      </c>
      <c r="E117" s="7">
        <v>2485382578010</v>
      </c>
      <c r="F117" s="7">
        <v>3027942155357</v>
      </c>
      <c r="G117" s="7">
        <v>2915635059892</v>
      </c>
      <c r="H117" s="8">
        <v>2893167569270</v>
      </c>
      <c r="I117" s="8">
        <v>2665946796991</v>
      </c>
      <c r="J117" s="7">
        <v>105468744587</v>
      </c>
      <c r="K117" s="7">
        <v>208249125401</v>
      </c>
      <c r="L117" s="7">
        <v>2783763185</v>
      </c>
      <c r="M117" s="18">
        <v>-210822267539</v>
      </c>
      <c r="N117" s="18">
        <v>-191040268841</v>
      </c>
      <c r="Y117" s="38"/>
      <c r="Z117" s="7">
        <v>20778012975</v>
      </c>
      <c r="AA117" s="38"/>
      <c r="AB117" s="39"/>
      <c r="AC117" s="39"/>
      <c r="AD117" s="9">
        <v>4155602595</v>
      </c>
      <c r="AE117" s="9">
        <v>4155602595</v>
      </c>
      <c r="AF117" s="9">
        <v>4155602595</v>
      </c>
      <c r="AG117" s="9">
        <v>4155602595</v>
      </c>
      <c r="AH117" s="9">
        <v>4155602595</v>
      </c>
    </row>
    <row r="118" spans="1:34" x14ac:dyDescent="0.25">
      <c r="A118" s="5">
        <v>145</v>
      </c>
      <c r="B118" s="5" t="s">
        <v>300</v>
      </c>
      <c r="C118" s="5" t="s">
        <v>301</v>
      </c>
      <c r="D118" s="6">
        <v>39394</v>
      </c>
      <c r="E118" s="13">
        <v>287576140</v>
      </c>
      <c r="F118" s="13">
        <v>161249768</v>
      </c>
      <c r="G118" s="13">
        <v>129626970</v>
      </c>
      <c r="H118" s="24">
        <v>173199932</v>
      </c>
      <c r="I118" s="24">
        <v>147616234</v>
      </c>
      <c r="J118" s="7">
        <v>12000369</v>
      </c>
      <c r="K118" s="13">
        <v>901196</v>
      </c>
      <c r="L118" s="13">
        <v>4834180</v>
      </c>
      <c r="M118" s="24">
        <v>5820485</v>
      </c>
      <c r="N118" s="24">
        <v>9925108</v>
      </c>
      <c r="Y118" s="38"/>
      <c r="Z118" s="38"/>
      <c r="AA118" s="38"/>
      <c r="AB118" s="39"/>
      <c r="AC118" s="39"/>
      <c r="AD118" s="9">
        <v>1771448000</v>
      </c>
      <c r="AE118" s="9">
        <v>5314344000</v>
      </c>
      <c r="AF118" s="9">
        <v>5314344000</v>
      </c>
      <c r="AG118" s="9">
        <v>5314344000</v>
      </c>
      <c r="AH118" s="9">
        <v>5314344000</v>
      </c>
    </row>
    <row r="119" spans="1:34" x14ac:dyDescent="0.25">
      <c r="A119" s="5">
        <v>146</v>
      </c>
      <c r="B119" s="5" t="s">
        <v>302</v>
      </c>
      <c r="C119" s="5" t="s">
        <v>303</v>
      </c>
      <c r="D119" s="6">
        <v>43187</v>
      </c>
      <c r="E119" s="7">
        <v>567956245715</v>
      </c>
      <c r="F119" s="7">
        <v>542056619997</v>
      </c>
      <c r="G119" s="9">
        <v>495492401031</v>
      </c>
      <c r="H119" s="41"/>
      <c r="I119" s="41"/>
      <c r="J119" s="7">
        <v>23702405812</v>
      </c>
      <c r="K119" s="7">
        <v>17348754579</v>
      </c>
      <c r="L119" s="9">
        <v>6975576464</v>
      </c>
      <c r="M119" s="41"/>
      <c r="N119" s="41"/>
      <c r="Y119" s="21"/>
      <c r="Z119" s="21"/>
      <c r="AA119" s="15"/>
      <c r="AB119" s="29"/>
      <c r="AC119" s="27"/>
      <c r="AD119" s="10">
        <v>1016270000</v>
      </c>
      <c r="AE119" s="10">
        <v>2032540000</v>
      </c>
      <c r="AF119" s="10">
        <v>2032540000</v>
      </c>
      <c r="AG119" s="41"/>
      <c r="AH119" s="27"/>
    </row>
    <row r="120" spans="1:34" x14ac:dyDescent="0.25">
      <c r="A120" s="5">
        <v>149</v>
      </c>
      <c r="B120" s="5" t="s">
        <v>308</v>
      </c>
      <c r="C120" s="5" t="s">
        <v>309</v>
      </c>
      <c r="D120" s="49">
        <v>34498</v>
      </c>
      <c r="E120" s="7">
        <v>881275000000</v>
      </c>
      <c r="F120" s="7">
        <v>822375000000</v>
      </c>
      <c r="G120" s="9">
        <v>958791000000</v>
      </c>
      <c r="H120" s="8">
        <v>1304108000000</v>
      </c>
      <c r="I120" s="8">
        <v>1645582000000</v>
      </c>
      <c r="J120" s="7">
        <v>52958000000</v>
      </c>
      <c r="K120" s="7">
        <v>83885000000</v>
      </c>
      <c r="L120" s="9">
        <v>135789000000</v>
      </c>
      <c r="M120" s="8">
        <v>265758000000</v>
      </c>
      <c r="N120" s="8">
        <v>364972000000</v>
      </c>
      <c r="Y120" s="38"/>
      <c r="Z120" s="38"/>
      <c r="AA120" s="39"/>
      <c r="AB120" s="39"/>
      <c r="AC120" s="39"/>
      <c r="AD120" s="9">
        <v>589896800</v>
      </c>
      <c r="AE120" s="10">
        <v>589896800</v>
      </c>
      <c r="AF120" s="9">
        <v>589896800</v>
      </c>
      <c r="AG120" s="9">
        <v>589896800</v>
      </c>
      <c r="AH120" s="9">
        <v>589896800</v>
      </c>
    </row>
    <row r="121" spans="1:34" x14ac:dyDescent="0.25">
      <c r="A121" s="5">
        <v>150</v>
      </c>
      <c r="B121" s="5" t="s">
        <v>310</v>
      </c>
      <c r="C121" s="5" t="s">
        <v>311</v>
      </c>
      <c r="D121" s="6">
        <v>35622</v>
      </c>
      <c r="E121" s="7">
        <v>1816406000000</v>
      </c>
      <c r="F121" s="7">
        <v>1868966000000</v>
      </c>
      <c r="G121" s="7">
        <v>2011557000000</v>
      </c>
      <c r="H121" s="8">
        <v>1761634000000</v>
      </c>
      <c r="I121" s="8">
        <v>1826350000000</v>
      </c>
      <c r="J121" s="16">
        <v>-123513000000</v>
      </c>
      <c r="K121" s="7">
        <v>1134776000000</v>
      </c>
      <c r="L121" s="7">
        <v>1204972000000</v>
      </c>
      <c r="M121" s="8">
        <v>5762000000</v>
      </c>
      <c r="N121" s="8">
        <v>-62359000000</v>
      </c>
      <c r="Y121" s="38"/>
      <c r="Z121" s="38"/>
      <c r="AA121" s="38"/>
      <c r="AB121" s="39"/>
      <c r="AC121" s="39"/>
      <c r="AD121" s="9">
        <v>3218600000</v>
      </c>
      <c r="AE121" s="9">
        <v>3218600000</v>
      </c>
      <c r="AF121" s="9">
        <v>9311800000</v>
      </c>
      <c r="AG121" s="9">
        <v>9311800000</v>
      </c>
      <c r="AH121" s="9">
        <v>9311800000</v>
      </c>
    </row>
    <row r="122" spans="1:34" x14ac:dyDescent="0.25">
      <c r="A122" s="5">
        <v>151</v>
      </c>
      <c r="B122" s="5" t="s">
        <v>312</v>
      </c>
      <c r="C122" s="5" t="s">
        <v>313</v>
      </c>
      <c r="D122" s="6">
        <v>41100</v>
      </c>
      <c r="E122" s="7">
        <v>1109843522344</v>
      </c>
      <c r="F122" s="7">
        <v>1103450087164</v>
      </c>
      <c r="G122" s="7">
        <v>1105874415256</v>
      </c>
      <c r="H122" s="8">
        <v>1089208965375</v>
      </c>
      <c r="I122" s="8">
        <v>1023323308935</v>
      </c>
      <c r="J122" s="16">
        <v>-33021220862</v>
      </c>
      <c r="K122" s="16">
        <v>-7383289239</v>
      </c>
      <c r="L122" s="16">
        <v>-10506939189</v>
      </c>
      <c r="M122" s="18">
        <v>-8932197718</v>
      </c>
      <c r="N122" s="18">
        <v>-16129026748</v>
      </c>
      <c r="Y122" s="38"/>
      <c r="Z122" s="38"/>
      <c r="AA122" s="38"/>
      <c r="AB122" s="39"/>
      <c r="AC122" s="39"/>
      <c r="AD122" s="9">
        <v>2191870558</v>
      </c>
      <c r="AE122" s="9">
        <v>2191870558</v>
      </c>
      <c r="AF122" s="9">
        <v>2191870558</v>
      </c>
      <c r="AG122" s="9">
        <v>2191870558</v>
      </c>
      <c r="AH122" s="9">
        <v>2191870558</v>
      </c>
    </row>
    <row r="123" spans="1:34" x14ac:dyDescent="0.25">
      <c r="A123" s="5">
        <v>152</v>
      </c>
      <c r="B123" s="5" t="s">
        <v>314</v>
      </c>
      <c r="C123" s="5" t="s">
        <v>315</v>
      </c>
      <c r="D123" s="6">
        <v>38121</v>
      </c>
      <c r="E123" s="7">
        <v>5165236468705</v>
      </c>
      <c r="F123" s="7">
        <v>4975248130342</v>
      </c>
      <c r="G123" s="7">
        <v>4223727970626</v>
      </c>
      <c r="H123" s="8">
        <v>4173043810054</v>
      </c>
      <c r="I123" s="8">
        <v>4142039803861</v>
      </c>
      <c r="J123" s="7">
        <v>76001730866</v>
      </c>
      <c r="K123" s="16">
        <v>-83843800594</v>
      </c>
      <c r="L123" s="16">
        <v>-509507890912</v>
      </c>
      <c r="M123" s="18">
        <v>-106511989327</v>
      </c>
      <c r="N123" s="18">
        <v>-133469253051</v>
      </c>
      <c r="Y123" s="38"/>
      <c r="Z123" s="38"/>
      <c r="AA123" s="38"/>
      <c r="AB123" s="39"/>
      <c r="AC123" s="39"/>
      <c r="AD123" s="9">
        <v>46277496376</v>
      </c>
      <c r="AE123" s="9">
        <v>46277496376</v>
      </c>
      <c r="AF123" s="9">
        <v>46277496376</v>
      </c>
      <c r="AG123" s="9">
        <v>46277496376</v>
      </c>
      <c r="AH123" s="9">
        <v>46277496376</v>
      </c>
    </row>
    <row r="124" spans="1:34" x14ac:dyDescent="0.25">
      <c r="A124" s="5">
        <v>153</v>
      </c>
      <c r="B124" s="5" t="s">
        <v>316</v>
      </c>
      <c r="C124" s="50" t="s">
        <v>317</v>
      </c>
      <c r="D124" s="6">
        <v>34827</v>
      </c>
      <c r="E124" s="7">
        <v>3392980000000</v>
      </c>
      <c r="F124" s="7">
        <v>2999767000000</v>
      </c>
      <c r="G124" s="7">
        <v>2963007000000</v>
      </c>
      <c r="H124" s="17">
        <v>2993218000000</v>
      </c>
      <c r="I124" s="17">
        <v>3173651000000</v>
      </c>
      <c r="J124" s="7">
        <v>50467000000</v>
      </c>
      <c r="K124" s="7">
        <v>64021000000</v>
      </c>
      <c r="L124" s="7">
        <v>67093000000</v>
      </c>
      <c r="M124" s="17">
        <v>91723000000</v>
      </c>
      <c r="N124" s="17">
        <v>93065000000</v>
      </c>
      <c r="Y124" s="7">
        <v>17996000000</v>
      </c>
      <c r="Z124" s="7">
        <v>22495000000</v>
      </c>
      <c r="AA124" s="7">
        <v>26994000000</v>
      </c>
      <c r="AB124" s="7">
        <v>26994000000</v>
      </c>
      <c r="AC124" s="9">
        <v>35992000000</v>
      </c>
      <c r="AD124" s="10">
        <v>4498997362</v>
      </c>
      <c r="AE124" s="10">
        <v>4498997362</v>
      </c>
      <c r="AF124" s="10">
        <v>4498997362</v>
      </c>
      <c r="AG124" s="10">
        <v>4498997362</v>
      </c>
      <c r="AH124" s="10">
        <v>4498997362</v>
      </c>
    </row>
    <row r="125" spans="1:34" x14ac:dyDescent="0.25">
      <c r="A125" s="5">
        <v>154</v>
      </c>
      <c r="B125" s="5" t="s">
        <v>318</v>
      </c>
      <c r="C125" s="5" t="s">
        <v>319</v>
      </c>
      <c r="D125" s="6">
        <v>43088</v>
      </c>
      <c r="E125" s="7">
        <v>1004275813783</v>
      </c>
      <c r="F125" s="7">
        <v>1057529235986</v>
      </c>
      <c r="G125" s="7">
        <v>1086873666641</v>
      </c>
      <c r="H125" s="8">
        <v>1146235578463</v>
      </c>
      <c r="I125" s="8">
        <v>1074777460412</v>
      </c>
      <c r="J125" s="7">
        <v>61947295689</v>
      </c>
      <c r="K125" s="7">
        <v>76758829457</v>
      </c>
      <c r="L125" s="7">
        <v>44045828312</v>
      </c>
      <c r="M125" s="8">
        <v>99278807290</v>
      </c>
      <c r="N125" s="8">
        <v>121257336904</v>
      </c>
      <c r="Y125" s="7">
        <v>17665000000</v>
      </c>
      <c r="Z125" s="7">
        <v>25011250011</v>
      </c>
      <c r="AA125" s="38"/>
      <c r="AB125" s="9">
        <v>41195000000</v>
      </c>
      <c r="AC125" s="9">
        <v>205975000000</v>
      </c>
      <c r="AD125" s="10">
        <v>5885000000</v>
      </c>
      <c r="AE125" s="10">
        <v>5885000000</v>
      </c>
      <c r="AF125" s="10">
        <v>5885000000</v>
      </c>
      <c r="AG125" s="10">
        <v>5885000000</v>
      </c>
      <c r="AH125" s="10">
        <v>5885000000</v>
      </c>
    </row>
    <row r="126" spans="1:34" x14ac:dyDescent="0.25">
      <c r="A126" s="5">
        <v>155</v>
      </c>
      <c r="B126" s="5" t="s">
        <v>320</v>
      </c>
      <c r="C126" s="5" t="s">
        <v>321</v>
      </c>
      <c r="D126" s="6">
        <v>35255</v>
      </c>
      <c r="E126" s="7">
        <v>1168956042706</v>
      </c>
      <c r="F126" s="7">
        <v>1393079542074</v>
      </c>
      <c r="G126" s="7">
        <v>1566673828068</v>
      </c>
      <c r="H126" s="8">
        <v>1697387196209</v>
      </c>
      <c r="I126" s="8">
        <v>1718287453575</v>
      </c>
      <c r="J126" s="7">
        <v>92649656775</v>
      </c>
      <c r="K126" s="7">
        <v>215459200242</v>
      </c>
      <c r="L126" s="7">
        <v>181812593992</v>
      </c>
      <c r="M126" s="8">
        <v>187066990085</v>
      </c>
      <c r="N126" s="8">
        <v>220704543072</v>
      </c>
      <c r="Y126" s="7">
        <v>26775000000</v>
      </c>
      <c r="Z126" s="7">
        <v>59500000000</v>
      </c>
      <c r="AA126" s="7">
        <v>59500000000</v>
      </c>
      <c r="AB126" s="9">
        <v>59500000000</v>
      </c>
      <c r="AC126" s="8">
        <v>59500000000</v>
      </c>
      <c r="AD126" s="9">
        <v>595000000</v>
      </c>
      <c r="AE126" s="9">
        <v>595000000</v>
      </c>
      <c r="AF126" s="9">
        <v>595000000</v>
      </c>
      <c r="AG126" s="9">
        <v>595000000</v>
      </c>
      <c r="AH126" s="8">
        <v>595000000</v>
      </c>
    </row>
    <row r="127" spans="1:34" x14ac:dyDescent="0.25">
      <c r="A127" s="5">
        <v>156</v>
      </c>
      <c r="B127" s="5" t="s">
        <v>322</v>
      </c>
      <c r="C127" s="5" t="s">
        <v>323</v>
      </c>
      <c r="D127" s="6">
        <v>42860</v>
      </c>
      <c r="E127" s="7">
        <v>833933861594</v>
      </c>
      <c r="F127" s="7">
        <v>1245144303719</v>
      </c>
      <c r="G127" s="7">
        <v>1310940121622</v>
      </c>
      <c r="H127" s="8">
        <v>1348181576913</v>
      </c>
      <c r="I127" s="8">
        <v>1693523611414</v>
      </c>
      <c r="J127" s="7">
        <v>63261752474</v>
      </c>
      <c r="K127" s="7">
        <v>130756461708</v>
      </c>
      <c r="L127" s="7">
        <v>132772234495</v>
      </c>
      <c r="M127" s="8">
        <v>180711667020</v>
      </c>
      <c r="N127" s="8">
        <v>195598848689</v>
      </c>
      <c r="Y127" s="38"/>
      <c r="Z127" s="38"/>
      <c r="AA127" s="38"/>
      <c r="AB127" s="9">
        <v>59883719000</v>
      </c>
      <c r="AC127" s="9">
        <v>11959987600</v>
      </c>
      <c r="AD127" s="10">
        <v>12000000000</v>
      </c>
      <c r="AE127" s="10">
        <v>12000000000</v>
      </c>
      <c r="AF127" s="10">
        <v>12000000000</v>
      </c>
      <c r="AG127" s="10">
        <v>12000000000</v>
      </c>
      <c r="AH127" s="8">
        <v>12000000000</v>
      </c>
    </row>
    <row r="128" spans="1:34" x14ac:dyDescent="0.25">
      <c r="A128" s="5">
        <v>160</v>
      </c>
      <c r="B128" s="5" t="s">
        <v>330</v>
      </c>
      <c r="C128" s="5" t="s">
        <v>331</v>
      </c>
      <c r="D128" s="6">
        <v>30724</v>
      </c>
      <c r="E128" s="7">
        <v>1523517170000</v>
      </c>
      <c r="F128" s="7">
        <v>1425983722000</v>
      </c>
      <c r="G128" s="7">
        <v>1225580913000</v>
      </c>
      <c r="H128" s="7">
        <v>1308722065000</v>
      </c>
      <c r="I128" s="7">
        <v>1307186367000</v>
      </c>
      <c r="J128" s="7">
        <v>338129985000</v>
      </c>
      <c r="K128" s="7">
        <v>317815177000</v>
      </c>
      <c r="L128" s="7">
        <v>123465762000</v>
      </c>
      <c r="M128" s="7">
        <v>187992998000</v>
      </c>
      <c r="N128" s="7">
        <v>230065807000</v>
      </c>
      <c r="Y128" s="52">
        <v>208171353000</v>
      </c>
      <c r="Z128" s="7">
        <v>382715026000</v>
      </c>
      <c r="AA128" s="7">
        <v>312257030000</v>
      </c>
      <c r="AB128" s="9">
        <v>200164763000</v>
      </c>
      <c r="AC128" s="9">
        <v>240197715000</v>
      </c>
      <c r="AD128" s="9">
        <v>800659050</v>
      </c>
      <c r="AE128" s="9">
        <v>800659050</v>
      </c>
      <c r="AF128" s="9">
        <v>800659050</v>
      </c>
      <c r="AG128" s="10">
        <v>800659050</v>
      </c>
      <c r="AH128" s="10">
        <v>800659050</v>
      </c>
    </row>
    <row r="129" spans="1:34" x14ac:dyDescent="0.25">
      <c r="A129" s="5">
        <v>164</v>
      </c>
      <c r="B129" s="5" t="s">
        <v>338</v>
      </c>
      <c r="C129" s="5" t="s">
        <v>339</v>
      </c>
      <c r="D129" s="6">
        <v>43383</v>
      </c>
      <c r="E129" s="9">
        <v>4212408305683</v>
      </c>
      <c r="F129" s="7">
        <v>5063067672414</v>
      </c>
      <c r="G129" s="9">
        <v>6570969641033</v>
      </c>
      <c r="H129" s="17">
        <v>6766602280143</v>
      </c>
      <c r="I129" s="17">
        <v>7327371934290</v>
      </c>
      <c r="J129" s="9">
        <v>425481597110</v>
      </c>
      <c r="K129" s="7">
        <v>435766359480</v>
      </c>
      <c r="L129" s="9">
        <v>245103761907</v>
      </c>
      <c r="M129" s="8">
        <v>492637672186</v>
      </c>
      <c r="N129" s="8">
        <v>521714035585</v>
      </c>
      <c r="Y129" s="9">
        <v>183082141237</v>
      </c>
      <c r="Z129" s="7">
        <v>132379748022</v>
      </c>
      <c r="AA129" s="9">
        <v>213786027326</v>
      </c>
      <c r="AB129" s="9">
        <v>131923972638</v>
      </c>
      <c r="AC129" s="17">
        <v>221508548952</v>
      </c>
      <c r="AD129" s="10">
        <v>7379580291</v>
      </c>
      <c r="AE129" s="10">
        <v>7379580291</v>
      </c>
      <c r="AF129" s="10">
        <v>7379580291</v>
      </c>
      <c r="AG129" s="10">
        <v>36897901455</v>
      </c>
      <c r="AH129" s="17">
        <v>36897901455</v>
      </c>
    </row>
    <row r="130" spans="1:34" x14ac:dyDescent="0.25">
      <c r="A130" s="5">
        <v>165</v>
      </c>
      <c r="B130" s="5" t="s">
        <v>340</v>
      </c>
      <c r="C130" s="5" t="s">
        <v>341</v>
      </c>
      <c r="D130" s="6">
        <v>42908</v>
      </c>
      <c r="E130" s="7">
        <v>758846556031</v>
      </c>
      <c r="F130" s="7">
        <v>848676035300</v>
      </c>
      <c r="G130" s="7">
        <v>906924214166</v>
      </c>
      <c r="H130" s="8">
        <v>987563580363</v>
      </c>
      <c r="I130" s="8">
        <v>811603660216</v>
      </c>
      <c r="J130" s="7">
        <v>90195136265</v>
      </c>
      <c r="K130" s="7">
        <v>103723133972</v>
      </c>
      <c r="L130" s="7">
        <v>38038419405</v>
      </c>
      <c r="M130" s="8">
        <v>11844682161</v>
      </c>
      <c r="N130" s="8">
        <v>90572477</v>
      </c>
      <c r="Y130" s="7">
        <v>14200138260</v>
      </c>
      <c r="Z130" s="7">
        <v>26140929100</v>
      </c>
      <c r="AA130" s="7">
        <v>28635668400</v>
      </c>
      <c r="AB130" s="9">
        <v>9677752680</v>
      </c>
      <c r="AC130" s="17">
        <v>9677752680</v>
      </c>
      <c r="AD130" s="10">
        <v>2374834620</v>
      </c>
      <c r="AE130" s="10">
        <v>2378405500</v>
      </c>
      <c r="AF130" s="10">
        <v>2419438170</v>
      </c>
      <c r="AG130" s="10">
        <v>9677752680</v>
      </c>
      <c r="AH130" s="17">
        <v>9677752680</v>
      </c>
    </row>
    <row r="131" spans="1:34" x14ac:dyDescent="0.25">
      <c r="A131" s="5">
        <v>167</v>
      </c>
      <c r="B131" s="5" t="s">
        <v>344</v>
      </c>
      <c r="C131" s="5" t="s">
        <v>345</v>
      </c>
      <c r="D131" s="6">
        <v>40458</v>
      </c>
      <c r="E131" s="7">
        <v>34367153000000</v>
      </c>
      <c r="F131" s="7">
        <v>38709314000000</v>
      </c>
      <c r="G131" s="9">
        <v>103588325000000</v>
      </c>
      <c r="H131" s="8">
        <v>118015311000000</v>
      </c>
      <c r="I131" s="8">
        <v>115305536000000</v>
      </c>
      <c r="J131" s="7">
        <v>4658781000000</v>
      </c>
      <c r="K131" s="7">
        <v>5360029000000</v>
      </c>
      <c r="L131" s="9">
        <v>7418574000000</v>
      </c>
      <c r="M131" s="8">
        <v>7911943000000</v>
      </c>
      <c r="N131" s="8">
        <v>5722194000000</v>
      </c>
      <c r="Y131" s="7">
        <v>2689873000000</v>
      </c>
      <c r="Z131" s="7">
        <v>1682890000000</v>
      </c>
      <c r="AA131" s="9">
        <v>2915985000000</v>
      </c>
      <c r="AB131" s="9">
        <v>3629968000000</v>
      </c>
      <c r="AC131" s="9">
        <v>3532886000000</v>
      </c>
      <c r="AD131" s="9">
        <v>11661908000</v>
      </c>
      <c r="AE131" s="9">
        <v>11661908000</v>
      </c>
      <c r="AF131" s="9">
        <v>11661908000</v>
      </c>
      <c r="AG131" s="9">
        <v>11661908000</v>
      </c>
      <c r="AH131" s="9">
        <v>11661908000</v>
      </c>
    </row>
    <row r="132" spans="1:34" x14ac:dyDescent="0.25">
      <c r="A132" s="5">
        <v>168</v>
      </c>
      <c r="B132" s="53" t="s">
        <v>346</v>
      </c>
      <c r="C132" s="54" t="s">
        <v>347</v>
      </c>
      <c r="D132" s="6">
        <v>37543</v>
      </c>
      <c r="E132" s="9">
        <v>298090648072</v>
      </c>
      <c r="F132" s="7">
        <v>384481206140</v>
      </c>
      <c r="G132" s="9">
        <v>343139482249</v>
      </c>
      <c r="H132" s="8">
        <v>299295229177</v>
      </c>
      <c r="I132" s="8">
        <v>251669253000</v>
      </c>
      <c r="J132" s="22">
        <v>-15074081977</v>
      </c>
      <c r="K132" s="7">
        <v>85544158340</v>
      </c>
      <c r="L132" s="22">
        <v>-41519336887</v>
      </c>
      <c r="M132" s="8">
        <v>-43537325070</v>
      </c>
      <c r="N132" s="8">
        <v>-47999640044</v>
      </c>
      <c r="Y132" s="39"/>
      <c r="Z132" s="38"/>
      <c r="AA132" s="39"/>
      <c r="AB132" s="29"/>
      <c r="AC132" s="39"/>
      <c r="AD132" s="9">
        <v>33600000000</v>
      </c>
      <c r="AE132" s="9">
        <v>33600000000</v>
      </c>
      <c r="AF132" s="9">
        <v>33600000000</v>
      </c>
      <c r="AG132" s="9">
        <v>33600000000</v>
      </c>
      <c r="AH132" s="9">
        <v>33600000000</v>
      </c>
    </row>
    <row r="133" spans="1:34" x14ac:dyDescent="0.25">
      <c r="A133" s="5">
        <v>170</v>
      </c>
      <c r="B133" s="5" t="s">
        <v>350</v>
      </c>
      <c r="C133" s="5" t="s">
        <v>351</v>
      </c>
      <c r="D133" s="6">
        <v>34529</v>
      </c>
      <c r="E133" s="9">
        <v>96537796000000</v>
      </c>
      <c r="F133" s="7">
        <v>96198559000000</v>
      </c>
      <c r="G133" s="9">
        <v>163136516000000</v>
      </c>
      <c r="H133" s="8">
        <v>179271840000000</v>
      </c>
      <c r="I133" s="8">
        <v>180433300000000</v>
      </c>
      <c r="J133" s="9">
        <v>4961851000000</v>
      </c>
      <c r="K133" s="7">
        <v>5902729000000</v>
      </c>
      <c r="L133" s="9">
        <v>8752066000000</v>
      </c>
      <c r="M133" s="8">
        <v>11229695000000</v>
      </c>
      <c r="N133" s="8">
        <v>9192569000000</v>
      </c>
      <c r="Y133" s="9">
        <v>3484931000000</v>
      </c>
      <c r="Z133" s="7">
        <v>1974386000000</v>
      </c>
      <c r="AA133" s="9">
        <v>3371943000000</v>
      </c>
      <c r="AB133" s="9">
        <v>4126638000000</v>
      </c>
      <c r="AC133" s="9">
        <v>4201345000000</v>
      </c>
      <c r="AD133" s="9">
        <v>8780426500</v>
      </c>
      <c r="AE133" s="9">
        <v>8780426500</v>
      </c>
      <c r="AF133" s="9">
        <v>8780426500</v>
      </c>
      <c r="AG133" s="9">
        <v>8780426500</v>
      </c>
      <c r="AH133" s="9">
        <v>8780426500</v>
      </c>
    </row>
    <row r="134" spans="1:34" x14ac:dyDescent="0.25">
      <c r="A134" s="5">
        <v>173</v>
      </c>
      <c r="B134" s="5" t="s">
        <v>356</v>
      </c>
      <c r="C134" s="5" t="s">
        <v>357</v>
      </c>
      <c r="D134" s="6">
        <v>41828</v>
      </c>
      <c r="E134" s="7">
        <v>204476568540</v>
      </c>
      <c r="F134" s="7">
        <v>88838496383</v>
      </c>
      <c r="G134" s="7">
        <v>6805984418</v>
      </c>
      <c r="H134" s="8">
        <v>139772224977</v>
      </c>
      <c r="I134" s="8">
        <v>136631700935</v>
      </c>
      <c r="J134" s="16">
        <v>-36887821525</v>
      </c>
      <c r="K134" s="16">
        <v>-121648352901</v>
      </c>
      <c r="L134" s="7">
        <v>56505757661</v>
      </c>
      <c r="M134" s="8">
        <v>-25934090712</v>
      </c>
      <c r="N134" s="23">
        <v>-11779760852</v>
      </c>
      <c r="Y134" s="38"/>
      <c r="Z134" s="38"/>
      <c r="AA134" s="38"/>
      <c r="AB134" s="29"/>
      <c r="AC134" s="39"/>
      <c r="AD134" s="9">
        <v>1003080977</v>
      </c>
      <c r="AE134" s="9">
        <v>1003080977</v>
      </c>
      <c r="AF134" s="9">
        <v>1003080977</v>
      </c>
      <c r="AG134" s="9">
        <v>1003080977</v>
      </c>
      <c r="AH134" s="9">
        <v>3410475322</v>
      </c>
    </row>
    <row r="135" spans="1:34" x14ac:dyDescent="0.25">
      <c r="A135" s="5">
        <v>174</v>
      </c>
      <c r="B135" s="5" t="s">
        <v>358</v>
      </c>
      <c r="C135" s="5" t="s">
        <v>359</v>
      </c>
      <c r="D135" s="6">
        <v>34351</v>
      </c>
      <c r="E135" s="7">
        <v>2889501000000</v>
      </c>
      <c r="F135" s="7">
        <v>2896950000000</v>
      </c>
      <c r="G135" s="9">
        <v>2907425000000</v>
      </c>
      <c r="H135" s="17">
        <v>2922017000000</v>
      </c>
      <c r="I135" s="17">
        <v>3374502000000</v>
      </c>
      <c r="J135" s="7">
        <v>1224807000000</v>
      </c>
      <c r="K135" s="7">
        <v>1206059000000</v>
      </c>
      <c r="L135" s="9">
        <v>285617000000</v>
      </c>
      <c r="M135" s="17">
        <v>665850000000</v>
      </c>
      <c r="N135" s="17">
        <v>924906000000</v>
      </c>
      <c r="Y135" s="7">
        <f>1125138000000+272000000</f>
        <v>1125410000000</v>
      </c>
      <c r="Z135" s="7">
        <v>1228603000000</v>
      </c>
      <c r="AA135" s="39"/>
      <c r="AB135" s="9">
        <v>1000913000000</v>
      </c>
      <c r="AC135" s="9">
        <f>951205000000+27000000</f>
        <v>951232000000</v>
      </c>
      <c r="AD135" s="9">
        <v>2107000000</v>
      </c>
      <c r="AE135" s="9">
        <v>2107000000</v>
      </c>
      <c r="AF135" s="9">
        <v>2107000000</v>
      </c>
      <c r="AG135" s="9">
        <v>2107000000</v>
      </c>
      <c r="AH135" s="17">
        <v>2107000000</v>
      </c>
    </row>
    <row r="136" spans="1:34" x14ac:dyDescent="0.25">
      <c r="A136" s="5">
        <v>175</v>
      </c>
      <c r="B136" s="5" t="s">
        <v>360</v>
      </c>
      <c r="C136" s="5" t="s">
        <v>361</v>
      </c>
      <c r="D136" s="6">
        <v>33058</v>
      </c>
      <c r="E136" s="7">
        <v>17591706426634</v>
      </c>
      <c r="F136" s="7">
        <v>19037918806473</v>
      </c>
      <c r="G136" s="7">
        <v>19777500514550</v>
      </c>
      <c r="H136" s="8">
        <v>19917653265528</v>
      </c>
      <c r="I136" s="8">
        <v>22276160695411</v>
      </c>
      <c r="J136" s="7">
        <v>1760434280304</v>
      </c>
      <c r="K136" s="7">
        <v>2051404206764</v>
      </c>
      <c r="L136" s="7">
        <v>2098168514645</v>
      </c>
      <c r="M136" s="17">
        <v>1211052647953</v>
      </c>
      <c r="N136" s="8">
        <v>1970064538149</v>
      </c>
      <c r="Y136" s="7">
        <f>603684892575+12865125000</f>
        <v>616550017575</v>
      </c>
      <c r="Z136" s="7">
        <v>662654792025</v>
      </c>
      <c r="AA136" s="7">
        <v>685013491750</v>
      </c>
      <c r="AB136" s="9">
        <f>1162652385700+44109000000</f>
        <v>1206761385700</v>
      </c>
      <c r="AC136" s="9">
        <f>469532694225+63568812500</f>
        <v>533101506725</v>
      </c>
      <c r="AD136" s="9">
        <v>22358699725</v>
      </c>
      <c r="AE136" s="9">
        <v>22358699725</v>
      </c>
      <c r="AF136" s="9">
        <v>22358699725</v>
      </c>
      <c r="AG136" s="9">
        <v>22358699725</v>
      </c>
      <c r="AH136" s="9">
        <v>22358699725</v>
      </c>
    </row>
    <row r="137" spans="1:34" x14ac:dyDescent="0.25">
      <c r="A137" s="5">
        <v>177</v>
      </c>
      <c r="B137" s="5" t="s">
        <v>364</v>
      </c>
      <c r="C137" s="5" t="s">
        <v>365</v>
      </c>
      <c r="D137" s="6">
        <v>43361</v>
      </c>
      <c r="E137" s="7">
        <v>149593161546</v>
      </c>
      <c r="F137" s="7">
        <v>119708955785</v>
      </c>
      <c r="G137" s="7">
        <v>112591210595</v>
      </c>
      <c r="H137" s="7">
        <v>13296259876000</v>
      </c>
      <c r="I137" s="7">
        <v>15938444031000</v>
      </c>
      <c r="J137" s="7">
        <v>1175166829</v>
      </c>
      <c r="K137" s="16">
        <v>-727591568</v>
      </c>
      <c r="L137" s="16">
        <v>-539926618</v>
      </c>
      <c r="M137" s="7">
        <v>1680076000</v>
      </c>
      <c r="N137" s="7">
        <v>288311135000</v>
      </c>
      <c r="Y137" s="21"/>
      <c r="Z137" s="21"/>
      <c r="AA137" s="21"/>
      <c r="AB137" s="39"/>
      <c r="AC137" s="39"/>
      <c r="AD137" s="10">
        <v>410000000</v>
      </c>
      <c r="AE137" s="10">
        <v>410000000</v>
      </c>
      <c r="AF137" s="10">
        <v>410000000</v>
      </c>
      <c r="AG137" s="10">
        <v>410000000</v>
      </c>
      <c r="AH137" s="17">
        <v>13530000000</v>
      </c>
    </row>
    <row r="138" spans="1:34" x14ac:dyDescent="0.25">
      <c r="A138" s="5">
        <v>178</v>
      </c>
      <c r="B138" s="5" t="s">
        <v>366</v>
      </c>
      <c r="C138" s="5" t="s">
        <v>367</v>
      </c>
      <c r="D138" s="6">
        <v>43098</v>
      </c>
      <c r="E138" s="7">
        <v>117423511774</v>
      </c>
      <c r="F138" s="7">
        <v>124735506556</v>
      </c>
      <c r="G138" s="7">
        <v>103351122210</v>
      </c>
      <c r="H138" s="7">
        <v>100382982900</v>
      </c>
      <c r="I138" s="7">
        <v>102809758188</v>
      </c>
      <c r="J138" s="16">
        <v>-8385167515</v>
      </c>
      <c r="K138" s="16">
        <v>-10257599104</v>
      </c>
      <c r="L138" s="16">
        <v>-15957991606</v>
      </c>
      <c r="M138" s="7">
        <v>1278943528</v>
      </c>
      <c r="N138" s="7">
        <v>4932754628</v>
      </c>
      <c r="Y138" s="21"/>
      <c r="Z138" s="21"/>
      <c r="AA138" s="21"/>
      <c r="AB138" s="39"/>
      <c r="AC138" s="39"/>
      <c r="AD138" s="10">
        <v>1166666700</v>
      </c>
      <c r="AE138" s="10">
        <v>1166666700</v>
      </c>
      <c r="AF138" s="10">
        <v>1166666700</v>
      </c>
      <c r="AG138" s="10">
        <v>1166666700</v>
      </c>
      <c r="AH138" s="10">
        <v>1166666700</v>
      </c>
    </row>
    <row r="139" spans="1:34" x14ac:dyDescent="0.25">
      <c r="A139" s="5">
        <v>180</v>
      </c>
      <c r="B139" s="5" t="s">
        <v>370</v>
      </c>
      <c r="C139" s="5" t="s">
        <v>371</v>
      </c>
      <c r="D139" s="6">
        <v>34625</v>
      </c>
      <c r="E139" s="7">
        <v>697657400651</v>
      </c>
      <c r="F139" s="7">
        <v>763492320252</v>
      </c>
      <c r="G139" s="7">
        <v>765375539783</v>
      </c>
      <c r="H139" s="8">
        <v>707396790275</v>
      </c>
      <c r="I139" s="8">
        <v>705620167464</v>
      </c>
      <c r="J139" s="16">
        <v>-46599426588</v>
      </c>
      <c r="K139" s="16">
        <v>-25762573884</v>
      </c>
      <c r="L139" s="16">
        <v>-52304824027</v>
      </c>
      <c r="M139" s="18">
        <v>-82495584993</v>
      </c>
      <c r="N139" s="18">
        <v>-25834965122</v>
      </c>
      <c r="Y139" s="7">
        <v>15358564525</v>
      </c>
      <c r="Z139" s="7">
        <v>38561559075</v>
      </c>
      <c r="AA139" s="21"/>
      <c r="AB139" s="39"/>
      <c r="AC139" s="39"/>
      <c r="AD139" s="9">
        <v>1440000000</v>
      </c>
      <c r="AE139" s="9">
        <v>1440000000</v>
      </c>
      <c r="AF139" s="9">
        <v>1440000000</v>
      </c>
      <c r="AG139" s="9">
        <v>1440000000</v>
      </c>
      <c r="AH139" s="9">
        <v>1440000000</v>
      </c>
    </row>
    <row r="140" spans="1:34" x14ac:dyDescent="0.25">
      <c r="A140" s="5">
        <v>182</v>
      </c>
      <c r="B140" s="5" t="s">
        <v>374</v>
      </c>
      <c r="C140" s="5" t="s">
        <v>375</v>
      </c>
      <c r="D140" s="6">
        <v>40357</v>
      </c>
      <c r="E140" s="7">
        <v>4393810380883</v>
      </c>
      <c r="F140" s="7">
        <v>4682083844951</v>
      </c>
      <c r="G140" s="9">
        <v>4452166671985</v>
      </c>
      <c r="H140" s="17">
        <v>4191284422677</v>
      </c>
      <c r="I140" s="17">
        <v>4130321616083</v>
      </c>
      <c r="J140" s="7">
        <v>127171436363</v>
      </c>
      <c r="K140" s="7">
        <v>236518557420</v>
      </c>
      <c r="L140" s="9">
        <v>168610282478</v>
      </c>
      <c r="M140" s="17">
        <v>283602993676</v>
      </c>
      <c r="N140" s="8">
        <v>432247722254</v>
      </c>
      <c r="Y140" s="7">
        <v>36005365328</v>
      </c>
      <c r="Z140" s="7">
        <v>59724779679</v>
      </c>
      <c r="AA140" s="9">
        <v>149528741987</v>
      </c>
      <c r="AB140" s="9">
        <v>297289648543</v>
      </c>
      <c r="AC140" s="9">
        <v>346139578657</v>
      </c>
      <c r="AD140" s="9">
        <v>6186488888</v>
      </c>
      <c r="AE140" s="9">
        <v>6186488888</v>
      </c>
      <c r="AF140" s="9">
        <v>6186488888</v>
      </c>
      <c r="AG140" s="10">
        <v>6186488888</v>
      </c>
      <c r="AH140" s="10">
        <v>6186488888</v>
      </c>
    </row>
    <row r="141" spans="1:34" x14ac:dyDescent="0.25">
      <c r="A141" s="5">
        <v>183</v>
      </c>
      <c r="B141" s="5" t="s">
        <v>376</v>
      </c>
      <c r="C141" s="5" t="s">
        <v>377</v>
      </c>
      <c r="D141" s="6">
        <v>41180</v>
      </c>
      <c r="E141" s="7">
        <v>1771365972009</v>
      </c>
      <c r="F141" s="7">
        <v>1820383352811</v>
      </c>
      <c r="G141" s="7">
        <v>1768660546754</v>
      </c>
      <c r="H141" s="8">
        <v>1970428120056</v>
      </c>
      <c r="I141" s="8">
        <v>2042199577083</v>
      </c>
      <c r="J141" s="7">
        <v>15954632472</v>
      </c>
      <c r="K141" s="7">
        <v>957169058</v>
      </c>
      <c r="L141" s="7">
        <v>5415741808</v>
      </c>
      <c r="M141" s="8">
        <v>29707421605</v>
      </c>
      <c r="N141" s="8">
        <v>86635603936</v>
      </c>
      <c r="Y141" s="38"/>
      <c r="Z141" s="38"/>
      <c r="AA141" s="38"/>
      <c r="AB141" s="9">
        <v>2076123860</v>
      </c>
      <c r="AC141" s="8">
        <v>2076123860</v>
      </c>
      <c r="AD141" s="9">
        <v>1726003217</v>
      </c>
      <c r="AE141" s="9">
        <v>1726003217</v>
      </c>
      <c r="AF141" s="9">
        <v>1726003217</v>
      </c>
      <c r="AG141" s="10">
        <v>1726003217</v>
      </c>
      <c r="AH141" s="8">
        <v>1730103217</v>
      </c>
    </row>
    <row r="142" spans="1:34" x14ac:dyDescent="0.25">
      <c r="A142" s="5">
        <v>184</v>
      </c>
      <c r="B142" s="5" t="s">
        <v>378</v>
      </c>
      <c r="C142" s="5" t="s">
        <v>379</v>
      </c>
      <c r="D142" s="6">
        <v>34220</v>
      </c>
      <c r="E142" s="7">
        <v>747293725435</v>
      </c>
      <c r="F142" s="7">
        <v>790845543826</v>
      </c>
      <c r="G142" s="7">
        <v>773863042440</v>
      </c>
      <c r="H142" s="17">
        <v>889125250792</v>
      </c>
      <c r="I142" s="17">
        <v>1033289474829</v>
      </c>
      <c r="J142" s="7">
        <v>31954131252</v>
      </c>
      <c r="K142" s="7">
        <v>44943627900</v>
      </c>
      <c r="L142" s="7">
        <v>42520246722</v>
      </c>
      <c r="M142" s="17">
        <v>84524160228</v>
      </c>
      <c r="N142" s="17">
        <v>74865302076</v>
      </c>
      <c r="Y142" s="7">
        <v>4351665150</v>
      </c>
      <c r="Z142" s="7">
        <v>5594998050</v>
      </c>
      <c r="AA142" s="7">
        <v>9324996750</v>
      </c>
      <c r="AB142" s="9">
        <v>9324996750</v>
      </c>
      <c r="AC142" s="17">
        <v>29841405600</v>
      </c>
      <c r="AD142" s="9">
        <v>690740500</v>
      </c>
      <c r="AE142" s="9">
        <v>690740500</v>
      </c>
      <c r="AF142" s="17">
        <v>690740500</v>
      </c>
      <c r="AG142" s="9">
        <v>690740500</v>
      </c>
      <c r="AH142" s="9">
        <v>690740500</v>
      </c>
    </row>
    <row r="143" spans="1:34" x14ac:dyDescent="0.25">
      <c r="A143" s="5">
        <v>185</v>
      </c>
      <c r="B143" s="5" t="s">
        <v>380</v>
      </c>
      <c r="C143" s="5" t="s">
        <v>381</v>
      </c>
      <c r="D143" s="6">
        <v>35415</v>
      </c>
      <c r="E143" s="7">
        <v>2631189810030</v>
      </c>
      <c r="F143" s="7">
        <v>2881563083954</v>
      </c>
      <c r="G143" s="7">
        <v>3448995059882</v>
      </c>
      <c r="H143" s="7">
        <v>3919243683748</v>
      </c>
      <c r="I143" s="7">
        <v>4590737849889</v>
      </c>
      <c r="J143" s="7">
        <v>255088886019</v>
      </c>
      <c r="K143" s="7">
        <v>482590522840</v>
      </c>
      <c r="L143" s="7">
        <v>628628879549</v>
      </c>
      <c r="M143" s="7">
        <v>617573766863</v>
      </c>
      <c r="N143" s="7">
        <v>624524005786</v>
      </c>
      <c r="Y143" s="38"/>
      <c r="Z143" s="38"/>
      <c r="AA143" s="7">
        <v>100005400000</v>
      </c>
      <c r="AB143" s="39"/>
      <c r="AC143" s="39"/>
      <c r="AD143" s="9">
        <v>1310000000</v>
      </c>
      <c r="AE143" s="9">
        <v>1310000000</v>
      </c>
      <c r="AF143" s="9">
        <v>1310000000</v>
      </c>
      <c r="AG143" s="9">
        <v>1310000000</v>
      </c>
      <c r="AH143" s="9">
        <v>1310000000</v>
      </c>
    </row>
    <row r="144" spans="1:34" x14ac:dyDescent="0.25">
      <c r="A144" s="5">
        <v>188</v>
      </c>
      <c r="B144" s="5" t="s">
        <v>386</v>
      </c>
      <c r="C144" s="5" t="s">
        <v>387</v>
      </c>
      <c r="D144" s="6">
        <v>33056</v>
      </c>
      <c r="E144" s="7">
        <v>5555871000000</v>
      </c>
      <c r="F144" s="7">
        <v>6608422000000</v>
      </c>
      <c r="G144" s="9">
        <v>8754116000000</v>
      </c>
      <c r="H144" s="17">
        <v>7406856000000</v>
      </c>
      <c r="I144" s="8">
        <v>7376375000000</v>
      </c>
      <c r="J144" s="7">
        <v>701607000000</v>
      </c>
      <c r="K144" s="7">
        <v>1035865000000</v>
      </c>
      <c r="L144" s="9">
        <v>1109666000000</v>
      </c>
      <c r="M144" s="17">
        <v>1276793000000</v>
      </c>
      <c r="N144" s="8">
        <v>965486000000</v>
      </c>
      <c r="Y144" s="7">
        <v>1251000000</v>
      </c>
      <c r="Z144" s="7">
        <v>150042000000</v>
      </c>
      <c r="AA144" s="7">
        <v>136678000000</v>
      </c>
      <c r="AB144" s="9">
        <v>894810000000</v>
      </c>
      <c r="AC144" s="8">
        <v>271804000000</v>
      </c>
      <c r="AD144" s="9">
        <v>11553528000</v>
      </c>
      <c r="AE144" s="9">
        <v>11553528000</v>
      </c>
      <c r="AF144" s="9">
        <v>11553528000</v>
      </c>
      <c r="AG144" s="9">
        <v>11553528000</v>
      </c>
      <c r="AH144" s="9">
        <v>11553528000</v>
      </c>
    </row>
    <row r="145" spans="1:34" x14ac:dyDescent="0.25">
      <c r="A145" s="5">
        <v>191</v>
      </c>
      <c r="B145" s="5" t="s">
        <v>392</v>
      </c>
      <c r="C145" s="5" t="s">
        <v>393</v>
      </c>
      <c r="D145" s="6">
        <v>33112</v>
      </c>
      <c r="E145" s="7">
        <v>69097219000000</v>
      </c>
      <c r="F145" s="7">
        <v>78647274000000</v>
      </c>
      <c r="G145" s="7">
        <v>78191409000000</v>
      </c>
      <c r="H145" s="8">
        <v>89964369000000</v>
      </c>
      <c r="I145" s="8">
        <v>88562617000000</v>
      </c>
      <c r="J145" s="7">
        <v>7793068000000</v>
      </c>
      <c r="K145" s="7">
        <v>10880704000000</v>
      </c>
      <c r="L145" s="7">
        <v>7647729000000</v>
      </c>
      <c r="M145" s="8">
        <v>5605321000000</v>
      </c>
      <c r="N145" s="8">
        <v>2779742000000</v>
      </c>
      <c r="Y145" s="7">
        <v>5015990000000</v>
      </c>
      <c r="Z145" s="7">
        <v>5002629000000</v>
      </c>
      <c r="AA145" s="38"/>
      <c r="AB145" s="7">
        <v>5002629000000</v>
      </c>
      <c r="AC145" s="9">
        <v>4329198000000</v>
      </c>
      <c r="AD145" s="9">
        <v>1924088000</v>
      </c>
      <c r="AE145" s="9">
        <v>1924088000</v>
      </c>
      <c r="AF145" s="9">
        <v>1924088000</v>
      </c>
      <c r="AG145" s="9">
        <v>1924088000</v>
      </c>
      <c r="AH145" s="9">
        <v>1924088000</v>
      </c>
    </row>
    <row r="146" spans="1:34" x14ac:dyDescent="0.25">
      <c r="A146" s="5">
        <v>192</v>
      </c>
      <c r="B146" s="5" t="s">
        <v>394</v>
      </c>
      <c r="C146" s="5" t="s">
        <v>395</v>
      </c>
      <c r="D146" s="6">
        <v>33100</v>
      </c>
      <c r="E146" s="7">
        <v>46602420000000</v>
      </c>
      <c r="F146" s="7">
        <v>50902806000000</v>
      </c>
      <c r="G146" s="9">
        <v>49674030000000</v>
      </c>
      <c r="H146" s="17">
        <v>53090428000000</v>
      </c>
      <c r="I146" s="17">
        <v>54786992000000</v>
      </c>
      <c r="J146" s="7">
        <v>13538418000000</v>
      </c>
      <c r="K146" s="7">
        <v>13721513000000</v>
      </c>
      <c r="L146" s="9">
        <v>8581378000000</v>
      </c>
      <c r="M146" s="17">
        <v>7137097000000</v>
      </c>
      <c r="N146" s="17">
        <v>6323744000000</v>
      </c>
      <c r="Y146" s="7">
        <v>12480930000000</v>
      </c>
      <c r="Z146" s="7">
        <v>13632478000000</v>
      </c>
      <c r="AA146" s="9">
        <v>13934906000000</v>
      </c>
      <c r="AB146" s="9">
        <v>8467956000000</v>
      </c>
      <c r="AC146" s="9">
        <v>7362934000000</v>
      </c>
      <c r="AD146" s="9">
        <v>116318076900</v>
      </c>
      <c r="AE146" s="9">
        <v>116318076900</v>
      </c>
      <c r="AF146" s="9">
        <v>116318076900</v>
      </c>
      <c r="AG146" s="10">
        <v>116318076900</v>
      </c>
      <c r="AH146" s="17">
        <v>116318076900</v>
      </c>
    </row>
    <row r="147" spans="1:34" x14ac:dyDescent="0.25">
      <c r="A147" s="5">
        <v>194</v>
      </c>
      <c r="B147" s="5" t="s">
        <v>398</v>
      </c>
      <c r="C147" s="5" t="s">
        <v>399</v>
      </c>
      <c r="D147" s="6">
        <v>41261</v>
      </c>
      <c r="E147" s="7">
        <v>1255573914558</v>
      </c>
      <c r="F147" s="7">
        <v>1299521608556</v>
      </c>
      <c r="G147" s="7">
        <v>1614442007528</v>
      </c>
      <c r="H147" s="8">
        <v>1891169731202</v>
      </c>
      <c r="I147" s="8">
        <v>2168793843296</v>
      </c>
      <c r="J147" s="7">
        <v>51142850919</v>
      </c>
      <c r="K147" s="7">
        <v>27328091481</v>
      </c>
      <c r="L147" s="7">
        <v>172506562986</v>
      </c>
      <c r="M147" s="8">
        <v>176877010231</v>
      </c>
      <c r="N147" s="8">
        <v>249644129079</v>
      </c>
      <c r="Y147" s="21"/>
      <c r="Z147" s="7">
        <v>5262051350</v>
      </c>
      <c r="AA147" s="7">
        <v>7396640460</v>
      </c>
      <c r="AB147" s="9">
        <v>43107835060</v>
      </c>
      <c r="AC147" s="8">
        <v>45442956384</v>
      </c>
      <c r="AD147" s="9">
        <v>2099873760</v>
      </c>
      <c r="AE147" s="9">
        <v>2099873760</v>
      </c>
      <c r="AF147" s="9">
        <v>2099873760</v>
      </c>
      <c r="AG147" s="10">
        <v>2099873760</v>
      </c>
      <c r="AH147" s="8">
        <v>2099873760</v>
      </c>
    </row>
    <row r="148" spans="1:34" x14ac:dyDescent="0.25">
      <c r="A148" s="5">
        <v>195</v>
      </c>
      <c r="B148" s="5" t="s">
        <v>400</v>
      </c>
      <c r="C148" s="5" t="s">
        <v>401</v>
      </c>
      <c r="D148" s="6">
        <v>34649</v>
      </c>
      <c r="E148" s="7">
        <v>1682821739000</v>
      </c>
      <c r="F148" s="7">
        <v>1829960714000</v>
      </c>
      <c r="G148" s="9">
        <v>1986711872000</v>
      </c>
      <c r="H148" s="8">
        <v>2082911322000</v>
      </c>
      <c r="I148" s="8">
        <v>2009139485000</v>
      </c>
      <c r="J148" s="7">
        <v>200651968000</v>
      </c>
      <c r="K148" s="7">
        <v>221783249000</v>
      </c>
      <c r="L148" s="9">
        <v>162072984000</v>
      </c>
      <c r="M148" s="8">
        <v>146505337000</v>
      </c>
      <c r="N148" s="8">
        <v>149375011000</v>
      </c>
      <c r="Y148" s="7">
        <v>119406233000</v>
      </c>
      <c r="Z148" s="7">
        <v>119618582000</v>
      </c>
      <c r="AA148" s="9">
        <v>119840000000</v>
      </c>
      <c r="AB148" s="9">
        <v>125440000000</v>
      </c>
      <c r="AC148" s="9">
        <v>125440000000</v>
      </c>
      <c r="AD148" s="9">
        <v>1120000000</v>
      </c>
      <c r="AE148" s="9">
        <v>1120000000</v>
      </c>
      <c r="AF148" s="9">
        <v>1120000000</v>
      </c>
      <c r="AG148" s="10">
        <v>1120000000</v>
      </c>
      <c r="AH148" s="8">
        <v>1120000000</v>
      </c>
    </row>
    <row r="149" spans="1:34" x14ac:dyDescent="0.25">
      <c r="A149" s="5">
        <v>196</v>
      </c>
      <c r="B149" s="5" t="s">
        <v>402</v>
      </c>
      <c r="C149" s="5" t="s">
        <v>403</v>
      </c>
      <c r="D149" s="6">
        <v>36998</v>
      </c>
      <c r="E149" s="7">
        <v>1442350608575</v>
      </c>
      <c r="F149" s="7">
        <v>1383935194386</v>
      </c>
      <c r="G149" s="7">
        <v>1713334658849</v>
      </c>
      <c r="H149" s="8">
        <v>2011879396142</v>
      </c>
      <c r="I149" s="8">
        <v>1534000446508</v>
      </c>
      <c r="J149" s="16">
        <v>-32736482313</v>
      </c>
      <c r="K149" s="7">
        <v>7961966026</v>
      </c>
      <c r="L149" s="7">
        <v>30020709</v>
      </c>
      <c r="M149" s="18">
        <v>-37571241226</v>
      </c>
      <c r="N149" s="18">
        <v>-428487671595</v>
      </c>
      <c r="Y149" s="21"/>
      <c r="Z149" s="21"/>
      <c r="AA149" s="21"/>
      <c r="AB149" s="39"/>
      <c r="AC149" s="39"/>
      <c r="AD149" s="9">
        <v>3099267500</v>
      </c>
      <c r="AE149" s="9">
        <v>3099267500</v>
      </c>
      <c r="AF149" s="9">
        <v>3099267500</v>
      </c>
      <c r="AG149" s="10">
        <v>3099267500</v>
      </c>
      <c r="AH149" s="10">
        <v>3099267500</v>
      </c>
    </row>
    <row r="150" spans="1:34" x14ac:dyDescent="0.25">
      <c r="A150" s="5">
        <v>197</v>
      </c>
      <c r="B150" s="5" t="s">
        <v>404</v>
      </c>
      <c r="C150" s="5" t="s">
        <v>405</v>
      </c>
      <c r="D150" s="6">
        <v>37076</v>
      </c>
      <c r="E150" s="7">
        <v>9460427317681</v>
      </c>
      <c r="F150" s="7">
        <v>18352877132000</v>
      </c>
      <c r="G150" s="7">
        <v>17562816674000</v>
      </c>
      <c r="H150" s="8">
        <v>17760195040000</v>
      </c>
      <c r="I150" s="8">
        <v>20353992893000</v>
      </c>
      <c r="J150" s="7">
        <v>401792808948</v>
      </c>
      <c r="K150" s="7">
        <v>15890439000</v>
      </c>
      <c r="L150" s="7">
        <v>20425756000</v>
      </c>
      <c r="M150" s="8">
        <v>289888789000</v>
      </c>
      <c r="N150" s="18">
        <v>-109782957000</v>
      </c>
      <c r="Y150" s="7">
        <v>98083640000</v>
      </c>
      <c r="Z150" s="7">
        <v>83198920000</v>
      </c>
      <c r="AA150" s="7">
        <v>32322987000</v>
      </c>
      <c r="AB150" s="9">
        <v>17528119000</v>
      </c>
      <c r="AC150" s="9">
        <v>90682089000</v>
      </c>
      <c r="AD150" s="9">
        <v>5554000000</v>
      </c>
      <c r="AE150" s="9">
        <v>5554000000</v>
      </c>
      <c r="AF150" s="9">
        <v>5554000000</v>
      </c>
      <c r="AG150" s="9">
        <v>5554000000</v>
      </c>
      <c r="AH150" s="9">
        <v>5554000000</v>
      </c>
    </row>
    <row r="151" spans="1:34" x14ac:dyDescent="0.25">
      <c r="A151" s="5">
        <v>198</v>
      </c>
      <c r="B151" s="5" t="s">
        <v>406</v>
      </c>
      <c r="C151" s="5" t="s">
        <v>407</v>
      </c>
      <c r="D151" s="6">
        <v>33449</v>
      </c>
      <c r="E151" s="7">
        <v>18146206145369</v>
      </c>
      <c r="F151" s="7">
        <v>20264726862584</v>
      </c>
      <c r="G151" s="9">
        <v>22564300317374</v>
      </c>
      <c r="H151" s="8">
        <v>25666635156271</v>
      </c>
      <c r="I151" s="8">
        <v>27241313025674</v>
      </c>
      <c r="J151" s="7">
        <v>2497261964757</v>
      </c>
      <c r="K151" s="7">
        <v>2537601823645</v>
      </c>
      <c r="L151" s="9">
        <v>2799622515814</v>
      </c>
      <c r="M151" s="8">
        <v>3232007683281</v>
      </c>
      <c r="N151" s="8">
        <v>3450083412291</v>
      </c>
      <c r="Y151" s="7">
        <v>1190617265850</v>
      </c>
      <c r="Z151" s="9">
        <v>1252864180779</v>
      </c>
      <c r="AA151" s="9">
        <v>1252278191746</v>
      </c>
      <c r="AB151" s="9">
        <v>1372742724917</v>
      </c>
      <c r="AC151" s="9">
        <v>1696987952180</v>
      </c>
      <c r="AD151" s="9">
        <v>46875122110</v>
      </c>
      <c r="AE151" s="9">
        <v>46875122110</v>
      </c>
      <c r="AF151" s="9">
        <v>46875122110</v>
      </c>
      <c r="AG151" s="9">
        <v>46875122110</v>
      </c>
      <c r="AH151" s="9">
        <v>46875122110</v>
      </c>
    </row>
    <row r="152" spans="1:34" x14ac:dyDescent="0.25">
      <c r="A152" s="5">
        <v>199</v>
      </c>
      <c r="B152" s="5" t="s">
        <v>408</v>
      </c>
      <c r="C152" s="5" t="s">
        <v>409</v>
      </c>
      <c r="D152" s="6">
        <v>29790</v>
      </c>
      <c r="E152" s="7">
        <v>1263113689000</v>
      </c>
      <c r="F152" s="7">
        <v>901060986000</v>
      </c>
      <c r="G152" s="9">
        <v>929901046000</v>
      </c>
      <c r="H152" s="8">
        <v>1026266866000</v>
      </c>
      <c r="I152" s="8">
        <v>1037647240000</v>
      </c>
      <c r="J152" s="7">
        <v>1163324165000</v>
      </c>
      <c r="K152" s="7">
        <v>78256797000</v>
      </c>
      <c r="L152" s="9">
        <v>71902263000</v>
      </c>
      <c r="M152" s="8">
        <v>131660834000</v>
      </c>
      <c r="N152" s="8">
        <v>179837759000</v>
      </c>
      <c r="Y152" s="7">
        <v>1265600000000</v>
      </c>
      <c r="Z152" s="21"/>
      <c r="AA152" s="9">
        <v>58240000000</v>
      </c>
      <c r="AB152" s="39"/>
      <c r="AC152" s="39"/>
      <c r="AD152" s="9">
        <v>448000000</v>
      </c>
      <c r="AE152" s="9">
        <v>448000000</v>
      </c>
      <c r="AF152" s="9">
        <v>448000000</v>
      </c>
      <c r="AG152" s="9">
        <v>448000000</v>
      </c>
      <c r="AH152" s="9">
        <v>448000000</v>
      </c>
    </row>
    <row r="153" spans="1:34" x14ac:dyDescent="0.25">
      <c r="A153" s="5">
        <v>200</v>
      </c>
      <c r="B153" s="5" t="s">
        <v>410</v>
      </c>
      <c r="C153" s="5" t="s">
        <v>411</v>
      </c>
      <c r="D153" s="6">
        <v>43460</v>
      </c>
      <c r="E153" s="7">
        <v>1868663546000</v>
      </c>
      <c r="F153" s="7">
        <v>2096719180000</v>
      </c>
      <c r="G153" s="7">
        <v>1915989375000</v>
      </c>
      <c r="H153" s="8">
        <v>1838539299000</v>
      </c>
      <c r="I153" s="8">
        <v>1806280965000</v>
      </c>
      <c r="J153" s="7">
        <v>133292514000</v>
      </c>
      <c r="K153" s="7">
        <v>102310124000</v>
      </c>
      <c r="L153" s="7">
        <v>48665149000</v>
      </c>
      <c r="M153" s="8">
        <v>11296951000</v>
      </c>
      <c r="N153" s="8">
        <v>27395254000</v>
      </c>
      <c r="Y153" s="7">
        <v>87686243000</v>
      </c>
      <c r="Z153" s="7">
        <v>92716852000</v>
      </c>
      <c r="AA153" s="7">
        <v>71447083000</v>
      </c>
      <c r="AB153" s="9">
        <v>19395150000</v>
      </c>
      <c r="AC153" s="8">
        <v>6644400000</v>
      </c>
      <c r="AD153" s="10">
        <v>840000000</v>
      </c>
      <c r="AE153" s="10">
        <v>840000000</v>
      </c>
      <c r="AF153" s="9">
        <v>840000000</v>
      </c>
      <c r="AG153" s="9">
        <v>840000000</v>
      </c>
      <c r="AH153" s="9">
        <v>840000000</v>
      </c>
    </row>
    <row r="154" spans="1:34" x14ac:dyDescent="0.25">
      <c r="A154" s="5">
        <v>201</v>
      </c>
      <c r="B154" s="5" t="s">
        <v>412</v>
      </c>
      <c r="C154" s="5" t="s">
        <v>413</v>
      </c>
      <c r="D154" s="6">
        <v>37180</v>
      </c>
      <c r="E154" s="7">
        <v>187057163854</v>
      </c>
      <c r="F154" s="7">
        <v>190786208250</v>
      </c>
      <c r="G154" s="9">
        <v>228575380866</v>
      </c>
      <c r="H154" s="17">
        <v>806221575272</v>
      </c>
      <c r="I154" s="17">
        <v>1520568653644</v>
      </c>
      <c r="J154" s="7">
        <v>8447447988</v>
      </c>
      <c r="K154" s="7">
        <v>9342718039</v>
      </c>
      <c r="L154" s="9">
        <v>22104364267</v>
      </c>
      <c r="M154" s="17">
        <v>5478952440</v>
      </c>
      <c r="N154" s="17">
        <v>275472011358</v>
      </c>
      <c r="Y154" s="21"/>
      <c r="Z154" s="7">
        <v>2140320000</v>
      </c>
      <c r="AA154" s="15"/>
      <c r="AB154" s="39"/>
      <c r="AC154" s="39"/>
      <c r="AD154" s="10">
        <v>535080000</v>
      </c>
      <c r="AE154" s="10">
        <v>535080000</v>
      </c>
      <c r="AF154" s="9">
        <v>535080000</v>
      </c>
      <c r="AG154" s="9">
        <v>535080000</v>
      </c>
      <c r="AH154" s="9">
        <v>535080000</v>
      </c>
    </row>
    <row r="155" spans="1:34" x14ac:dyDescent="0.25">
      <c r="A155" s="5">
        <v>202</v>
      </c>
      <c r="B155" s="5" t="s">
        <v>414</v>
      </c>
      <c r="C155" s="5" t="s">
        <v>415</v>
      </c>
      <c r="D155" s="6">
        <v>33032</v>
      </c>
      <c r="E155" s="7">
        <v>1635702779000</v>
      </c>
      <c r="F155" s="7">
        <v>1417704185000</v>
      </c>
      <c r="G155" s="7">
        <v>1598281523000</v>
      </c>
      <c r="H155" s="17">
        <v>1212160543000</v>
      </c>
      <c r="I155" s="17">
        <v>1361427269000</v>
      </c>
      <c r="J155" s="7">
        <v>127091642000</v>
      </c>
      <c r="K155" s="7">
        <v>112652526000</v>
      </c>
      <c r="L155" s="7">
        <v>218362874000</v>
      </c>
      <c r="M155" s="17">
        <v>118691582000</v>
      </c>
      <c r="N155" s="17">
        <v>174782102000</v>
      </c>
      <c r="Y155" s="21"/>
      <c r="Z155" s="21"/>
      <c r="AA155" s="21"/>
      <c r="AB155" s="39"/>
      <c r="AC155" s="9">
        <v>162000000</v>
      </c>
      <c r="AD155" s="10">
        <v>3600000</v>
      </c>
      <c r="AE155" s="10">
        <v>3600000</v>
      </c>
      <c r="AF155" s="9">
        <v>3600000</v>
      </c>
      <c r="AG155" s="9">
        <v>3600000</v>
      </c>
      <c r="AH155" s="9">
        <v>3600000</v>
      </c>
    </row>
    <row r="156" spans="1:34" x14ac:dyDescent="0.25">
      <c r="A156" s="5">
        <v>203</v>
      </c>
      <c r="B156" s="5" t="s">
        <v>416</v>
      </c>
      <c r="C156" s="5" t="s">
        <v>417</v>
      </c>
      <c r="D156" s="6">
        <v>41626</v>
      </c>
      <c r="E156" s="7">
        <v>3337628000000</v>
      </c>
      <c r="F156" s="7">
        <v>3529557000000</v>
      </c>
      <c r="G156" s="7">
        <v>3849516000000</v>
      </c>
      <c r="H156" s="17">
        <v>4068970000000</v>
      </c>
      <c r="I156" s="17">
        <v>4081442000000</v>
      </c>
      <c r="J156" s="7">
        <v>663849000000</v>
      </c>
      <c r="K156" s="7">
        <v>807689000000</v>
      </c>
      <c r="L156" s="7">
        <v>934016000000</v>
      </c>
      <c r="M156" s="17">
        <v>1260898000000</v>
      </c>
      <c r="N156" s="17">
        <v>1104714000000</v>
      </c>
      <c r="Y156" s="7">
        <v>654882000000</v>
      </c>
      <c r="Z156" s="7">
        <v>640028000000</v>
      </c>
      <c r="AA156" s="7">
        <v>773988000000</v>
      </c>
      <c r="AB156" s="9">
        <v>1018142000000</v>
      </c>
      <c r="AC156" s="9">
        <v>1086000000000</v>
      </c>
      <c r="AD156" s="10">
        <v>15000000000</v>
      </c>
      <c r="AE156" s="10">
        <v>15000000000</v>
      </c>
      <c r="AF156" s="9">
        <v>30000000000</v>
      </c>
      <c r="AG156" s="9">
        <v>30000000000</v>
      </c>
      <c r="AH156" s="9">
        <v>30000000000</v>
      </c>
    </row>
    <row r="157" spans="1:34" x14ac:dyDescent="0.25">
      <c r="A157" s="5">
        <v>205</v>
      </c>
      <c r="B157" s="5" t="s">
        <v>420</v>
      </c>
      <c r="C157" s="5" t="s">
        <v>421</v>
      </c>
      <c r="D157" s="6">
        <v>34351</v>
      </c>
      <c r="E157" s="7">
        <v>7869975060326</v>
      </c>
      <c r="F157" s="7">
        <v>8372769580743</v>
      </c>
      <c r="G157" s="7">
        <v>9104657533366</v>
      </c>
      <c r="H157" s="17">
        <v>9644326662784</v>
      </c>
      <c r="I157" s="17">
        <v>11328974079150</v>
      </c>
      <c r="J157" s="7">
        <v>540378145887</v>
      </c>
      <c r="K157" s="7">
        <v>595154912874</v>
      </c>
      <c r="L157" s="7">
        <v>834369751682</v>
      </c>
      <c r="M157" s="17">
        <v>877817637643</v>
      </c>
      <c r="N157" s="17">
        <v>1037527882044</v>
      </c>
      <c r="Y157" s="7">
        <v>180000000000</v>
      </c>
      <c r="Z157" s="7">
        <v>180000000000</v>
      </c>
      <c r="AA157" s="7">
        <v>225000000000</v>
      </c>
      <c r="AB157" s="9">
        <v>360197286000</v>
      </c>
      <c r="AC157" s="9">
        <v>338239822500</v>
      </c>
      <c r="AD157" s="10">
        <v>4500000000</v>
      </c>
      <c r="AE157" s="10">
        <v>4500000000</v>
      </c>
      <c r="AF157" s="9">
        <v>4500000000</v>
      </c>
      <c r="AG157" s="9">
        <v>4509864300</v>
      </c>
      <c r="AH157" s="9">
        <v>4509864300</v>
      </c>
    </row>
    <row r="158" spans="1:34" x14ac:dyDescent="0.25">
      <c r="A158" s="5">
        <v>208</v>
      </c>
      <c r="B158" s="19" t="s">
        <v>424</v>
      </c>
      <c r="C158" s="19" t="s">
        <v>425</v>
      </c>
      <c r="D158" s="6">
        <v>43003</v>
      </c>
      <c r="E158" s="7">
        <v>914065000000</v>
      </c>
      <c r="F158" s="7">
        <v>923795000000</v>
      </c>
      <c r="G158" s="7">
        <v>973684000000</v>
      </c>
      <c r="H158" s="8">
        <v>985400000000</v>
      </c>
      <c r="I158" s="8">
        <v>1045929000000</v>
      </c>
      <c r="J158" s="7">
        <v>914065000000</v>
      </c>
      <c r="K158" s="7">
        <v>923795000000</v>
      </c>
      <c r="L158" s="7">
        <v>40085000000</v>
      </c>
      <c r="M158" s="8">
        <v>38851000000</v>
      </c>
      <c r="N158" s="8">
        <v>38417000000</v>
      </c>
      <c r="Y158" s="52">
        <v>30723000000</v>
      </c>
      <c r="Z158" s="52">
        <v>30362000000</v>
      </c>
      <c r="AA158" s="52">
        <v>22771000000</v>
      </c>
      <c r="AB158" s="52">
        <v>30362000000</v>
      </c>
      <c r="AC158" s="9">
        <v>25302000000</v>
      </c>
      <c r="AD158" s="10">
        <v>2131776780</v>
      </c>
      <c r="AE158" s="10">
        <v>2530150002</v>
      </c>
      <c r="AF158" s="10">
        <v>2530150002</v>
      </c>
      <c r="AG158" s="10">
        <v>2530150002</v>
      </c>
      <c r="AH158" s="10">
        <v>2530150002</v>
      </c>
    </row>
    <row r="159" spans="1:34" x14ac:dyDescent="0.25">
      <c r="A159" s="5">
        <v>209</v>
      </c>
      <c r="B159" s="5" t="s">
        <v>426</v>
      </c>
      <c r="C159" s="5" t="s">
        <v>427</v>
      </c>
      <c r="D159" s="6">
        <v>42349</v>
      </c>
      <c r="E159" s="7">
        <v>3592164205408</v>
      </c>
      <c r="F159" s="7">
        <v>4695764958883</v>
      </c>
      <c r="G159" s="7">
        <v>5255359155031</v>
      </c>
      <c r="H159" s="8">
        <v>5346062152770</v>
      </c>
      <c r="I159" s="8">
        <v>4676372045095</v>
      </c>
      <c r="J159" s="7">
        <v>150116045042</v>
      </c>
      <c r="K159" s="7">
        <v>515603339649</v>
      </c>
      <c r="L159" s="7">
        <v>113665219638</v>
      </c>
      <c r="M159" s="8">
        <v>97819911970</v>
      </c>
      <c r="N159" s="18">
        <v>-950288973938</v>
      </c>
      <c r="Y159" s="7">
        <v>38571430500</v>
      </c>
      <c r="Z159" s="7">
        <v>81428575500</v>
      </c>
      <c r="AA159" s="7">
        <v>147142864500</v>
      </c>
      <c r="AB159" s="39"/>
      <c r="AC159" s="9">
        <v>14452611445</v>
      </c>
      <c r="AD159" s="10">
        <v>1428571500</v>
      </c>
      <c r="AE159" s="10">
        <v>1428571500</v>
      </c>
      <c r="AF159" s="9">
        <v>1428571500</v>
      </c>
      <c r="AG159" s="9">
        <v>1428571500</v>
      </c>
      <c r="AH159" s="9">
        <v>1378818900</v>
      </c>
    </row>
    <row r="160" spans="1:34" x14ac:dyDescent="0.25">
      <c r="A160" s="5">
        <v>210</v>
      </c>
      <c r="B160" s="5" t="s">
        <v>428</v>
      </c>
      <c r="C160" s="5" t="s">
        <v>429</v>
      </c>
      <c r="D160" s="6">
        <v>43378</v>
      </c>
      <c r="E160" s="7">
        <v>230724365283</v>
      </c>
      <c r="F160" s="7">
        <v>255330406694</v>
      </c>
      <c r="G160" s="7">
        <v>254725484771</v>
      </c>
      <c r="H160" s="29"/>
      <c r="I160" s="29"/>
      <c r="J160" s="7">
        <v>800146691</v>
      </c>
      <c r="K160" s="7">
        <v>556268538</v>
      </c>
      <c r="L160" s="16">
        <v>-4925365603</v>
      </c>
      <c r="M160" s="29"/>
      <c r="N160" s="29"/>
      <c r="Y160" s="21"/>
      <c r="Z160" s="21"/>
      <c r="AA160" s="21"/>
      <c r="AB160" s="29"/>
      <c r="AC160" s="27"/>
      <c r="AD160" s="10">
        <v>768000000</v>
      </c>
      <c r="AE160" s="10">
        <v>768042882</v>
      </c>
      <c r="AF160" s="10">
        <v>768042882</v>
      </c>
      <c r="AG160" s="30"/>
      <c r="AH160" s="27"/>
    </row>
    <row r="161" spans="1:34" x14ac:dyDescent="0.25">
      <c r="A161" s="5">
        <v>211</v>
      </c>
      <c r="B161" s="5" t="s">
        <v>430</v>
      </c>
      <c r="C161" s="5" t="s">
        <v>431</v>
      </c>
      <c r="D161" s="6">
        <v>40556</v>
      </c>
      <c r="E161" s="7">
        <v>648016880325</v>
      </c>
      <c r="F161" s="7">
        <v>591063928037</v>
      </c>
      <c r="G161" s="7">
        <v>982882686217</v>
      </c>
      <c r="H161" s="8">
        <v>713520658807</v>
      </c>
      <c r="I161" s="8">
        <v>721703608823</v>
      </c>
      <c r="J161" s="16">
        <v>-114131026847</v>
      </c>
      <c r="K161" s="16">
        <v>-66945894110</v>
      </c>
      <c r="L161" s="16">
        <v>-203214931752</v>
      </c>
      <c r="M161" s="18">
        <v>-149735541904</v>
      </c>
      <c r="N161" s="18">
        <v>-42426805953</v>
      </c>
      <c r="Y161" s="21"/>
      <c r="Z161" s="21"/>
      <c r="AA161" s="21"/>
      <c r="AB161" s="39"/>
      <c r="AC161" s="39"/>
      <c r="AD161" s="10">
        <v>107000000</v>
      </c>
      <c r="AE161" s="10">
        <v>1070000000</v>
      </c>
      <c r="AF161" s="9">
        <v>1070000000</v>
      </c>
      <c r="AG161" s="9">
        <v>1070000000</v>
      </c>
      <c r="AH161" s="9">
        <v>1070000000</v>
      </c>
    </row>
    <row r="162" spans="1:34" x14ac:dyDescent="0.25">
      <c r="A162" s="5">
        <v>212</v>
      </c>
      <c r="B162" s="5" t="s">
        <v>432</v>
      </c>
      <c r="C162" s="5" t="s">
        <v>433</v>
      </c>
      <c r="D162" s="6">
        <v>34907</v>
      </c>
      <c r="E162" s="7">
        <v>511887783867</v>
      </c>
      <c r="F162" s="7">
        <v>532762947995</v>
      </c>
      <c r="G162" s="7">
        <v>559795937451</v>
      </c>
      <c r="H162" s="7">
        <v>578260975588</v>
      </c>
      <c r="I162" s="7">
        <v>694780597799</v>
      </c>
      <c r="J162" s="16">
        <v>-2256476497</v>
      </c>
      <c r="K162" s="7">
        <v>131836668</v>
      </c>
      <c r="L162" s="16">
        <v>-6766719891</v>
      </c>
      <c r="M162" s="7">
        <v>357509551</v>
      </c>
      <c r="N162" s="7">
        <v>67812034137</v>
      </c>
      <c r="Y162" s="21"/>
      <c r="Z162" s="21"/>
      <c r="AA162" s="21"/>
      <c r="AB162" s="39"/>
      <c r="AC162" s="39"/>
      <c r="AD162" s="10">
        <v>428000000</v>
      </c>
      <c r="AE162" s="10">
        <v>428000000</v>
      </c>
      <c r="AF162" s="9">
        <v>428000000</v>
      </c>
      <c r="AG162" s="9">
        <v>428000000</v>
      </c>
      <c r="AH162" s="9">
        <v>428000000</v>
      </c>
    </row>
    <row r="163" spans="1:34" x14ac:dyDescent="0.25">
      <c r="A163" s="5">
        <v>214</v>
      </c>
      <c r="B163" s="5" t="s">
        <v>436</v>
      </c>
      <c r="C163" s="5" t="s">
        <v>437</v>
      </c>
      <c r="D163" s="6">
        <v>34235</v>
      </c>
      <c r="E163" s="7">
        <v>2445143511801</v>
      </c>
      <c r="F163" s="7">
        <v>2551192620939</v>
      </c>
      <c r="G163" s="7">
        <v>2314790056002</v>
      </c>
      <c r="H163" s="8">
        <v>2300804864960</v>
      </c>
      <c r="I163" s="17">
        <v>2380657918106</v>
      </c>
      <c r="J163" s="7">
        <v>173049442756</v>
      </c>
      <c r="K163" s="7">
        <v>145149344561</v>
      </c>
      <c r="L163" s="16">
        <v>-54776587213</v>
      </c>
      <c r="M163" s="18">
        <v>-76507618777</v>
      </c>
      <c r="N163" s="17">
        <v>18109470352</v>
      </c>
      <c r="Y163" s="7">
        <v>82437333470</v>
      </c>
      <c r="Z163" s="7">
        <v>84448000140</v>
      </c>
      <c r="AA163" s="7">
        <v>84448000140</v>
      </c>
      <c r="AB163" s="39"/>
      <c r="AC163" s="39"/>
      <c r="AD163" s="10">
        <v>201066667</v>
      </c>
      <c r="AE163" s="10">
        <v>201066667</v>
      </c>
      <c r="AF163" s="9">
        <v>201066667</v>
      </c>
      <c r="AG163" s="9">
        <v>201066667</v>
      </c>
      <c r="AH163" s="9">
        <v>201066667</v>
      </c>
    </row>
    <row r="164" spans="1:34" x14ac:dyDescent="0.25">
      <c r="A164" s="5">
        <v>215</v>
      </c>
      <c r="B164" s="5" t="s">
        <v>438</v>
      </c>
      <c r="C164" s="5" t="s">
        <v>439</v>
      </c>
      <c r="D164" s="6">
        <v>29962</v>
      </c>
      <c r="E164" s="7">
        <v>19522970000000</v>
      </c>
      <c r="F164" s="7">
        <v>20649371000000</v>
      </c>
      <c r="G164" s="9">
        <v>20534632000000</v>
      </c>
      <c r="H164" s="17">
        <v>19068532000000</v>
      </c>
      <c r="I164" s="17">
        <v>18318114000000</v>
      </c>
      <c r="J164" s="7">
        <v>9109445000000</v>
      </c>
      <c r="K164" s="7">
        <v>7392837000000</v>
      </c>
      <c r="L164" s="9">
        <v>7163536000000</v>
      </c>
      <c r="M164" s="17">
        <v>5758148000000</v>
      </c>
      <c r="N164" s="17">
        <v>5364761000000</v>
      </c>
      <c r="Y164" s="7">
        <v>6981450000000</v>
      </c>
      <c r="Z164" s="7">
        <v>9191962000000</v>
      </c>
      <c r="AA164" s="9">
        <v>7401100000000</v>
      </c>
      <c r="AB164" s="9">
        <v>6332900000000</v>
      </c>
      <c r="AC164" s="9">
        <v>5836950000000</v>
      </c>
      <c r="AD164" s="10">
        <v>7630000000</v>
      </c>
      <c r="AE164" s="10">
        <v>7630000000</v>
      </c>
      <c r="AF164" s="9">
        <v>38150000000</v>
      </c>
      <c r="AG164" s="9">
        <v>38150000000</v>
      </c>
      <c r="AH164" s="9">
        <v>38150000000</v>
      </c>
    </row>
    <row r="165" spans="1:34" x14ac:dyDescent="0.25">
      <c r="A165" s="5">
        <v>218</v>
      </c>
      <c r="B165" s="5" t="s">
        <v>444</v>
      </c>
      <c r="C165" s="5" t="s">
        <v>445</v>
      </c>
      <c r="D165" s="6">
        <v>41817</v>
      </c>
      <c r="E165" s="7">
        <v>491382035136</v>
      </c>
      <c r="F165" s="7">
        <v>521493784876</v>
      </c>
      <c r="G165" s="7">
        <v>498020612974</v>
      </c>
      <c r="H165" s="8">
        <v>492697209711</v>
      </c>
      <c r="I165" s="8">
        <v>492056440058</v>
      </c>
      <c r="J165" s="7">
        <v>13554152161</v>
      </c>
      <c r="K165" s="7">
        <v>7221065916</v>
      </c>
      <c r="L165" s="7">
        <v>249076655</v>
      </c>
      <c r="M165" s="23">
        <v>-98210943293</v>
      </c>
      <c r="N165" s="23">
        <v>-7529603579</v>
      </c>
      <c r="Y165" s="7">
        <v>8768550000</v>
      </c>
      <c r="Z165" s="7">
        <v>3870200000</v>
      </c>
      <c r="AA165" s="7">
        <v>2900000000</v>
      </c>
      <c r="AB165" s="39"/>
      <c r="AC165" s="9">
        <v>1000000000</v>
      </c>
      <c r="AD165" s="10">
        <v>1000000000</v>
      </c>
      <c r="AE165" s="10">
        <v>1000000000</v>
      </c>
      <c r="AF165" s="9">
        <v>1000000000</v>
      </c>
      <c r="AG165" s="9">
        <v>1000000000</v>
      </c>
      <c r="AH165" s="9">
        <v>1000000000</v>
      </c>
    </row>
    <row r="166" spans="1:34" x14ac:dyDescent="0.25">
      <c r="A166" s="5">
        <v>220</v>
      </c>
      <c r="B166" s="5" t="s">
        <v>448</v>
      </c>
      <c r="C166" s="5" t="s">
        <v>449</v>
      </c>
      <c r="D166" s="6">
        <v>34270</v>
      </c>
      <c r="E166" s="7">
        <v>154088747766</v>
      </c>
      <c r="F166" s="7">
        <v>152818996760</v>
      </c>
      <c r="G166" s="7">
        <v>157023139112</v>
      </c>
      <c r="H166" s="8">
        <v>185698138869</v>
      </c>
      <c r="I166" s="8">
        <v>181667554919</v>
      </c>
      <c r="J166" s="16">
        <v>-873742659</v>
      </c>
      <c r="K166" s="16">
        <v>-3172619509</v>
      </c>
      <c r="L166" s="16">
        <v>-10658558</v>
      </c>
      <c r="M166" s="8">
        <v>21701439355</v>
      </c>
      <c r="N166" s="8">
        <v>431268042</v>
      </c>
      <c r="Y166" s="21"/>
      <c r="Z166" s="21"/>
      <c r="AA166" s="21"/>
      <c r="AB166" s="39"/>
      <c r="AC166" s="39"/>
      <c r="AD166" s="10">
        <v>276000000</v>
      </c>
      <c r="AE166" s="10">
        <v>276000000</v>
      </c>
      <c r="AF166" s="9">
        <v>276000000</v>
      </c>
      <c r="AG166" s="9">
        <v>276000000</v>
      </c>
      <c r="AH166" s="9">
        <v>276000000</v>
      </c>
    </row>
    <row r="167" spans="1:34" x14ac:dyDescent="0.25">
      <c r="A167" s="5">
        <v>221</v>
      </c>
      <c r="B167" s="5" t="s">
        <v>450</v>
      </c>
      <c r="C167" s="5" t="s">
        <v>451</v>
      </c>
      <c r="D167" s="6">
        <v>34624</v>
      </c>
      <c r="E167" s="7">
        <v>786704752983</v>
      </c>
      <c r="F167" s="7">
        <v>737642257697</v>
      </c>
      <c r="G167" s="7">
        <v>698252022979</v>
      </c>
      <c r="H167" s="17">
        <v>704070618412</v>
      </c>
      <c r="I167" s="17">
        <v>694287670534</v>
      </c>
      <c r="J167" s="16">
        <v>-46390704290</v>
      </c>
      <c r="K167" s="16">
        <v>-41669593909</v>
      </c>
      <c r="L167" s="16">
        <v>-41331271519</v>
      </c>
      <c r="M167" s="18">
        <v>-14362302768</v>
      </c>
      <c r="N167" s="17">
        <v>-24611113410</v>
      </c>
      <c r="Y167" s="21"/>
      <c r="Z167" s="21"/>
      <c r="AA167" s="21"/>
      <c r="AB167" s="39"/>
      <c r="AC167" s="39"/>
      <c r="AD167" s="10">
        <v>1008517669</v>
      </c>
      <c r="AE167" s="10">
        <v>1008517669</v>
      </c>
      <c r="AF167" s="9">
        <v>1008517669</v>
      </c>
      <c r="AG167" s="9">
        <v>1008517669</v>
      </c>
      <c r="AH167" s="9">
        <v>1008517669</v>
      </c>
    </row>
    <row r="168" spans="1:34" ht="30" x14ac:dyDescent="0.25">
      <c r="A168" s="5">
        <v>224</v>
      </c>
      <c r="B168" s="5" t="s">
        <v>456</v>
      </c>
      <c r="C168" s="5" t="s">
        <v>457</v>
      </c>
      <c r="D168" s="6">
        <v>42907</v>
      </c>
      <c r="E168" s="7">
        <v>4588497407410</v>
      </c>
      <c r="F168" s="7">
        <v>5518890225060</v>
      </c>
      <c r="G168" s="7">
        <v>5949006786510</v>
      </c>
      <c r="H168" s="17">
        <v>6801034778630</v>
      </c>
      <c r="I168" s="17">
        <v>6956345266754</v>
      </c>
      <c r="J168" s="7">
        <v>242010106249</v>
      </c>
      <c r="K168" s="7">
        <v>218064313042</v>
      </c>
      <c r="L168" s="7">
        <v>314373402229</v>
      </c>
      <c r="M168" s="17">
        <v>535295612635</v>
      </c>
      <c r="N168" s="17">
        <v>177124125126</v>
      </c>
      <c r="Y168" s="21"/>
      <c r="Z168" s="21"/>
      <c r="AA168" s="21"/>
      <c r="AB168" s="9">
        <v>15906250000</v>
      </c>
      <c r="AC168" s="9">
        <v>15906250000</v>
      </c>
      <c r="AD168" s="10">
        <v>6306250000</v>
      </c>
      <c r="AE168" s="10">
        <v>6306250000</v>
      </c>
      <c r="AF168" s="9">
        <v>6306250000</v>
      </c>
      <c r="AG168" s="9">
        <v>6362500000</v>
      </c>
      <c r="AH168" s="9">
        <v>6437500000</v>
      </c>
    </row>
    <row r="169" spans="1:34" x14ac:dyDescent="0.25">
      <c r="A169" s="5">
        <v>227</v>
      </c>
      <c r="B169" s="5" t="s">
        <v>462</v>
      </c>
      <c r="C169" s="5" t="s">
        <v>463</v>
      </c>
      <c r="D169" s="6">
        <v>42907</v>
      </c>
      <c r="E169" s="7">
        <v>1537031552479</v>
      </c>
      <c r="F169" s="7">
        <v>2311190054987</v>
      </c>
      <c r="G169" s="7">
        <v>2830686417461</v>
      </c>
      <c r="H169" s="17">
        <v>3478074220547</v>
      </c>
      <c r="I169" s="17">
        <v>3849086552639</v>
      </c>
      <c r="J169" s="7">
        <v>123393863438</v>
      </c>
      <c r="K169" s="7">
        <v>149990636633</v>
      </c>
      <c r="L169" s="7">
        <v>170679197734</v>
      </c>
      <c r="M169" s="17">
        <v>194432397219</v>
      </c>
      <c r="N169" s="17">
        <v>254127589783</v>
      </c>
      <c r="Y169" s="7">
        <v>27631574400</v>
      </c>
      <c r="Z169" s="21"/>
      <c r="AA169" s="21"/>
      <c r="AB169" s="9">
        <v>36842099200</v>
      </c>
      <c r="AC169" s="9">
        <v>46252624000</v>
      </c>
      <c r="AD169" s="10">
        <v>4605262400</v>
      </c>
      <c r="AE169" s="10">
        <v>4605262400</v>
      </c>
      <c r="AF169" s="9">
        <v>4605262400</v>
      </c>
      <c r="AG169" s="9">
        <v>4605262400</v>
      </c>
      <c r="AH169" s="9">
        <v>4605262400</v>
      </c>
    </row>
    <row r="171" spans="1:34" x14ac:dyDescent="0.25">
      <c r="A171" t="s">
        <v>483</v>
      </c>
    </row>
    <row r="172" spans="1:34" x14ac:dyDescent="0.25">
      <c r="A172" s="5">
        <v>1</v>
      </c>
      <c r="B172" s="5" t="s">
        <v>12</v>
      </c>
      <c r="C172" s="11" t="s">
        <v>13</v>
      </c>
      <c r="D172" s="6">
        <v>44447</v>
      </c>
      <c r="E172" s="12"/>
      <c r="F172" s="12"/>
      <c r="G172" s="12"/>
      <c r="H172" s="13">
        <v>128683397</v>
      </c>
      <c r="I172" s="13">
        <v>123802012</v>
      </c>
      <c r="J172" s="12"/>
      <c r="K172" s="12"/>
      <c r="L172" s="12"/>
      <c r="M172" s="14">
        <v>-11914342</v>
      </c>
      <c r="N172" s="14">
        <v>5126255</v>
      </c>
      <c r="Y172" s="12"/>
      <c r="Z172" s="12"/>
      <c r="AA172" s="12"/>
      <c r="AB172" s="14">
        <v>2940000</v>
      </c>
      <c r="AC172" s="14">
        <v>2825000</v>
      </c>
      <c r="AD172" s="12"/>
      <c r="AE172" s="12"/>
      <c r="AF172" s="12"/>
      <c r="AG172" s="9">
        <v>15819142767</v>
      </c>
      <c r="AH172" s="9">
        <v>15819142767</v>
      </c>
    </row>
    <row r="173" spans="1:34" x14ac:dyDescent="0.25">
      <c r="A173" s="5">
        <v>2</v>
      </c>
      <c r="B173" s="19" t="s">
        <v>26</v>
      </c>
      <c r="C173" s="19" t="s">
        <v>27</v>
      </c>
      <c r="D173" s="6">
        <v>44265</v>
      </c>
      <c r="E173" s="20"/>
      <c r="F173" s="20"/>
      <c r="G173" s="12"/>
      <c r="H173" s="8">
        <v>728297403605</v>
      </c>
      <c r="I173" s="17">
        <v>816796722522</v>
      </c>
      <c r="J173" s="12"/>
      <c r="K173" s="12"/>
      <c r="L173" s="12"/>
      <c r="M173" s="17">
        <v>110071266044</v>
      </c>
      <c r="N173" s="17">
        <v>122919207172</v>
      </c>
      <c r="Y173" s="12"/>
      <c r="Z173" s="12"/>
      <c r="AA173" s="12"/>
      <c r="AB173" s="15"/>
      <c r="AC173" s="8">
        <v>33030000000</v>
      </c>
      <c r="AD173" s="20"/>
      <c r="AE173" s="20"/>
      <c r="AF173" s="20"/>
      <c r="AG173" s="9">
        <v>9000000000</v>
      </c>
      <c r="AH173" s="9">
        <v>45000000000</v>
      </c>
    </row>
    <row r="174" spans="1:34" x14ac:dyDescent="0.25">
      <c r="A174" s="5">
        <v>3</v>
      </c>
      <c r="B174" s="11" t="s">
        <v>54</v>
      </c>
      <c r="C174" s="11" t="s">
        <v>55</v>
      </c>
      <c r="D174" s="6">
        <v>43727</v>
      </c>
      <c r="E174" s="12"/>
      <c r="F174" s="13">
        <v>1147017049</v>
      </c>
      <c r="G174" s="13">
        <v>1032641969</v>
      </c>
      <c r="H174" s="13">
        <v>1068331723</v>
      </c>
      <c r="I174" s="13">
        <v>1186322555</v>
      </c>
      <c r="J174" s="12"/>
      <c r="K174" s="13">
        <v>18984471</v>
      </c>
      <c r="L174" s="16">
        <v>-8953542</v>
      </c>
      <c r="M174" s="13">
        <v>61896860</v>
      </c>
      <c r="N174" s="13">
        <v>58400098</v>
      </c>
      <c r="Y174" s="12"/>
      <c r="Z174" s="15"/>
      <c r="AA174" s="15"/>
      <c r="AB174" s="15"/>
      <c r="AC174" s="25">
        <v>6189759</v>
      </c>
      <c r="AD174" s="26"/>
      <c r="AE174" s="25">
        <v>12111376157</v>
      </c>
      <c r="AF174" s="25">
        <v>12111376157</v>
      </c>
      <c r="AG174" s="25">
        <v>12111376157</v>
      </c>
      <c r="AH174" s="25">
        <v>12111376157</v>
      </c>
    </row>
    <row r="175" spans="1:34" x14ac:dyDescent="0.25">
      <c r="A175" s="5">
        <v>4</v>
      </c>
      <c r="B175" s="11" t="s">
        <v>62</v>
      </c>
      <c r="C175" s="11" t="s">
        <v>63</v>
      </c>
      <c r="D175" s="6">
        <v>44781</v>
      </c>
      <c r="E175" s="12"/>
      <c r="F175" s="12"/>
      <c r="G175" s="12"/>
      <c r="H175" s="12"/>
      <c r="I175" s="7">
        <v>114434013523</v>
      </c>
      <c r="J175" s="12"/>
      <c r="K175" s="12"/>
      <c r="L175" s="12"/>
      <c r="M175" s="12"/>
      <c r="N175" s="7">
        <v>6215556761</v>
      </c>
      <c r="Y175" s="12"/>
      <c r="Z175" s="12"/>
      <c r="AA175" s="12"/>
      <c r="AB175" s="12"/>
      <c r="AC175" s="10">
        <v>3700000000</v>
      </c>
      <c r="AD175" s="12"/>
      <c r="AE175" s="12"/>
      <c r="AF175" s="12"/>
      <c r="AG175" s="12"/>
      <c r="AH175" s="9">
        <v>1500000000</v>
      </c>
    </row>
    <row r="176" spans="1:34" ht="16.5" customHeight="1" x14ac:dyDescent="0.25">
      <c r="A176" s="5">
        <v>5</v>
      </c>
      <c r="B176" s="5" t="s">
        <v>74</v>
      </c>
      <c r="C176" s="5" t="s">
        <v>75</v>
      </c>
      <c r="D176" s="6">
        <v>43747</v>
      </c>
      <c r="E176" s="26"/>
      <c r="F176" s="7">
        <v>834220445836</v>
      </c>
      <c r="G176" s="7">
        <v>695031401327</v>
      </c>
      <c r="H176" s="27"/>
      <c r="I176" s="27"/>
      <c r="J176" s="26"/>
      <c r="K176" s="28">
        <v>27276484633</v>
      </c>
      <c r="L176" s="16">
        <v>-98747818285</v>
      </c>
      <c r="M176" s="29"/>
      <c r="N176" s="27"/>
      <c r="Y176" s="26"/>
      <c r="Z176" s="21"/>
      <c r="AA176" s="21"/>
      <c r="AB176" s="29"/>
      <c r="AC176" s="27"/>
      <c r="AD176" s="26"/>
      <c r="AE176" s="10">
        <v>1333333500</v>
      </c>
      <c r="AF176" s="9">
        <v>1333333500</v>
      </c>
      <c r="AG176" s="30"/>
      <c r="AH176" s="27"/>
    </row>
    <row r="177" spans="1:34" x14ac:dyDescent="0.25">
      <c r="A177" s="5">
        <v>6</v>
      </c>
      <c r="B177" s="11" t="s">
        <v>80</v>
      </c>
      <c r="C177" s="11" t="s">
        <v>81</v>
      </c>
      <c r="D177" s="6">
        <v>44538</v>
      </c>
      <c r="E177" s="26"/>
      <c r="F177" s="26"/>
      <c r="G177" s="26"/>
      <c r="H177" s="7">
        <v>10873760236580</v>
      </c>
      <c r="I177" s="7">
        <v>10792122000000</v>
      </c>
      <c r="J177" s="26"/>
      <c r="K177" s="26"/>
      <c r="L177" s="26"/>
      <c r="M177" s="7">
        <v>1434551222696</v>
      </c>
      <c r="N177" s="7">
        <v>1400365000000</v>
      </c>
      <c r="Y177" s="26"/>
      <c r="Z177" s="26"/>
      <c r="AA177" s="26"/>
      <c r="AB177" s="25">
        <v>2350001000000</v>
      </c>
      <c r="AC177" s="25">
        <v>1115164000000</v>
      </c>
      <c r="AD177" s="26"/>
      <c r="AE177" s="26"/>
      <c r="AF177" s="26"/>
      <c r="AG177" s="25">
        <v>61953555600</v>
      </c>
      <c r="AH177" s="25">
        <v>61953555600</v>
      </c>
    </row>
    <row r="178" spans="1:34" x14ac:dyDescent="0.25">
      <c r="A178" s="5">
        <v>7</v>
      </c>
      <c r="B178" s="11" t="s">
        <v>84</v>
      </c>
      <c r="C178" s="11" t="s">
        <v>85</v>
      </c>
      <c r="D178" s="6" t="s">
        <v>86</v>
      </c>
      <c r="E178" s="26"/>
      <c r="F178" s="26"/>
      <c r="G178" s="26"/>
      <c r="H178" s="26"/>
      <c r="I178" s="9">
        <v>137718996489</v>
      </c>
      <c r="J178" s="26"/>
      <c r="K178" s="26"/>
      <c r="L178" s="26"/>
      <c r="M178" s="26"/>
      <c r="N178" s="9">
        <v>7016621357</v>
      </c>
      <c r="Y178" s="26"/>
      <c r="Z178" s="26"/>
      <c r="AA178" s="26"/>
      <c r="AB178" s="26"/>
      <c r="AC178" s="31">
        <v>6450000000</v>
      </c>
      <c r="AD178" s="26"/>
      <c r="AE178" s="26"/>
      <c r="AF178" s="26"/>
      <c r="AG178" s="26"/>
      <c r="AH178" s="25">
        <v>1700000000</v>
      </c>
    </row>
    <row r="179" spans="1:34" x14ac:dyDescent="0.25">
      <c r="A179" s="5">
        <v>8</v>
      </c>
      <c r="B179" s="11" t="s">
        <v>95</v>
      </c>
      <c r="C179" s="11" t="s">
        <v>96</v>
      </c>
      <c r="D179" s="6">
        <v>44494</v>
      </c>
      <c r="E179" s="26"/>
      <c r="F179" s="26"/>
      <c r="G179" s="26"/>
      <c r="H179" s="7">
        <v>262419785855</v>
      </c>
      <c r="I179" s="7">
        <v>269542435102</v>
      </c>
      <c r="J179" s="26"/>
      <c r="K179" s="26"/>
      <c r="L179" s="26"/>
      <c r="M179" s="7">
        <v>6178640735</v>
      </c>
      <c r="N179" s="7">
        <v>7864937767</v>
      </c>
      <c r="Y179" s="26"/>
      <c r="Z179" s="26"/>
      <c r="AA179" s="26"/>
      <c r="AB179" s="7">
        <v>32528527000</v>
      </c>
      <c r="AC179" s="7">
        <v>1292570807</v>
      </c>
      <c r="AD179" s="26"/>
      <c r="AE179" s="26"/>
      <c r="AF179" s="26"/>
      <c r="AG179" s="10">
        <v>1292570540</v>
      </c>
      <c r="AH179" s="10">
        <v>1292808150</v>
      </c>
    </row>
    <row r="180" spans="1:34" x14ac:dyDescent="0.25">
      <c r="A180" s="5">
        <v>9</v>
      </c>
      <c r="B180" s="11" t="s">
        <v>97</v>
      </c>
      <c r="C180" s="32" t="s">
        <v>98</v>
      </c>
      <c r="D180" s="6">
        <v>44357</v>
      </c>
      <c r="E180" s="26"/>
      <c r="F180" s="26"/>
      <c r="G180" s="26"/>
      <c r="H180" s="7">
        <v>67925616555</v>
      </c>
      <c r="I180" s="7">
        <v>66268642560</v>
      </c>
      <c r="J180" s="26"/>
      <c r="K180" s="26"/>
      <c r="L180" s="26"/>
      <c r="M180" s="7">
        <v>19313034547</v>
      </c>
      <c r="N180" s="16">
        <v>-4544715678</v>
      </c>
      <c r="Y180" s="26"/>
      <c r="Z180" s="26"/>
      <c r="AA180" s="26"/>
      <c r="AB180" s="21"/>
      <c r="AC180" s="21"/>
      <c r="AD180" s="26"/>
      <c r="AE180" s="26"/>
      <c r="AF180" s="26"/>
      <c r="AG180" s="10">
        <v>1000000100</v>
      </c>
      <c r="AH180" s="10">
        <v>1000000100</v>
      </c>
    </row>
    <row r="181" spans="1:34" x14ac:dyDescent="0.25">
      <c r="A181" s="5">
        <v>10</v>
      </c>
      <c r="B181" s="5" t="s">
        <v>101</v>
      </c>
      <c r="C181" s="19" t="s">
        <v>102</v>
      </c>
      <c r="D181" s="6">
        <v>44300</v>
      </c>
      <c r="E181" s="26"/>
      <c r="F181" s="26"/>
      <c r="G181" s="26"/>
      <c r="H181" s="9">
        <v>398394808298</v>
      </c>
      <c r="I181" s="9">
        <v>367371751455</v>
      </c>
      <c r="J181" s="26"/>
      <c r="K181" s="26"/>
      <c r="L181" s="26"/>
      <c r="M181" s="9">
        <v>4289449698</v>
      </c>
      <c r="N181" s="9">
        <v>-38588379498</v>
      </c>
      <c r="Y181" s="26"/>
      <c r="Z181" s="26"/>
      <c r="AA181" s="26"/>
      <c r="AB181" s="21"/>
      <c r="AC181" s="21"/>
      <c r="AD181" s="26"/>
      <c r="AE181" s="26"/>
      <c r="AF181" s="26"/>
      <c r="AG181" s="10">
        <v>3240235840</v>
      </c>
      <c r="AH181" s="10">
        <v>3240235840</v>
      </c>
    </row>
    <row r="182" spans="1:34" x14ac:dyDescent="0.25">
      <c r="A182" s="5">
        <v>11</v>
      </c>
      <c r="B182" s="19" t="s">
        <v>103</v>
      </c>
      <c r="C182" s="19" t="s">
        <v>104</v>
      </c>
      <c r="D182" s="6">
        <v>44538</v>
      </c>
      <c r="E182" s="26"/>
      <c r="F182" s="26"/>
      <c r="G182" s="26"/>
      <c r="H182" s="7">
        <v>101174568475</v>
      </c>
      <c r="I182" s="7">
        <v>130535594202</v>
      </c>
      <c r="J182" s="26"/>
      <c r="K182" s="26"/>
      <c r="L182" s="26"/>
      <c r="M182" s="7">
        <v>4549443319</v>
      </c>
      <c r="N182" s="7">
        <v>7989380174</v>
      </c>
      <c r="Y182" s="26"/>
      <c r="Z182" s="26"/>
      <c r="AA182" s="26"/>
      <c r="AB182" s="21"/>
      <c r="AC182" s="21"/>
      <c r="AD182" s="26"/>
      <c r="AE182" s="26"/>
      <c r="AF182" s="26"/>
      <c r="AG182" s="10">
        <v>550000000</v>
      </c>
      <c r="AH182" s="10">
        <v>805992931</v>
      </c>
    </row>
    <row r="183" spans="1:34" x14ac:dyDescent="0.25">
      <c r="A183" s="5">
        <v>12</v>
      </c>
      <c r="B183" s="5" t="s">
        <v>105</v>
      </c>
      <c r="C183" s="5" t="s">
        <v>106</v>
      </c>
      <c r="D183" s="6">
        <v>43921</v>
      </c>
      <c r="E183" s="20"/>
      <c r="F183" s="20"/>
      <c r="G183" s="7">
        <v>1342071492913</v>
      </c>
      <c r="H183" s="8">
        <v>1763123879245</v>
      </c>
      <c r="I183" s="8">
        <v>3097781579099</v>
      </c>
      <c r="J183" s="26"/>
      <c r="K183" s="26"/>
      <c r="L183" s="7">
        <v>117865798906</v>
      </c>
      <c r="M183" s="8">
        <v>171146039488</v>
      </c>
      <c r="N183" s="8">
        <v>345992311458</v>
      </c>
      <c r="Y183" s="26"/>
      <c r="Z183" s="26"/>
      <c r="AA183" s="7">
        <v>52787500000</v>
      </c>
      <c r="AB183" s="9">
        <v>92465078126</v>
      </c>
      <c r="AC183" s="9">
        <v>87891693229</v>
      </c>
      <c r="AD183" s="26"/>
      <c r="AE183" s="26"/>
      <c r="AF183" s="10">
        <v>5125000000</v>
      </c>
      <c r="AG183" s="10">
        <v>5125000000</v>
      </c>
      <c r="AH183" s="10">
        <v>5125000000</v>
      </c>
    </row>
    <row r="184" spans="1:34" x14ac:dyDescent="0.25">
      <c r="A184" s="5">
        <v>13</v>
      </c>
      <c r="B184" s="19" t="s">
        <v>107</v>
      </c>
      <c r="C184" s="19" t="s">
        <v>108</v>
      </c>
      <c r="D184" s="6">
        <v>44447</v>
      </c>
      <c r="E184" s="26"/>
      <c r="F184" s="26"/>
      <c r="G184" s="26"/>
      <c r="H184" s="7">
        <v>250618755797</v>
      </c>
      <c r="I184" s="7">
        <v>269606050340</v>
      </c>
      <c r="J184" s="26"/>
      <c r="K184" s="26"/>
      <c r="L184" s="26"/>
      <c r="M184" s="7">
        <v>7413865660</v>
      </c>
      <c r="N184" s="7">
        <v>4484443369</v>
      </c>
      <c r="Y184" s="26"/>
      <c r="Z184" s="26"/>
      <c r="AA184" s="26"/>
      <c r="AB184" s="21"/>
      <c r="AC184" s="21"/>
      <c r="AD184" s="26"/>
      <c r="AE184" s="26"/>
      <c r="AF184" s="26"/>
      <c r="AG184" s="10">
        <v>928400000</v>
      </c>
      <c r="AH184" s="10">
        <v>929926282</v>
      </c>
    </row>
    <row r="185" spans="1:34" x14ac:dyDescent="0.25">
      <c r="A185" s="5">
        <v>14</v>
      </c>
      <c r="B185" s="5" t="s">
        <v>123</v>
      </c>
      <c r="C185" s="5" t="s">
        <v>124</v>
      </c>
      <c r="D185" s="6">
        <v>44013</v>
      </c>
      <c r="E185" s="20"/>
      <c r="F185" s="20"/>
      <c r="G185" s="7">
        <v>367448396337</v>
      </c>
      <c r="H185" s="8">
        <v>372241949890</v>
      </c>
      <c r="I185" s="17">
        <v>296272927272</v>
      </c>
      <c r="J185" s="20"/>
      <c r="K185" s="20"/>
      <c r="L185" s="7">
        <v>2920126029</v>
      </c>
      <c r="M185" s="8">
        <v>1069895675</v>
      </c>
      <c r="N185" s="8">
        <v>-66107058046</v>
      </c>
      <c r="Y185" s="26"/>
      <c r="Z185" s="26"/>
      <c r="AA185" s="21"/>
      <c r="AB185" s="21"/>
      <c r="AC185" s="21"/>
      <c r="AD185" s="26"/>
      <c r="AE185" s="26"/>
      <c r="AF185" s="10">
        <v>3303400000</v>
      </c>
      <c r="AG185" s="10">
        <v>3303400000</v>
      </c>
      <c r="AH185" s="17">
        <v>3303400000</v>
      </c>
    </row>
    <row r="186" spans="1:34" x14ac:dyDescent="0.25">
      <c r="A186" s="5">
        <v>15</v>
      </c>
      <c r="B186" s="5" t="s">
        <v>125</v>
      </c>
      <c r="C186" s="5" t="s">
        <v>126</v>
      </c>
      <c r="D186" s="6">
        <v>43783</v>
      </c>
      <c r="E186" s="26"/>
      <c r="F186" s="7">
        <v>75609342033</v>
      </c>
      <c r="G186" s="7">
        <v>77924121640</v>
      </c>
      <c r="H186" s="8">
        <v>84582663843</v>
      </c>
      <c r="I186" s="35">
        <v>98498235572</v>
      </c>
      <c r="J186" s="26"/>
      <c r="K186" s="7">
        <v>1191566812</v>
      </c>
      <c r="L186" s="7">
        <v>1741619395</v>
      </c>
      <c r="M186" s="8">
        <v>611433199</v>
      </c>
      <c r="N186" s="8">
        <v>916698764</v>
      </c>
      <c r="Y186" s="26"/>
      <c r="Z186" s="7">
        <v>2000000000</v>
      </c>
      <c r="AA186" s="7">
        <v>595783406</v>
      </c>
      <c r="AB186" s="21"/>
      <c r="AC186" s="21"/>
      <c r="AD186" s="26"/>
      <c r="AE186" s="10">
        <v>640000000</v>
      </c>
      <c r="AF186" s="10">
        <v>640000005</v>
      </c>
      <c r="AG186" s="10">
        <v>640347707</v>
      </c>
      <c r="AH186" s="35">
        <v>1109937083</v>
      </c>
    </row>
    <row r="187" spans="1:34" x14ac:dyDescent="0.25">
      <c r="A187" s="5">
        <v>16</v>
      </c>
      <c r="B187" s="36" t="s">
        <v>137</v>
      </c>
      <c r="C187" s="32" t="s">
        <v>138</v>
      </c>
      <c r="D187" s="6">
        <v>44874</v>
      </c>
      <c r="E187" s="26"/>
      <c r="F187" s="26"/>
      <c r="G187" s="26"/>
      <c r="H187" s="26"/>
      <c r="I187" s="9">
        <v>453707374402</v>
      </c>
      <c r="J187" s="26"/>
      <c r="K187" s="26"/>
      <c r="L187" s="26"/>
      <c r="M187" s="26"/>
      <c r="N187" s="9">
        <v>20594943805</v>
      </c>
      <c r="Y187" s="26"/>
      <c r="Z187" s="26"/>
      <c r="AA187" s="26"/>
      <c r="AB187" s="26"/>
      <c r="AC187" s="21"/>
      <c r="AD187" s="26"/>
      <c r="AE187" s="26"/>
      <c r="AF187" s="26"/>
      <c r="AG187" s="26"/>
      <c r="AH187" s="10">
        <v>2500000000</v>
      </c>
    </row>
    <row r="188" spans="1:34" x14ac:dyDescent="0.25">
      <c r="A188" s="5">
        <v>17</v>
      </c>
      <c r="B188" s="36" t="s">
        <v>139</v>
      </c>
      <c r="C188" s="5" t="s">
        <v>140</v>
      </c>
      <c r="D188" s="6">
        <v>43657</v>
      </c>
      <c r="E188" s="26"/>
      <c r="F188" s="7">
        <v>1730202346562</v>
      </c>
      <c r="G188" s="7">
        <v>1672515743467</v>
      </c>
      <c r="H188" s="8">
        <v>1908641505907</v>
      </c>
      <c r="I188" s="8">
        <v>2024398917353</v>
      </c>
      <c r="J188" s="26"/>
      <c r="K188" s="7">
        <v>20377371883</v>
      </c>
      <c r="L188" s="7">
        <v>37942386999</v>
      </c>
      <c r="M188" s="8">
        <v>106306881651</v>
      </c>
      <c r="N188" s="8">
        <v>77086661593</v>
      </c>
      <c r="Y188" s="26"/>
      <c r="Z188" s="21"/>
      <c r="AA188" s="7">
        <v>17000000025</v>
      </c>
      <c r="AB188" s="9">
        <v>27200001160</v>
      </c>
      <c r="AC188" s="9">
        <v>41017023480</v>
      </c>
      <c r="AD188" s="26"/>
      <c r="AE188" s="10">
        <v>3400000000</v>
      </c>
      <c r="AF188" s="9">
        <v>3400000005</v>
      </c>
      <c r="AG188" s="9">
        <v>3401381246</v>
      </c>
      <c r="AH188" s="9">
        <v>3418085290</v>
      </c>
    </row>
    <row r="189" spans="1:34" ht="14.25" customHeight="1" x14ac:dyDescent="0.25">
      <c r="A189" s="5">
        <v>18</v>
      </c>
      <c r="B189" s="36" t="s">
        <v>151</v>
      </c>
      <c r="C189" s="11" t="s">
        <v>152</v>
      </c>
      <c r="D189" s="6" t="s">
        <v>153</v>
      </c>
      <c r="E189" s="26"/>
      <c r="F189" s="26"/>
      <c r="G189" s="26"/>
      <c r="H189" s="26"/>
      <c r="I189" s="9">
        <v>158282188190</v>
      </c>
      <c r="J189" s="20"/>
      <c r="K189" s="20"/>
      <c r="L189" s="26"/>
      <c r="M189" s="26"/>
      <c r="N189" s="9">
        <v>7629588664</v>
      </c>
      <c r="Y189" s="26"/>
      <c r="Z189" s="26"/>
      <c r="AA189" s="26"/>
      <c r="AB189" s="26"/>
      <c r="AC189" s="21"/>
      <c r="AD189" s="26"/>
      <c r="AE189" s="26"/>
      <c r="AF189" s="26"/>
      <c r="AG189" s="26"/>
      <c r="AH189" s="10">
        <v>2000000000</v>
      </c>
    </row>
    <row r="190" spans="1:34" ht="30" x14ac:dyDescent="0.25">
      <c r="A190" s="5">
        <v>19</v>
      </c>
      <c r="B190" s="5" t="s">
        <v>160</v>
      </c>
      <c r="C190" s="5" t="s">
        <v>161</v>
      </c>
      <c r="D190" s="6">
        <v>43809</v>
      </c>
      <c r="E190" s="26"/>
      <c r="F190" s="7">
        <v>1101538734976</v>
      </c>
      <c r="G190" s="7">
        <v>1074238575525</v>
      </c>
      <c r="H190" s="8">
        <v>1158730182419</v>
      </c>
      <c r="I190" s="17">
        <v>1746807361866</v>
      </c>
      <c r="J190" s="26"/>
      <c r="K190" s="7">
        <v>59266142810</v>
      </c>
      <c r="L190" s="7">
        <v>73585850462</v>
      </c>
      <c r="M190" s="8">
        <v>82349452240</v>
      </c>
      <c r="N190" s="8">
        <v>97118215205</v>
      </c>
      <c r="Y190" s="26"/>
      <c r="Z190" s="21"/>
      <c r="AA190" s="7">
        <v>47060000000</v>
      </c>
      <c r="AB190" s="21"/>
      <c r="AC190" s="9">
        <v>37648000000</v>
      </c>
      <c r="AD190" s="26"/>
      <c r="AE190" s="10">
        <v>9412000000</v>
      </c>
      <c r="AF190" s="10">
        <v>9412000000</v>
      </c>
      <c r="AG190" s="9">
        <v>9412000000</v>
      </c>
      <c r="AH190" s="9">
        <v>9412000000</v>
      </c>
    </row>
    <row r="191" spans="1:34" x14ac:dyDescent="0.25">
      <c r="A191" s="5">
        <v>20</v>
      </c>
      <c r="B191" s="5" t="s">
        <v>162</v>
      </c>
      <c r="C191" s="5" t="s">
        <v>163</v>
      </c>
      <c r="D191" s="6">
        <v>43695</v>
      </c>
      <c r="E191" s="26"/>
      <c r="F191" s="7">
        <v>178542229812</v>
      </c>
      <c r="G191" s="7">
        <v>153676923198</v>
      </c>
      <c r="H191" s="8">
        <v>174987775320</v>
      </c>
      <c r="I191" s="17">
        <v>212080420622</v>
      </c>
      <c r="J191" s="26"/>
      <c r="K191" s="7">
        <v>565070606</v>
      </c>
      <c r="L191" s="7">
        <v>2095172053</v>
      </c>
      <c r="M191" s="8">
        <v>8444661323</v>
      </c>
      <c r="N191" s="8">
        <v>10654021317</v>
      </c>
      <c r="Y191" s="26"/>
      <c r="Z191" s="21"/>
      <c r="AA191" s="21"/>
      <c r="AB191" s="21"/>
      <c r="AC191" s="21"/>
      <c r="AD191" s="26"/>
      <c r="AE191" s="10">
        <v>450000000</v>
      </c>
      <c r="AF191" s="10">
        <v>464788259</v>
      </c>
      <c r="AG191" s="9">
        <v>468300850</v>
      </c>
      <c r="AH191" s="8">
        <v>481000000</v>
      </c>
    </row>
    <row r="192" spans="1:34" x14ac:dyDescent="0.25">
      <c r="A192" s="5">
        <v>21</v>
      </c>
      <c r="B192" s="11" t="s">
        <v>186</v>
      </c>
      <c r="C192" s="32" t="s">
        <v>187</v>
      </c>
      <c r="D192" s="6">
        <v>44525</v>
      </c>
      <c r="E192" s="12"/>
      <c r="F192" s="12"/>
      <c r="G192" s="12"/>
      <c r="H192" s="7">
        <v>1694857651727</v>
      </c>
      <c r="I192" s="7">
        <v>1780286958906</v>
      </c>
      <c r="J192" s="12"/>
      <c r="K192" s="12"/>
      <c r="L192" s="12"/>
      <c r="M192" s="7">
        <v>88793766910</v>
      </c>
      <c r="N192" s="7">
        <v>103360172895</v>
      </c>
      <c r="Y192" s="12"/>
      <c r="Z192" s="12"/>
      <c r="AA192" s="12"/>
      <c r="AB192" s="9">
        <v>36724000000</v>
      </c>
      <c r="AC192" s="9">
        <v>49938000000</v>
      </c>
      <c r="AD192" s="12"/>
      <c r="AE192" s="12"/>
      <c r="AF192" s="12"/>
      <c r="AG192" s="9">
        <v>6790000000</v>
      </c>
      <c r="AH192" s="9">
        <v>6790000000</v>
      </c>
    </row>
    <row r="193" spans="1:34" x14ac:dyDescent="0.25">
      <c r="A193" s="5">
        <v>22</v>
      </c>
      <c r="B193" s="5" t="s">
        <v>190</v>
      </c>
      <c r="C193" s="5" t="s">
        <v>191</v>
      </c>
      <c r="D193" s="6">
        <v>43656</v>
      </c>
      <c r="E193" s="12"/>
      <c r="F193" s="7">
        <v>691324273000</v>
      </c>
      <c r="G193" s="7">
        <v>796514753000</v>
      </c>
      <c r="H193" s="8">
        <v>890731798000</v>
      </c>
      <c r="I193" s="8">
        <v>999571977000</v>
      </c>
      <c r="J193" s="12"/>
      <c r="K193" s="7">
        <v>22534439000</v>
      </c>
      <c r="L193" s="16">
        <v>-9234526000</v>
      </c>
      <c r="M193" s="8">
        <v>27322803000</v>
      </c>
      <c r="N193" s="8">
        <v>-36392146000</v>
      </c>
      <c r="Y193" s="12"/>
      <c r="Z193" s="21"/>
      <c r="AA193" s="7">
        <v>13561664000</v>
      </c>
      <c r="AB193" s="21"/>
      <c r="AC193" s="8">
        <v>5424666000</v>
      </c>
      <c r="AD193" s="42"/>
      <c r="AE193" s="9">
        <v>1808221900</v>
      </c>
      <c r="AF193" s="9">
        <v>1808221900</v>
      </c>
      <c r="AG193" s="25">
        <v>1808221900</v>
      </c>
      <c r="AH193" s="8">
        <v>1808221900</v>
      </c>
    </row>
    <row r="194" spans="1:34" x14ac:dyDescent="0.25">
      <c r="A194" s="5">
        <v>23</v>
      </c>
      <c r="B194" s="5" t="s">
        <v>196</v>
      </c>
      <c r="C194" s="5" t="s">
        <v>197</v>
      </c>
      <c r="D194" s="6">
        <v>43656</v>
      </c>
      <c r="E194" s="12"/>
      <c r="F194" s="7">
        <v>468807357015</v>
      </c>
      <c r="G194" s="7">
        <v>451600083080</v>
      </c>
      <c r="H194" s="8">
        <v>463343986900</v>
      </c>
      <c r="I194" s="8">
        <v>480584345100</v>
      </c>
      <c r="J194" s="26"/>
      <c r="K194" s="7">
        <v>2224435972</v>
      </c>
      <c r="L194" s="16">
        <v>-30599621894</v>
      </c>
      <c r="M194" s="8">
        <v>3442039458</v>
      </c>
      <c r="N194" s="8">
        <v>6110063988</v>
      </c>
      <c r="Y194" s="26"/>
      <c r="Z194" s="21"/>
      <c r="AA194" s="21"/>
      <c r="AB194" s="21"/>
      <c r="AC194" s="21"/>
      <c r="AD194" s="26"/>
      <c r="AE194" s="9">
        <v>2000000000</v>
      </c>
      <c r="AF194" s="9">
        <v>2000000000</v>
      </c>
      <c r="AG194" s="9">
        <v>2000000000</v>
      </c>
      <c r="AH194" s="9">
        <v>2000000000</v>
      </c>
    </row>
    <row r="195" spans="1:34" ht="16.5" x14ac:dyDescent="0.3">
      <c r="A195" s="5">
        <v>24</v>
      </c>
      <c r="B195" s="5" t="s">
        <v>200</v>
      </c>
      <c r="C195" s="45" t="s">
        <v>201</v>
      </c>
      <c r="D195" s="6">
        <v>44445</v>
      </c>
      <c r="E195" s="26"/>
      <c r="F195" s="26"/>
      <c r="G195" s="26"/>
      <c r="H195" s="9">
        <v>63233820863</v>
      </c>
      <c r="I195" s="9">
        <v>61117189903</v>
      </c>
      <c r="J195" s="26"/>
      <c r="K195" s="26"/>
      <c r="L195" s="26"/>
      <c r="M195" s="22">
        <v>-3809870417</v>
      </c>
      <c r="N195" s="9">
        <v>90315762</v>
      </c>
      <c r="Y195" s="26"/>
      <c r="Z195" s="26"/>
      <c r="AA195" s="26"/>
      <c r="AB195" s="10">
        <v>14000000000</v>
      </c>
      <c r="AC195" s="38"/>
      <c r="AD195" s="26"/>
      <c r="AE195" s="26"/>
      <c r="AF195" s="26"/>
      <c r="AG195" s="9">
        <v>666666600</v>
      </c>
      <c r="AH195" s="9">
        <v>666741103</v>
      </c>
    </row>
    <row r="196" spans="1:34" ht="16.5" x14ac:dyDescent="0.3">
      <c r="A196" s="5">
        <v>25</v>
      </c>
      <c r="B196" s="5" t="s">
        <v>206</v>
      </c>
      <c r="C196" s="45" t="s">
        <v>207</v>
      </c>
      <c r="D196" s="6">
        <v>44601</v>
      </c>
      <c r="E196" s="26"/>
      <c r="F196" s="26"/>
      <c r="G196" s="26"/>
      <c r="H196" s="26"/>
      <c r="I196" s="9">
        <v>153065918623</v>
      </c>
      <c r="J196" s="26"/>
      <c r="K196" s="26"/>
      <c r="L196" s="26"/>
      <c r="M196" s="26"/>
      <c r="N196" s="9">
        <v>1700240049</v>
      </c>
      <c r="Y196" s="26"/>
      <c r="Z196" s="26"/>
      <c r="AA196" s="26"/>
      <c r="AB196" s="26"/>
      <c r="AC196" s="9">
        <v>188020604</v>
      </c>
      <c r="AD196" s="26"/>
      <c r="AE196" s="26"/>
      <c r="AF196" s="26"/>
      <c r="AG196" s="26"/>
      <c r="AH196" s="9">
        <v>2700027708</v>
      </c>
    </row>
    <row r="197" spans="1:34" ht="16.5" x14ac:dyDescent="0.3">
      <c r="A197" s="5">
        <v>26</v>
      </c>
      <c r="B197" s="5" t="s">
        <v>216</v>
      </c>
      <c r="C197" s="45" t="s">
        <v>217</v>
      </c>
      <c r="D197" s="6">
        <v>44550</v>
      </c>
      <c r="E197" s="26"/>
      <c r="F197" s="26"/>
      <c r="G197" s="26"/>
      <c r="H197" s="9">
        <v>2536928133488</v>
      </c>
      <c r="I197" s="9">
        <v>2682993618242</v>
      </c>
      <c r="J197" s="26"/>
      <c r="K197" s="26"/>
      <c r="L197" s="26"/>
      <c r="M197" s="9">
        <v>305382393152</v>
      </c>
      <c r="N197" s="9">
        <v>396869834810</v>
      </c>
      <c r="Y197" s="26"/>
      <c r="Z197" s="26"/>
      <c r="AA197" s="26"/>
      <c r="AB197" s="9">
        <v>50000000000</v>
      </c>
      <c r="AC197" s="9">
        <v>70447058030</v>
      </c>
      <c r="AD197" s="20"/>
      <c r="AE197" s="20"/>
      <c r="AF197" s="46"/>
      <c r="AG197" s="9">
        <v>4705882300</v>
      </c>
      <c r="AH197" s="9">
        <v>4705882300</v>
      </c>
    </row>
    <row r="198" spans="1:34" x14ac:dyDescent="0.25">
      <c r="A198" s="5">
        <v>27</v>
      </c>
      <c r="B198" s="11" t="s">
        <v>226</v>
      </c>
      <c r="C198" s="11" t="s">
        <v>227</v>
      </c>
      <c r="D198" s="6">
        <v>44904</v>
      </c>
      <c r="E198" s="26"/>
      <c r="F198" s="26"/>
      <c r="G198" s="26"/>
      <c r="H198" s="26"/>
      <c r="I198" s="7">
        <v>196020966862</v>
      </c>
      <c r="J198" s="26"/>
      <c r="K198" s="26"/>
      <c r="L198" s="26"/>
      <c r="M198" s="26"/>
      <c r="N198" s="7">
        <v>1457739530</v>
      </c>
      <c r="Y198" s="20"/>
      <c r="Z198" s="20"/>
      <c r="AA198" s="20"/>
      <c r="AB198" s="20"/>
      <c r="AC198" s="21"/>
      <c r="AD198" s="20"/>
      <c r="AE198" s="20"/>
      <c r="AF198" s="20"/>
      <c r="AG198" s="20"/>
      <c r="AH198" s="8">
        <v>4020000000</v>
      </c>
    </row>
    <row r="199" spans="1:34" x14ac:dyDescent="0.25">
      <c r="A199" s="5">
        <v>28</v>
      </c>
      <c r="B199" s="5" t="s">
        <v>260</v>
      </c>
      <c r="C199" s="5" t="s">
        <v>261</v>
      </c>
      <c r="D199" s="6">
        <v>43642</v>
      </c>
      <c r="E199" s="26"/>
      <c r="F199" s="7">
        <v>343523377441</v>
      </c>
      <c r="G199" s="7">
        <v>281999247242</v>
      </c>
      <c r="H199" s="7">
        <v>203215129901</v>
      </c>
      <c r="I199" s="7">
        <v>209337963370</v>
      </c>
      <c r="J199" s="26"/>
      <c r="K199" s="16">
        <v>8991475073</v>
      </c>
      <c r="L199" s="16">
        <v>-6104429450</v>
      </c>
      <c r="M199" s="16">
        <v>-51502558124</v>
      </c>
      <c r="N199" s="16">
        <v>-6264038341</v>
      </c>
      <c r="Y199" s="26"/>
      <c r="Z199" s="21"/>
      <c r="AA199" s="21"/>
      <c r="AB199" s="21"/>
      <c r="AC199" s="21"/>
      <c r="AD199" s="26"/>
      <c r="AE199" s="10">
        <v>750000000</v>
      </c>
      <c r="AF199" s="10">
        <v>750000000</v>
      </c>
      <c r="AG199" s="10">
        <v>750000000</v>
      </c>
      <c r="AH199" s="10">
        <v>750000000</v>
      </c>
    </row>
    <row r="200" spans="1:34" x14ac:dyDescent="0.25">
      <c r="A200" s="5">
        <v>29</v>
      </c>
      <c r="B200" s="5" t="s">
        <v>264</v>
      </c>
      <c r="C200" s="5" t="s">
        <v>265</v>
      </c>
      <c r="D200" s="6">
        <v>43929</v>
      </c>
      <c r="E200" s="26"/>
      <c r="F200" s="26"/>
      <c r="G200" s="7">
        <v>561334457682</v>
      </c>
      <c r="H200" s="8">
        <v>694230223329</v>
      </c>
      <c r="I200" s="8">
        <v>657657257402</v>
      </c>
      <c r="J200" s="26"/>
      <c r="K200" s="26"/>
      <c r="L200" s="16">
        <v>-5887199392</v>
      </c>
      <c r="M200" s="18">
        <v>-47002475250</v>
      </c>
      <c r="N200" s="8">
        <v>-87623413194</v>
      </c>
      <c r="Y200" s="26"/>
      <c r="Z200" s="26"/>
      <c r="AA200" s="38"/>
      <c r="AB200" s="39"/>
      <c r="AC200" s="39"/>
      <c r="AD200" s="20"/>
      <c r="AE200" s="20"/>
      <c r="AF200" s="9">
        <v>2125166005</v>
      </c>
      <c r="AG200" s="9">
        <v>4752933207</v>
      </c>
      <c r="AH200" s="8">
        <v>4752982378</v>
      </c>
    </row>
    <row r="201" spans="1:34" x14ac:dyDescent="0.25">
      <c r="A201" s="5">
        <v>30</v>
      </c>
      <c r="B201" s="5" t="s">
        <v>276</v>
      </c>
      <c r="C201" s="5" t="s">
        <v>277</v>
      </c>
      <c r="D201" s="6">
        <v>43819</v>
      </c>
      <c r="E201" s="26"/>
      <c r="F201" s="7">
        <v>8316053000000</v>
      </c>
      <c r="G201" s="7">
        <v>7644451000000</v>
      </c>
      <c r="H201" s="17">
        <v>7777887000000</v>
      </c>
      <c r="I201" s="17">
        <v>8382538000000</v>
      </c>
      <c r="J201" s="26"/>
      <c r="K201" s="7">
        <v>398704000000</v>
      </c>
      <c r="L201" s="7">
        <v>311682000000</v>
      </c>
      <c r="M201" s="17">
        <v>480060000000</v>
      </c>
      <c r="N201" s="17">
        <v>313648000000</v>
      </c>
      <c r="Y201" s="26"/>
      <c r="Z201" s="21"/>
      <c r="AA201" s="7">
        <v>99741000000</v>
      </c>
      <c r="AB201" s="7">
        <v>62336000000</v>
      </c>
      <c r="AC201" s="9">
        <v>95017000000</v>
      </c>
      <c r="AD201" s="26"/>
      <c r="AE201" s="10">
        <v>4156572300</v>
      </c>
      <c r="AF201" s="10">
        <v>4156572300</v>
      </c>
      <c r="AG201" s="10">
        <v>4156572300</v>
      </c>
      <c r="AH201" s="17">
        <v>4156572300</v>
      </c>
    </row>
    <row r="202" spans="1:34" x14ac:dyDescent="0.25">
      <c r="A202" s="5">
        <v>31</v>
      </c>
      <c r="B202" s="5" t="s">
        <v>286</v>
      </c>
      <c r="C202" s="5" t="s">
        <v>287</v>
      </c>
      <c r="D202" s="6">
        <v>43634</v>
      </c>
      <c r="E202" s="26"/>
      <c r="F202" s="7">
        <v>451906621000</v>
      </c>
      <c r="G202" s="7">
        <v>500778546000</v>
      </c>
      <c r="H202" s="8">
        <v>523443664000</v>
      </c>
      <c r="I202" s="8">
        <v>795180378000</v>
      </c>
      <c r="J202" s="26"/>
      <c r="K202" s="7">
        <v>55521996000</v>
      </c>
      <c r="L202" s="7">
        <v>28523152000</v>
      </c>
      <c r="M202" s="8">
        <v>38733792000</v>
      </c>
      <c r="N202" s="8">
        <v>50129821000</v>
      </c>
      <c r="Y202" s="26"/>
      <c r="Z202" s="38"/>
      <c r="AA202" s="7">
        <v>7500000000</v>
      </c>
      <c r="AB202" s="9">
        <v>7500000000</v>
      </c>
      <c r="AC202" s="8">
        <v>9000000</v>
      </c>
      <c r="AD202" s="26"/>
      <c r="AE202" s="10">
        <v>1000000000</v>
      </c>
      <c r="AF202" s="10">
        <v>1000000000</v>
      </c>
      <c r="AG202" s="10">
        <v>1199999998</v>
      </c>
      <c r="AH202" s="10">
        <v>1199999998</v>
      </c>
    </row>
    <row r="203" spans="1:34" x14ac:dyDescent="0.25">
      <c r="A203" s="5">
        <v>32</v>
      </c>
      <c r="B203" s="5" t="s">
        <v>304</v>
      </c>
      <c r="C203" s="5" t="s">
        <v>305</v>
      </c>
      <c r="D203" s="6">
        <v>44081</v>
      </c>
      <c r="E203" s="20"/>
      <c r="F203" s="20"/>
      <c r="G203" s="9">
        <v>465425972956</v>
      </c>
      <c r="H203" s="8">
        <v>535415794488</v>
      </c>
      <c r="I203" s="17">
        <v>482237445446</v>
      </c>
      <c r="J203" s="20"/>
      <c r="K203" s="20"/>
      <c r="L203" s="22">
        <v>-18968687903</v>
      </c>
      <c r="M203" s="23">
        <v>-7161193244</v>
      </c>
      <c r="N203" s="23">
        <v>-5152294743</v>
      </c>
      <c r="Y203" s="26"/>
      <c r="Z203" s="26"/>
      <c r="AA203" s="15"/>
      <c r="AB203" s="39"/>
      <c r="AC203" s="39"/>
      <c r="AD203" s="20"/>
      <c r="AE203" s="20"/>
      <c r="AF203" s="9">
        <v>2500000000</v>
      </c>
      <c r="AG203" s="9">
        <v>2500000000</v>
      </c>
      <c r="AH203" s="17">
        <v>2500000000</v>
      </c>
    </row>
    <row r="204" spans="1:34" x14ac:dyDescent="0.25">
      <c r="A204" s="5">
        <v>33</v>
      </c>
      <c r="B204" s="5" t="s">
        <v>306</v>
      </c>
      <c r="C204" s="5" t="s">
        <v>307</v>
      </c>
      <c r="D204" s="6">
        <v>43745</v>
      </c>
      <c r="E204" s="26"/>
      <c r="F204" s="7">
        <v>345998452997</v>
      </c>
      <c r="G204" s="9">
        <v>383601312705</v>
      </c>
      <c r="H204" s="8">
        <v>395546064266</v>
      </c>
      <c r="I204" s="8">
        <v>446032517908</v>
      </c>
      <c r="J204" s="26"/>
      <c r="K204" s="7">
        <v>29514868296</v>
      </c>
      <c r="L204" s="9">
        <v>26496991950</v>
      </c>
      <c r="M204" s="8">
        <v>25245714649</v>
      </c>
      <c r="N204" s="8">
        <v>42340305141</v>
      </c>
      <c r="Y204" s="26"/>
      <c r="Z204" s="21"/>
      <c r="AA204" s="9">
        <v>1500000000</v>
      </c>
      <c r="AB204" s="39"/>
      <c r="AC204" s="39"/>
      <c r="AD204" s="26"/>
      <c r="AE204" s="10">
        <v>2000000000</v>
      </c>
      <c r="AF204" s="10">
        <v>2000000000</v>
      </c>
      <c r="AG204" s="10">
        <v>2000000000</v>
      </c>
      <c r="AH204" s="10">
        <v>2000000000</v>
      </c>
    </row>
    <row r="205" spans="1:34" x14ac:dyDescent="0.25">
      <c r="A205" s="5">
        <v>34</v>
      </c>
      <c r="B205" s="11" t="s">
        <v>324</v>
      </c>
      <c r="C205" s="11" t="s">
        <v>325</v>
      </c>
      <c r="D205" s="6">
        <v>44536</v>
      </c>
      <c r="E205" s="26"/>
      <c r="F205" s="26"/>
      <c r="G205" s="26"/>
      <c r="H205" s="17">
        <v>5603779000000</v>
      </c>
      <c r="I205" s="17">
        <v>6223251000000</v>
      </c>
      <c r="J205" s="26"/>
      <c r="K205" s="26"/>
      <c r="L205" s="26"/>
      <c r="M205" s="17">
        <v>790229000000</v>
      </c>
      <c r="N205" s="17">
        <v>1060582000000</v>
      </c>
      <c r="Y205" s="26"/>
      <c r="Z205" s="26"/>
      <c r="AA205" s="26"/>
      <c r="AB205" s="9">
        <v>400013000000</v>
      </c>
      <c r="AC205" s="17">
        <v>500007000000</v>
      </c>
      <c r="AD205" s="20"/>
      <c r="AE205" s="20"/>
      <c r="AF205" s="26"/>
      <c r="AG205" s="9">
        <v>7934683000</v>
      </c>
      <c r="AH205" s="17">
        <v>7934683000</v>
      </c>
    </row>
    <row r="206" spans="1:34" ht="30" x14ac:dyDescent="0.25">
      <c r="A206" s="5">
        <v>35</v>
      </c>
      <c r="B206" s="5" t="s">
        <v>326</v>
      </c>
      <c r="C206" s="5" t="s">
        <v>327</v>
      </c>
      <c r="D206" s="6">
        <v>43544</v>
      </c>
      <c r="E206" s="26"/>
      <c r="F206" s="7">
        <v>250442587742</v>
      </c>
      <c r="G206" s="7">
        <v>263754414443</v>
      </c>
      <c r="H206" s="8">
        <v>370684311428</v>
      </c>
      <c r="I206" s="8">
        <v>485054412584</v>
      </c>
      <c r="J206" s="7">
        <v>338129985000</v>
      </c>
      <c r="K206" s="7">
        <v>317815177000</v>
      </c>
      <c r="L206" s="7">
        <v>2738128648</v>
      </c>
      <c r="M206" s="8">
        <v>8532631708</v>
      </c>
      <c r="N206" s="8">
        <v>6620432696</v>
      </c>
      <c r="Y206" s="26"/>
      <c r="Z206" s="21"/>
      <c r="AA206" s="21"/>
      <c r="AB206" s="39"/>
      <c r="AC206" s="39"/>
      <c r="AD206" s="26"/>
      <c r="AE206" s="10">
        <v>560242105</v>
      </c>
      <c r="AF206" s="10">
        <v>560284938</v>
      </c>
      <c r="AG206" s="10">
        <v>889863981</v>
      </c>
      <c r="AH206" s="8">
        <v>889863981</v>
      </c>
    </row>
    <row r="207" spans="1:34" ht="18" x14ac:dyDescent="0.35">
      <c r="A207" s="5">
        <v>36</v>
      </c>
      <c r="B207" s="11" t="s">
        <v>328</v>
      </c>
      <c r="C207" s="11" t="s">
        <v>329</v>
      </c>
      <c r="D207" s="51">
        <v>44783</v>
      </c>
      <c r="E207" s="26"/>
      <c r="F207" s="26"/>
      <c r="G207" s="26"/>
      <c r="H207" s="26"/>
      <c r="I207" s="9">
        <v>316483653347</v>
      </c>
      <c r="J207" s="26"/>
      <c r="K207" s="26"/>
      <c r="L207" s="26"/>
      <c r="M207" s="26"/>
      <c r="N207" s="9">
        <v>10397731280</v>
      </c>
      <c r="Y207" s="26"/>
      <c r="Z207" s="26"/>
      <c r="AA207" s="26"/>
      <c r="AB207" s="26"/>
      <c r="AC207" s="39"/>
      <c r="AD207" s="26"/>
      <c r="AE207" s="26"/>
      <c r="AF207" s="26"/>
      <c r="AG207" s="26"/>
      <c r="AH207" s="8">
        <v>1950000000</v>
      </c>
    </row>
    <row r="208" spans="1:34" x14ac:dyDescent="0.25">
      <c r="A208" s="5">
        <v>37</v>
      </c>
      <c r="B208" s="5" t="s">
        <v>332</v>
      </c>
      <c r="C208" s="5" t="s">
        <v>333</v>
      </c>
      <c r="D208" s="6">
        <v>43852</v>
      </c>
      <c r="E208" s="26"/>
      <c r="F208" s="26"/>
      <c r="G208" s="9">
        <v>5680638000000</v>
      </c>
      <c r="H208" s="8">
        <v>6297287000000</v>
      </c>
      <c r="I208" s="8">
        <v>6878297000000</v>
      </c>
      <c r="J208" s="26"/>
      <c r="K208" s="26"/>
      <c r="L208" s="9">
        <v>205589000000</v>
      </c>
      <c r="M208" s="8">
        <v>351470000000</v>
      </c>
      <c r="N208" s="8">
        <v>382105000000</v>
      </c>
      <c r="Y208" s="26"/>
      <c r="Z208" s="26"/>
      <c r="AA208" s="15"/>
      <c r="AB208" s="9">
        <v>8000000</v>
      </c>
      <c r="AC208" s="39"/>
      <c r="AD208" s="20"/>
      <c r="AE208" s="20"/>
      <c r="AF208" s="10">
        <v>9468359000</v>
      </c>
      <c r="AG208" s="10">
        <v>9468359000</v>
      </c>
      <c r="AH208" s="10">
        <v>9468359000</v>
      </c>
    </row>
    <row r="209" spans="1:34" x14ac:dyDescent="0.25">
      <c r="A209" s="5">
        <v>38</v>
      </c>
      <c r="B209" s="5" t="s">
        <v>334</v>
      </c>
      <c r="C209" s="5" t="s">
        <v>335</v>
      </c>
      <c r="D209" s="6">
        <v>44088</v>
      </c>
      <c r="E209" s="26"/>
      <c r="F209" s="26"/>
      <c r="G209" s="7">
        <v>271189553490</v>
      </c>
      <c r="H209" s="7">
        <v>294416024814</v>
      </c>
      <c r="I209" s="7">
        <v>313331422003</v>
      </c>
      <c r="J209" s="26"/>
      <c r="K209" s="26"/>
      <c r="L209" s="7">
        <v>1196922419</v>
      </c>
      <c r="M209" s="7">
        <v>10191676313</v>
      </c>
      <c r="N209" s="7">
        <v>2144541371</v>
      </c>
      <c r="Y209" s="26"/>
      <c r="Z209" s="26"/>
      <c r="AA209" s="21"/>
      <c r="AB209" s="39"/>
      <c r="AC209" s="39"/>
      <c r="AD209" s="20"/>
      <c r="AE209" s="20"/>
      <c r="AF209" s="10">
        <v>2162543000</v>
      </c>
      <c r="AG209" s="10">
        <v>2162543000</v>
      </c>
      <c r="AH209" s="10">
        <v>2162543000</v>
      </c>
    </row>
    <row r="210" spans="1:34" x14ac:dyDescent="0.25">
      <c r="A210" s="5">
        <v>39</v>
      </c>
      <c r="B210" s="5" t="s">
        <v>336</v>
      </c>
      <c r="C210" s="5" t="s">
        <v>337</v>
      </c>
      <c r="D210" s="6">
        <v>43473</v>
      </c>
      <c r="E210" s="26"/>
      <c r="F210" s="7">
        <v>118586648946</v>
      </c>
      <c r="G210" s="7">
        <v>113192236191</v>
      </c>
      <c r="H210" s="8">
        <v>106495352963</v>
      </c>
      <c r="I210" s="8">
        <v>102297196494</v>
      </c>
      <c r="J210" s="26"/>
      <c r="K210" s="7">
        <v>1827667171</v>
      </c>
      <c r="L210" s="16">
        <v>-17398564059</v>
      </c>
      <c r="M210" s="18">
        <v>-14658771261</v>
      </c>
      <c r="N210" s="8">
        <v>-22068477089</v>
      </c>
      <c r="Y210" s="26"/>
      <c r="Z210" s="21"/>
      <c r="AA210" s="21"/>
      <c r="AB210" s="39"/>
      <c r="AC210" s="39"/>
      <c r="AD210" s="26"/>
      <c r="AE210" s="10">
        <v>650000000</v>
      </c>
      <c r="AF210" s="10">
        <v>650000000</v>
      </c>
      <c r="AG210" s="10">
        <v>650000000</v>
      </c>
      <c r="AH210" s="10">
        <v>650000000</v>
      </c>
    </row>
    <row r="211" spans="1:34" ht="16.5" x14ac:dyDescent="0.3">
      <c r="A211" s="5">
        <v>40</v>
      </c>
      <c r="B211" s="5" t="s">
        <v>342</v>
      </c>
      <c r="C211" s="45" t="s">
        <v>343</v>
      </c>
      <c r="D211" s="6">
        <v>44676</v>
      </c>
      <c r="E211" s="26"/>
      <c r="F211" s="26"/>
      <c r="G211" s="26"/>
      <c r="H211" s="26"/>
      <c r="I211" s="9">
        <v>368303424177</v>
      </c>
      <c r="J211" s="26"/>
      <c r="K211" s="26"/>
      <c r="L211" s="26"/>
      <c r="M211" s="26"/>
      <c r="N211" s="9">
        <v>7175353546</v>
      </c>
      <c r="Y211" s="26"/>
      <c r="Z211" s="26"/>
      <c r="AA211" s="26"/>
      <c r="AB211" s="26"/>
      <c r="AC211" s="39"/>
      <c r="AD211" s="26"/>
      <c r="AE211" s="26"/>
      <c r="AF211" s="26"/>
      <c r="AG211" s="26"/>
      <c r="AH211" s="17">
        <v>8036817278</v>
      </c>
    </row>
    <row r="212" spans="1:34" x14ac:dyDescent="0.25">
      <c r="A212" s="5">
        <v>41</v>
      </c>
      <c r="B212" s="5" t="s">
        <v>348</v>
      </c>
      <c r="C212" s="5" t="s">
        <v>349</v>
      </c>
      <c r="D212" s="6">
        <v>43873</v>
      </c>
      <c r="E212" s="26"/>
      <c r="F212" s="26"/>
      <c r="G212" s="9">
        <v>132538615751</v>
      </c>
      <c r="H212" s="17">
        <v>129081871589</v>
      </c>
      <c r="I212" s="17">
        <v>125635186707</v>
      </c>
      <c r="J212" s="20"/>
      <c r="K212" s="20"/>
      <c r="L212" s="22">
        <v>-1087117567</v>
      </c>
      <c r="M212" s="17">
        <v>1599675921</v>
      </c>
      <c r="N212" s="17">
        <v>2035931112</v>
      </c>
      <c r="Y212" s="26"/>
      <c r="Z212" s="26"/>
      <c r="AA212" s="15"/>
      <c r="AB212" s="39"/>
      <c r="AC212" s="39"/>
      <c r="AD212" s="20"/>
      <c r="AE212" s="20"/>
      <c r="AF212" s="10">
        <v>833333000</v>
      </c>
      <c r="AG212" s="10">
        <v>833333000</v>
      </c>
      <c r="AH212" s="10">
        <v>833333000</v>
      </c>
    </row>
    <row r="213" spans="1:34" x14ac:dyDescent="0.25">
      <c r="A213" s="5">
        <v>42</v>
      </c>
      <c r="B213" s="11" t="s">
        <v>352</v>
      </c>
      <c r="C213" s="11" t="s">
        <v>353</v>
      </c>
      <c r="D213" s="6">
        <v>44539</v>
      </c>
      <c r="E213" s="26"/>
      <c r="F213" s="26"/>
      <c r="G213" s="26"/>
      <c r="H213" s="9">
        <v>284301347000</v>
      </c>
      <c r="I213" s="9">
        <v>290584130000</v>
      </c>
      <c r="J213" s="26"/>
      <c r="K213" s="26"/>
      <c r="L213" s="26"/>
      <c r="M213" s="9">
        <v>2915091000</v>
      </c>
      <c r="N213" s="9">
        <v>3564619000</v>
      </c>
      <c r="Y213" s="26"/>
      <c r="Z213" s="26"/>
      <c r="AA213" s="26"/>
      <c r="AB213" s="26"/>
      <c r="AC213" s="39"/>
      <c r="AD213" s="20"/>
      <c r="AE213" s="20"/>
      <c r="AF213" s="20"/>
      <c r="AG213" s="20"/>
      <c r="AH213" s="55">
        <v>4600000000</v>
      </c>
    </row>
    <row r="214" spans="1:34" x14ac:dyDescent="0.25">
      <c r="A214" s="5">
        <v>43</v>
      </c>
      <c r="B214" s="5" t="s">
        <v>354</v>
      </c>
      <c r="C214" s="5" t="s">
        <v>355</v>
      </c>
      <c r="D214" s="6">
        <v>43794</v>
      </c>
      <c r="E214" s="26"/>
      <c r="F214" s="7">
        <v>666313386673</v>
      </c>
      <c r="G214" s="7">
        <v>674806910037</v>
      </c>
      <c r="H214" s="8">
        <v>767726284113</v>
      </c>
      <c r="I214" s="8">
        <v>860100358989</v>
      </c>
      <c r="J214" s="26"/>
      <c r="K214" s="7">
        <v>98047666143</v>
      </c>
      <c r="L214" s="7">
        <v>121000016429</v>
      </c>
      <c r="M214" s="8">
        <v>144700268968</v>
      </c>
      <c r="N214" s="8">
        <v>117370750383</v>
      </c>
      <c r="Y214" s="26"/>
      <c r="Z214" s="7">
        <v>257277777778</v>
      </c>
      <c r="AA214" s="7">
        <v>120000000000</v>
      </c>
      <c r="AB214" s="39"/>
      <c r="AC214" s="39"/>
      <c r="AD214" s="26"/>
      <c r="AE214" s="10">
        <v>1500000000</v>
      </c>
      <c r="AF214" s="10">
        <v>1500000000</v>
      </c>
      <c r="AG214" s="10">
        <v>1500000000</v>
      </c>
      <c r="AH214" s="8">
        <v>1500000000</v>
      </c>
    </row>
    <row r="215" spans="1:34" x14ac:dyDescent="0.25">
      <c r="A215" s="5">
        <v>44</v>
      </c>
      <c r="B215" s="50" t="s">
        <v>362</v>
      </c>
      <c r="C215" s="50" t="s">
        <v>363</v>
      </c>
      <c r="D215" s="6">
        <v>44543</v>
      </c>
      <c r="E215" s="26"/>
      <c r="F215" s="26"/>
      <c r="G215" s="26"/>
      <c r="H215" s="8">
        <v>67761107871</v>
      </c>
      <c r="I215" s="8">
        <v>70220263356</v>
      </c>
      <c r="J215" s="26"/>
      <c r="K215" s="26"/>
      <c r="L215" s="26"/>
      <c r="M215" s="9">
        <v>532665673</v>
      </c>
      <c r="N215" s="7">
        <v>1032151378</v>
      </c>
      <c r="Y215" s="26"/>
      <c r="Z215" s="26"/>
      <c r="AA215" s="26"/>
      <c r="AB215" s="21"/>
      <c r="AC215" s="26"/>
      <c r="AD215" s="26"/>
      <c r="AE215" s="26"/>
      <c r="AF215" s="26"/>
      <c r="AG215" s="26"/>
      <c r="AH215" s="55">
        <v>807400000</v>
      </c>
    </row>
    <row r="216" spans="1:34" ht="28.5" x14ac:dyDescent="0.25">
      <c r="A216" s="5">
        <v>45</v>
      </c>
      <c r="B216" s="53" t="s">
        <v>368</v>
      </c>
      <c r="C216" s="54" t="s">
        <v>369</v>
      </c>
      <c r="D216" s="6">
        <v>44183</v>
      </c>
      <c r="E216" s="20"/>
      <c r="F216" s="20"/>
      <c r="G216" s="13">
        <v>248134573</v>
      </c>
      <c r="H216" s="24">
        <v>268577438</v>
      </c>
      <c r="I216" s="24">
        <v>297508053</v>
      </c>
      <c r="J216" s="20"/>
      <c r="K216" s="20"/>
      <c r="L216" s="13">
        <v>10249473</v>
      </c>
      <c r="M216" s="24">
        <v>9294368</v>
      </c>
      <c r="N216" s="24">
        <v>7543323</v>
      </c>
      <c r="Y216" s="26"/>
      <c r="Z216" s="26"/>
      <c r="AA216" s="21"/>
      <c r="AB216" s="9">
        <v>491837</v>
      </c>
      <c r="AC216" s="39"/>
      <c r="AD216" s="20"/>
      <c r="AE216" s="20"/>
      <c r="AF216" s="10">
        <v>2353000000</v>
      </c>
      <c r="AG216" s="10">
        <v>2353000000</v>
      </c>
      <c r="AH216" s="10">
        <v>2353000000</v>
      </c>
    </row>
    <row r="217" spans="1:34" x14ac:dyDescent="0.25">
      <c r="A217" s="5">
        <v>46</v>
      </c>
      <c r="B217" s="5" t="s">
        <v>372</v>
      </c>
      <c r="C217" s="5" t="s">
        <v>373</v>
      </c>
      <c r="D217" s="6">
        <v>43794</v>
      </c>
      <c r="E217" s="26"/>
      <c r="F217" s="7">
        <v>3255607109573</v>
      </c>
      <c r="G217" s="7">
        <v>3401723398441</v>
      </c>
      <c r="H217" s="8">
        <v>3731907652769</v>
      </c>
      <c r="I217" s="8">
        <v>4140857067187</v>
      </c>
      <c r="J217" s="26"/>
      <c r="K217" s="16">
        <v>-160987619452</v>
      </c>
      <c r="L217" s="7">
        <v>26500634368</v>
      </c>
      <c r="M217" s="8">
        <v>213841959820</v>
      </c>
      <c r="N217" s="8">
        <v>257682130697</v>
      </c>
      <c r="Y217" s="26"/>
      <c r="Z217" s="21"/>
      <c r="AA217" s="21"/>
      <c r="AB217" s="39"/>
      <c r="AC217" s="39"/>
      <c r="AD217" s="26"/>
      <c r="AE217" s="10">
        <v>18850000000</v>
      </c>
      <c r="AF217" s="10">
        <v>18850000000</v>
      </c>
      <c r="AG217" s="10">
        <v>18850000000</v>
      </c>
      <c r="AH217" s="10">
        <v>18850000000</v>
      </c>
    </row>
    <row r="218" spans="1:34" x14ac:dyDescent="0.25">
      <c r="A218" s="5">
        <v>47</v>
      </c>
      <c r="B218" s="50" t="s">
        <v>382</v>
      </c>
      <c r="C218" s="50" t="s">
        <v>383</v>
      </c>
      <c r="D218" s="6">
        <v>44536</v>
      </c>
      <c r="E218" s="26"/>
      <c r="F218" s="26"/>
      <c r="G218" s="26"/>
      <c r="H218" s="7">
        <v>377422657739</v>
      </c>
      <c r="I218" s="7">
        <v>407707959296</v>
      </c>
      <c r="J218" s="26"/>
      <c r="K218" s="26"/>
      <c r="L218" s="26"/>
      <c r="M218" s="9">
        <v>4911439431</v>
      </c>
      <c r="N218" s="9">
        <v>7732743618</v>
      </c>
      <c r="Y218" s="26"/>
      <c r="Z218" s="26"/>
      <c r="AA218" s="26"/>
      <c r="AB218" s="39"/>
      <c r="AC218" s="39"/>
      <c r="AD218" s="26"/>
      <c r="AE218" s="26"/>
      <c r="AF218" s="26"/>
      <c r="AG218" s="9">
        <v>1098920000</v>
      </c>
      <c r="AH218" s="9">
        <v>1098920000</v>
      </c>
    </row>
    <row r="219" spans="1:34" x14ac:dyDescent="0.25">
      <c r="A219" s="5">
        <v>48</v>
      </c>
      <c r="B219" s="11" t="s">
        <v>384</v>
      </c>
      <c r="C219" s="11" t="s">
        <v>385</v>
      </c>
      <c r="D219" s="6" t="s">
        <v>86</v>
      </c>
      <c r="E219" s="26"/>
      <c r="F219" s="26"/>
      <c r="G219" s="12"/>
      <c r="H219" s="12"/>
      <c r="I219" s="7">
        <v>3527440735311</v>
      </c>
      <c r="J219" s="26"/>
      <c r="K219" s="26"/>
      <c r="L219" s="12"/>
      <c r="M219" s="12"/>
      <c r="N219" s="7">
        <v>49687918287</v>
      </c>
      <c r="Y219" s="26"/>
      <c r="Z219" s="26"/>
      <c r="AA219" s="26"/>
      <c r="AB219" s="26"/>
      <c r="AC219" s="39"/>
      <c r="AD219" s="26"/>
      <c r="AE219" s="26"/>
      <c r="AF219" s="26"/>
      <c r="AG219" s="26"/>
      <c r="AH219" s="9">
        <v>7945412700</v>
      </c>
    </row>
    <row r="220" spans="1:34" x14ac:dyDescent="0.25">
      <c r="A220" s="5">
        <v>49</v>
      </c>
      <c r="B220" s="50" t="s">
        <v>388</v>
      </c>
      <c r="C220" s="50" t="s">
        <v>389</v>
      </c>
      <c r="D220" s="6">
        <v>44536</v>
      </c>
      <c r="E220" s="26"/>
      <c r="F220" s="26"/>
      <c r="G220" s="26"/>
      <c r="H220" s="9">
        <v>5656783727367</v>
      </c>
      <c r="I220" s="9">
        <v>6070418948982</v>
      </c>
      <c r="J220" s="26"/>
      <c r="K220" s="26"/>
      <c r="L220" s="26"/>
      <c r="M220" s="9">
        <v>301834684569</v>
      </c>
      <c r="N220" s="16">
        <v>-317071200358</v>
      </c>
      <c r="Y220" s="26"/>
      <c r="Z220" s="26"/>
      <c r="AA220" s="26"/>
      <c r="AB220" s="39"/>
      <c r="AC220" s="8">
        <v>4926551196</v>
      </c>
      <c r="AD220" s="26"/>
      <c r="AE220" s="26"/>
      <c r="AF220" s="26"/>
      <c r="AG220" s="9">
        <v>29419000000</v>
      </c>
      <c r="AH220" s="9">
        <v>29419000000</v>
      </c>
    </row>
    <row r="221" spans="1:34" x14ac:dyDescent="0.25">
      <c r="A221" s="5">
        <v>50</v>
      </c>
      <c r="B221" s="50" t="s">
        <v>390</v>
      </c>
      <c r="C221" s="50" t="s">
        <v>391</v>
      </c>
      <c r="D221" s="6">
        <v>44229</v>
      </c>
      <c r="E221" s="26"/>
      <c r="F221" s="26"/>
      <c r="G221" s="26"/>
      <c r="H221" s="17">
        <v>2313131077756</v>
      </c>
      <c r="I221" s="17">
        <v>2710571959100</v>
      </c>
      <c r="J221" s="26"/>
      <c r="K221" s="26"/>
      <c r="L221" s="26"/>
      <c r="M221" s="17">
        <v>209828001383</v>
      </c>
      <c r="N221" s="18">
        <v>-9631554707</v>
      </c>
      <c r="Y221" s="26"/>
      <c r="Z221" s="26"/>
      <c r="AA221" s="26"/>
      <c r="AB221" s="39"/>
      <c r="AC221" s="9">
        <v>20964047651</v>
      </c>
      <c r="AD221" s="20"/>
      <c r="AE221" s="20"/>
      <c r="AF221" s="56"/>
      <c r="AG221" s="9">
        <v>11000000000</v>
      </c>
      <c r="AH221" s="9">
        <v>11000000000</v>
      </c>
    </row>
    <row r="222" spans="1:34" x14ac:dyDescent="0.25">
      <c r="A222" s="5">
        <v>51</v>
      </c>
      <c r="B222" s="5" t="s">
        <v>396</v>
      </c>
      <c r="C222" s="5" t="s">
        <v>397</v>
      </c>
      <c r="D222" s="6">
        <v>43650</v>
      </c>
      <c r="E222" s="26"/>
      <c r="F222" s="7">
        <v>447811735070</v>
      </c>
      <c r="G222" s="7">
        <v>505077168839</v>
      </c>
      <c r="H222" s="8">
        <v>526704173504</v>
      </c>
      <c r="I222" s="8">
        <v>553207312282</v>
      </c>
      <c r="J222" s="26"/>
      <c r="K222" s="16">
        <v>-7000145820</v>
      </c>
      <c r="L222" s="7">
        <v>6120040212</v>
      </c>
      <c r="M222" s="8">
        <v>18368616642</v>
      </c>
      <c r="N222" s="8">
        <v>23952323176</v>
      </c>
      <c r="Y222" s="26"/>
      <c r="Z222" s="21"/>
      <c r="AA222" s="21"/>
      <c r="AB222" s="39"/>
      <c r="AC222" s="39"/>
      <c r="AD222" s="26"/>
      <c r="AE222" s="10">
        <v>940720000</v>
      </c>
      <c r="AF222" s="10">
        <v>940720000</v>
      </c>
      <c r="AG222" s="10">
        <v>940720000</v>
      </c>
      <c r="AH222" s="10">
        <v>940720000</v>
      </c>
    </row>
    <row r="223" spans="1:34" ht="28.5" x14ac:dyDescent="0.25">
      <c r="A223" s="5">
        <v>52</v>
      </c>
      <c r="B223" s="53" t="s">
        <v>418</v>
      </c>
      <c r="C223" s="54" t="s">
        <v>419</v>
      </c>
      <c r="D223" s="6">
        <v>44081</v>
      </c>
      <c r="E223" s="26"/>
      <c r="F223" s="26"/>
      <c r="G223" s="9">
        <v>4180243000000</v>
      </c>
      <c r="H223" s="17">
        <v>4021919000000</v>
      </c>
      <c r="I223" s="17">
        <v>4474599000000</v>
      </c>
      <c r="J223" s="26"/>
      <c r="K223" s="26"/>
      <c r="L223" s="9">
        <v>172200000000</v>
      </c>
      <c r="M223" s="17">
        <v>551091000000</v>
      </c>
      <c r="N223" s="17">
        <v>357015000000</v>
      </c>
      <c r="Y223" s="26"/>
      <c r="Z223" s="26"/>
      <c r="AA223" s="9">
        <v>13271000000</v>
      </c>
      <c r="AB223" s="9">
        <v>551521000000</v>
      </c>
      <c r="AC223" s="17">
        <v>149762000000</v>
      </c>
      <c r="AD223" s="26"/>
      <c r="AE223" s="26"/>
      <c r="AF223" s="9">
        <v>1269168239</v>
      </c>
      <c r="AG223" s="9">
        <v>1269168239</v>
      </c>
      <c r="AH223" s="9">
        <v>1269168239</v>
      </c>
    </row>
    <row r="224" spans="1:34" x14ac:dyDescent="0.25">
      <c r="A224" s="5">
        <v>53</v>
      </c>
      <c r="B224" s="11" t="s">
        <v>422</v>
      </c>
      <c r="C224" s="11" t="s">
        <v>423</v>
      </c>
      <c r="D224" s="6">
        <v>44781</v>
      </c>
      <c r="E224" s="12"/>
      <c r="F224" s="12"/>
      <c r="G224" s="12"/>
      <c r="H224" s="12"/>
      <c r="I224" s="7">
        <v>60613787000</v>
      </c>
      <c r="J224" s="12"/>
      <c r="K224" s="12"/>
      <c r="L224" s="12"/>
      <c r="M224" s="12"/>
      <c r="N224" s="7">
        <v>5881498000</v>
      </c>
      <c r="Y224" s="12"/>
      <c r="Z224" s="12"/>
      <c r="AA224" s="12"/>
      <c r="AB224" s="12"/>
      <c r="AC224" s="39"/>
      <c r="AD224" s="26"/>
      <c r="AE224" s="26"/>
      <c r="AF224" s="26"/>
      <c r="AG224" s="26"/>
      <c r="AH224" s="9">
        <v>2500000000</v>
      </c>
    </row>
    <row r="225" spans="1:34" x14ac:dyDescent="0.25">
      <c r="A225" s="5">
        <v>54</v>
      </c>
      <c r="B225" s="19" t="s">
        <v>80</v>
      </c>
      <c r="C225" s="19" t="s">
        <v>81</v>
      </c>
      <c r="D225" s="6">
        <v>44538</v>
      </c>
      <c r="E225" s="12"/>
      <c r="F225" s="12"/>
      <c r="G225" s="26"/>
      <c r="H225" s="9">
        <v>10873760236580</v>
      </c>
      <c r="I225" s="9">
        <v>10792122000000</v>
      </c>
      <c r="J225" s="12"/>
      <c r="K225" s="12"/>
      <c r="L225" s="26"/>
      <c r="M225" s="9">
        <v>1434551222696</v>
      </c>
      <c r="N225" s="9">
        <v>1400365000000</v>
      </c>
      <c r="Y225" s="12"/>
      <c r="Z225" s="12"/>
      <c r="AA225" s="12"/>
      <c r="AB225" s="25">
        <v>2350001000000</v>
      </c>
      <c r="AC225" s="25">
        <v>1115164000000</v>
      </c>
      <c r="AD225" s="26"/>
      <c r="AE225" s="26"/>
      <c r="AF225" s="26"/>
      <c r="AG225" s="25">
        <v>61953555600</v>
      </c>
      <c r="AH225" s="9">
        <v>61953555600</v>
      </c>
    </row>
    <row r="226" spans="1:34" x14ac:dyDescent="0.25">
      <c r="A226" s="5">
        <v>55</v>
      </c>
      <c r="B226" s="5" t="s">
        <v>434</v>
      </c>
      <c r="C226" s="5" t="s">
        <v>435</v>
      </c>
      <c r="D226" s="6">
        <v>44630</v>
      </c>
      <c r="E226" s="26"/>
      <c r="F226" s="26"/>
      <c r="G226" s="26"/>
      <c r="H226" s="26"/>
      <c r="I226" s="9">
        <v>177769224634</v>
      </c>
      <c r="J226" s="26"/>
      <c r="K226" s="26"/>
      <c r="L226" s="26"/>
      <c r="M226" s="26"/>
      <c r="N226" s="9">
        <v>1740384582</v>
      </c>
      <c r="Y226" s="20"/>
      <c r="Z226" s="20"/>
      <c r="AA226" s="20"/>
      <c r="AB226" s="20"/>
      <c r="AC226" s="39"/>
      <c r="AD226" s="20"/>
      <c r="AE226" s="20"/>
      <c r="AF226" s="20"/>
      <c r="AG226" s="20"/>
      <c r="AH226" s="28">
        <v>4285102352</v>
      </c>
    </row>
    <row r="227" spans="1:34" x14ac:dyDescent="0.25">
      <c r="A227" s="5">
        <v>56</v>
      </c>
      <c r="B227" s="5" t="s">
        <v>440</v>
      </c>
      <c r="C227" s="5" t="s">
        <v>441</v>
      </c>
      <c r="D227" s="6">
        <v>44182</v>
      </c>
      <c r="E227" s="26"/>
      <c r="F227" s="26"/>
      <c r="G227" s="9">
        <v>959769030280</v>
      </c>
      <c r="H227" s="17">
        <v>997797006411</v>
      </c>
      <c r="I227" s="17">
        <v>1150904222886</v>
      </c>
      <c r="J227" s="20"/>
      <c r="K227" s="20"/>
      <c r="L227" s="9">
        <v>148365915585</v>
      </c>
      <c r="M227" s="17">
        <v>177275878389</v>
      </c>
      <c r="N227" s="17">
        <v>97639053688</v>
      </c>
      <c r="Y227" s="26"/>
      <c r="Z227" s="26"/>
      <c r="AA227" s="9">
        <v>25000000000</v>
      </c>
      <c r="AB227" s="9">
        <v>57018000000</v>
      </c>
      <c r="AC227" s="9">
        <v>46956000000</v>
      </c>
      <c r="AD227" s="20"/>
      <c r="AE227" s="20"/>
      <c r="AF227" s="9">
        <v>6708000000</v>
      </c>
      <c r="AG227" s="9">
        <v>6708000000</v>
      </c>
      <c r="AH227" s="9">
        <v>6708000000</v>
      </c>
    </row>
    <row r="228" spans="1:34" x14ac:dyDescent="0.25">
      <c r="A228" s="5">
        <v>57</v>
      </c>
      <c r="B228" s="5" t="s">
        <v>442</v>
      </c>
      <c r="C228" s="5" t="s">
        <v>443</v>
      </c>
      <c r="D228" s="6">
        <v>43930</v>
      </c>
      <c r="E228" s="26"/>
      <c r="F228" s="26"/>
      <c r="G228" s="7">
        <v>344228909175</v>
      </c>
      <c r="H228" s="17">
        <v>354869039524</v>
      </c>
      <c r="I228" s="17">
        <v>365809492326</v>
      </c>
      <c r="J228" s="20"/>
      <c r="K228" s="20"/>
      <c r="L228" s="7">
        <v>5286152369</v>
      </c>
      <c r="M228" s="17">
        <v>1470491082</v>
      </c>
      <c r="N228" s="23">
        <v>-1587435109</v>
      </c>
      <c r="Y228" s="26"/>
      <c r="Z228" s="26"/>
      <c r="AA228" s="39"/>
      <c r="AB228" s="39"/>
      <c r="AC228" s="39"/>
      <c r="AD228" s="20"/>
      <c r="AE228" s="20"/>
      <c r="AF228" s="9">
        <v>1875000000</v>
      </c>
      <c r="AG228" s="9">
        <v>1875000000</v>
      </c>
      <c r="AH228" s="9">
        <v>1875000000</v>
      </c>
    </row>
    <row r="229" spans="1:34" x14ac:dyDescent="0.25">
      <c r="A229" s="5">
        <v>58</v>
      </c>
      <c r="B229" s="5" t="s">
        <v>446</v>
      </c>
      <c r="C229" s="5" t="s">
        <v>447</v>
      </c>
      <c r="D229" s="6">
        <v>44385</v>
      </c>
      <c r="E229" s="26"/>
      <c r="F229" s="26"/>
      <c r="G229" s="26"/>
      <c r="H229" s="29"/>
      <c r="I229" s="29"/>
      <c r="J229" s="26"/>
      <c r="K229" s="26"/>
      <c r="L229" s="26"/>
      <c r="M229" s="29"/>
      <c r="N229" s="29"/>
      <c r="Y229" s="20"/>
      <c r="Z229" s="20"/>
      <c r="AA229" s="20"/>
      <c r="AB229" s="27"/>
      <c r="AC229" s="27"/>
      <c r="AD229" s="20"/>
      <c r="AE229" s="20"/>
      <c r="AF229" s="20"/>
      <c r="AG229" s="27"/>
      <c r="AH229" s="27"/>
    </row>
    <row r="230" spans="1:34" x14ac:dyDescent="0.25">
      <c r="A230" s="5">
        <v>59</v>
      </c>
      <c r="B230" s="5" t="s">
        <v>452</v>
      </c>
      <c r="C230" s="5" t="s">
        <v>453</v>
      </c>
      <c r="D230" s="6">
        <v>44019</v>
      </c>
      <c r="E230" s="26"/>
      <c r="F230" s="26"/>
      <c r="G230" s="7">
        <v>68265043218</v>
      </c>
      <c r="H230" s="17">
        <v>64101498956</v>
      </c>
      <c r="I230" s="17">
        <v>62050290153</v>
      </c>
      <c r="J230" s="20"/>
      <c r="K230" s="20"/>
      <c r="L230" s="7">
        <v>207154739</v>
      </c>
      <c r="M230" s="18">
        <v>-3282844781</v>
      </c>
      <c r="N230" s="17">
        <v>1142467374</v>
      </c>
      <c r="Y230" s="26"/>
      <c r="Z230" s="26"/>
      <c r="AA230" s="21"/>
      <c r="AB230" s="39"/>
      <c r="AC230" s="39"/>
      <c r="AD230" s="26"/>
      <c r="AE230" s="26"/>
      <c r="AF230" s="9">
        <v>1650000000</v>
      </c>
      <c r="AG230" s="9">
        <v>1653574499</v>
      </c>
      <c r="AH230" s="9">
        <v>1653574499</v>
      </c>
    </row>
    <row r="231" spans="1:34" x14ac:dyDescent="0.25">
      <c r="A231" s="5">
        <v>60</v>
      </c>
      <c r="B231" s="11" t="s">
        <v>454</v>
      </c>
      <c r="C231" s="32" t="s">
        <v>455</v>
      </c>
      <c r="D231" s="6">
        <v>44698</v>
      </c>
      <c r="E231" s="26"/>
      <c r="F231" s="26"/>
      <c r="G231" s="26"/>
      <c r="H231" s="26"/>
      <c r="I231" s="9">
        <v>69981050378</v>
      </c>
      <c r="J231" s="20"/>
      <c r="K231" s="20"/>
      <c r="L231" s="26"/>
      <c r="M231" s="26"/>
      <c r="N231" s="9">
        <v>745107046</v>
      </c>
      <c r="Y231" s="20"/>
      <c r="Z231" s="20"/>
      <c r="AA231" s="20"/>
      <c r="AB231" s="20"/>
      <c r="AC231" s="39"/>
      <c r="AD231" s="20"/>
      <c r="AE231" s="20"/>
      <c r="AF231" s="20"/>
      <c r="AG231" s="20"/>
      <c r="AH231" s="9">
        <v>1900010788</v>
      </c>
    </row>
    <row r="232" spans="1:34" ht="16.5" x14ac:dyDescent="0.3">
      <c r="A232" s="5">
        <v>61</v>
      </c>
      <c r="B232" s="57" t="s">
        <v>458</v>
      </c>
      <c r="C232" s="45" t="s">
        <v>459</v>
      </c>
      <c r="D232" s="6">
        <v>44641</v>
      </c>
      <c r="E232" s="26"/>
      <c r="F232" s="26"/>
      <c r="G232" s="26"/>
      <c r="H232" s="26"/>
      <c r="I232" s="8">
        <v>148576181120</v>
      </c>
      <c r="J232" s="20"/>
      <c r="K232" s="20"/>
      <c r="L232" s="26"/>
      <c r="M232" s="26"/>
      <c r="N232" s="8">
        <v>21219772265</v>
      </c>
      <c r="Y232" s="26"/>
      <c r="Z232" s="26"/>
      <c r="AA232" s="26"/>
      <c r="AB232" s="26"/>
      <c r="AC232" s="8">
        <v>4914669200</v>
      </c>
      <c r="AD232" s="20"/>
      <c r="AE232" s="20"/>
      <c r="AF232" s="58"/>
      <c r="AG232" s="58"/>
      <c r="AH232" s="9">
        <v>1293351809</v>
      </c>
    </row>
    <row r="233" spans="1:34" x14ac:dyDescent="0.25">
      <c r="A233" s="5">
        <v>62</v>
      </c>
      <c r="B233" s="50" t="s">
        <v>460</v>
      </c>
      <c r="C233" s="50" t="s">
        <v>461</v>
      </c>
      <c r="D233" s="6">
        <v>44501</v>
      </c>
      <c r="E233" s="26"/>
      <c r="F233" s="26"/>
      <c r="G233" s="26"/>
      <c r="H233" s="8">
        <v>147435386311</v>
      </c>
      <c r="I233" s="8">
        <v>164088907388</v>
      </c>
      <c r="J233" s="20"/>
      <c r="K233" s="20"/>
      <c r="L233" s="26"/>
      <c r="M233" s="8">
        <v>17466099848</v>
      </c>
      <c r="N233" s="8">
        <v>10738669242</v>
      </c>
      <c r="Y233" s="26"/>
      <c r="Z233" s="26"/>
      <c r="AA233" s="26"/>
      <c r="AB233" s="8">
        <v>3500000000</v>
      </c>
      <c r="AC233" s="8">
        <v>11013141750</v>
      </c>
      <c r="AD233" s="20"/>
      <c r="AE233" s="20"/>
      <c r="AF233" s="26"/>
      <c r="AG233" s="9">
        <v>1155750000</v>
      </c>
      <c r="AH233" s="8">
        <v>1155750000</v>
      </c>
    </row>
    <row r="234" spans="1:34" x14ac:dyDescent="0.25">
      <c r="A234" s="5">
        <v>63</v>
      </c>
      <c r="B234" s="5" t="s">
        <v>464</v>
      </c>
      <c r="C234" s="5" t="s">
        <v>465</v>
      </c>
      <c r="D234" s="6">
        <v>44049</v>
      </c>
      <c r="E234" s="26"/>
      <c r="F234" s="26"/>
      <c r="G234" s="7">
        <v>372174373231</v>
      </c>
      <c r="H234" s="17">
        <v>366362122741</v>
      </c>
      <c r="I234" s="17">
        <v>362962760531</v>
      </c>
      <c r="J234" s="20"/>
      <c r="K234" s="20"/>
      <c r="L234" s="7">
        <v>419605009</v>
      </c>
      <c r="M234" s="18">
        <v>-13194253649</v>
      </c>
      <c r="N234" s="17">
        <v>1883385977</v>
      </c>
      <c r="Y234" s="26"/>
      <c r="Z234" s="26"/>
      <c r="AA234" s="21"/>
      <c r="AB234" s="39"/>
      <c r="AC234" s="39"/>
      <c r="AD234" s="20"/>
      <c r="AE234" s="20"/>
      <c r="AF234" s="9">
        <v>1435000000</v>
      </c>
      <c r="AG234" s="9">
        <v>1435000000</v>
      </c>
      <c r="AH234" s="9">
        <v>1435000712</v>
      </c>
    </row>
  </sheetData>
  <mergeCells count="7">
    <mergeCell ref="AD3:AH3"/>
    <mergeCell ref="E3:I3"/>
    <mergeCell ref="J3:N3"/>
    <mergeCell ref="O3:Q3"/>
    <mergeCell ref="R3:T3"/>
    <mergeCell ref="U3:W3"/>
    <mergeCell ref="Y3:AC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F11BA-291E-402B-B189-8028511F7556}">
  <dimension ref="A1:AH171"/>
  <sheetViews>
    <sheetView workbookViewId="0">
      <selection activeCell="F12" sqref="F12"/>
    </sheetView>
  </sheetViews>
  <sheetFormatPr defaultRowHeight="15" x14ac:dyDescent="0.25"/>
  <cols>
    <col min="1" max="1" width="3.85546875" bestFit="1" customWidth="1"/>
    <col min="2" max="2" width="6.85546875" bestFit="1" customWidth="1"/>
    <col min="3" max="3" width="46.42578125" hidden="1" customWidth="1"/>
    <col min="4" max="4" width="14" customWidth="1"/>
    <col min="5" max="5" width="17.140625" bestFit="1" customWidth="1"/>
    <col min="6" max="6" width="16" bestFit="1" customWidth="1"/>
    <col min="7" max="9" width="18.140625" customWidth="1"/>
    <col min="10" max="11" width="18.140625" hidden="1" customWidth="1"/>
    <col min="12" max="14" width="17.140625" hidden="1" customWidth="1"/>
    <col min="15" max="24" width="0" hidden="1" customWidth="1"/>
    <col min="25" max="28" width="16" hidden="1" customWidth="1"/>
    <col min="29" max="29" width="17.140625" hidden="1" customWidth="1"/>
    <col min="30" max="34" width="14.42578125" hidden="1" customWidth="1"/>
    <col min="35" max="35" width="0" hidden="1" customWidth="1"/>
  </cols>
  <sheetData>
    <row r="1" spans="1:34" x14ac:dyDescent="0.25">
      <c r="A1" t="s">
        <v>484</v>
      </c>
    </row>
    <row r="3" spans="1:34" x14ac:dyDescent="0.25">
      <c r="A3" s="1" t="s">
        <v>0</v>
      </c>
      <c r="B3" s="1" t="s">
        <v>1</v>
      </c>
      <c r="C3" s="2" t="s">
        <v>2</v>
      </c>
      <c r="D3" s="2" t="s">
        <v>3</v>
      </c>
      <c r="E3" s="95" t="s">
        <v>4</v>
      </c>
      <c r="F3" s="95"/>
      <c r="G3" s="95"/>
      <c r="H3" s="95"/>
      <c r="I3" s="95"/>
      <c r="J3" s="93" t="s">
        <v>5</v>
      </c>
      <c r="K3" s="93"/>
      <c r="L3" s="93"/>
      <c r="M3" s="93"/>
      <c r="N3" s="94"/>
      <c r="O3" s="93" t="s">
        <v>6</v>
      </c>
      <c r="P3" s="93"/>
      <c r="Q3" s="93"/>
      <c r="R3" s="93" t="s">
        <v>7</v>
      </c>
      <c r="S3" s="93"/>
      <c r="T3" s="93"/>
      <c r="U3" s="93" t="s">
        <v>8</v>
      </c>
      <c r="V3" s="93"/>
      <c r="W3" s="93"/>
      <c r="Y3" s="93" t="s">
        <v>9</v>
      </c>
      <c r="Z3" s="93"/>
      <c r="AA3" s="93"/>
      <c r="AB3" s="93"/>
      <c r="AC3" s="94"/>
      <c r="AD3" s="93" t="s">
        <v>8</v>
      </c>
      <c r="AE3" s="93"/>
      <c r="AF3" s="93"/>
      <c r="AG3" s="93"/>
      <c r="AH3" s="94"/>
    </row>
    <row r="4" spans="1:34" x14ac:dyDescent="0.25">
      <c r="A4" s="3"/>
      <c r="B4" s="3"/>
      <c r="C4" s="3"/>
      <c r="D4" s="3"/>
      <c r="E4" s="3">
        <v>2018</v>
      </c>
      <c r="F4" s="3">
        <v>2019</v>
      </c>
      <c r="G4" s="4">
        <v>2020</v>
      </c>
      <c r="H4" s="4">
        <v>2021</v>
      </c>
      <c r="I4" s="4">
        <v>2022</v>
      </c>
      <c r="J4" s="3">
        <v>2018</v>
      </c>
      <c r="K4" s="3">
        <v>2019</v>
      </c>
      <c r="L4" s="4">
        <v>2020</v>
      </c>
      <c r="M4" s="4">
        <v>2021</v>
      </c>
      <c r="N4" s="4">
        <v>2022</v>
      </c>
      <c r="O4" s="4">
        <v>2020</v>
      </c>
      <c r="P4" s="4">
        <v>2021</v>
      </c>
      <c r="Q4" s="4">
        <v>2022</v>
      </c>
      <c r="R4" s="4">
        <v>2020</v>
      </c>
      <c r="S4" s="4">
        <v>2021</v>
      </c>
      <c r="T4" s="4">
        <v>2022</v>
      </c>
      <c r="U4" s="4">
        <v>2020</v>
      </c>
      <c r="V4" s="4">
        <v>2021</v>
      </c>
      <c r="W4" s="4">
        <v>2022</v>
      </c>
      <c r="Y4" s="3">
        <v>2018</v>
      </c>
      <c r="Z4" s="3">
        <v>2019</v>
      </c>
      <c r="AA4" s="4">
        <v>2020</v>
      </c>
      <c r="AB4" s="4">
        <v>2021</v>
      </c>
      <c r="AC4" s="4">
        <v>2022</v>
      </c>
      <c r="AD4" s="3">
        <v>2018</v>
      </c>
      <c r="AE4" s="3">
        <v>2019</v>
      </c>
      <c r="AF4" s="4">
        <v>2020</v>
      </c>
      <c r="AG4" s="4">
        <v>2021</v>
      </c>
      <c r="AH4" s="4">
        <v>2022</v>
      </c>
    </row>
    <row r="5" spans="1:34" x14ac:dyDescent="0.25">
      <c r="A5" s="5">
        <v>1</v>
      </c>
      <c r="B5" s="5" t="s">
        <v>10</v>
      </c>
      <c r="C5" s="5" t="s">
        <v>11</v>
      </c>
      <c r="D5" s="6">
        <v>32847</v>
      </c>
      <c r="E5" s="7">
        <v>27788562000000</v>
      </c>
      <c r="F5" s="7">
        <v>27707749000000</v>
      </c>
      <c r="G5" s="7">
        <v>27344672000000</v>
      </c>
      <c r="H5" s="7">
        <v>26136114000000</v>
      </c>
      <c r="I5" s="8">
        <v>25706169000000</v>
      </c>
      <c r="J5" s="7">
        <v>1145937000000</v>
      </c>
      <c r="K5" s="7">
        <v>1835305000000</v>
      </c>
      <c r="L5" s="7">
        <v>1806337000000</v>
      </c>
      <c r="M5" s="9">
        <v>1788496000000</v>
      </c>
      <c r="N5" s="8">
        <v>1842434000000</v>
      </c>
      <c r="Y5" s="9">
        <v>2576862000000</v>
      </c>
      <c r="Z5" s="9">
        <v>2024677000000</v>
      </c>
      <c r="AA5" s="9">
        <v>2668893000000</v>
      </c>
      <c r="AB5" s="9">
        <v>1840616000000</v>
      </c>
      <c r="AC5" s="9">
        <v>1740821000000</v>
      </c>
      <c r="AD5" s="10">
        <v>3681231699</v>
      </c>
      <c r="AE5" s="10">
        <v>3681231699</v>
      </c>
      <c r="AF5" s="9">
        <v>3681231699</v>
      </c>
      <c r="AG5" s="9">
        <v>3549811099</v>
      </c>
      <c r="AH5" s="8">
        <v>3431073399</v>
      </c>
    </row>
    <row r="6" spans="1:34" x14ac:dyDescent="0.25">
      <c r="A6" s="5">
        <v>2</v>
      </c>
      <c r="B6" s="5" t="s">
        <v>14</v>
      </c>
      <c r="C6" s="5" t="s">
        <v>15</v>
      </c>
      <c r="D6" s="6">
        <v>41453</v>
      </c>
      <c r="E6" s="7">
        <v>5538079503000</v>
      </c>
      <c r="F6" s="7">
        <v>5571270204000</v>
      </c>
      <c r="G6" s="7">
        <v>5737175560000</v>
      </c>
      <c r="H6" s="8">
        <v>5271953697000</v>
      </c>
      <c r="I6" s="8">
        <v>5211248525000</v>
      </c>
      <c r="J6" s="7">
        <v>76074721000</v>
      </c>
      <c r="K6" s="7">
        <v>30073855000</v>
      </c>
      <c r="L6" s="7">
        <v>10981673000</v>
      </c>
      <c r="M6" s="9">
        <v>51817305000</v>
      </c>
      <c r="N6" s="8">
        <v>94827889000</v>
      </c>
      <c r="Y6" s="9">
        <v>36661209000</v>
      </c>
      <c r="Z6" s="9">
        <v>18971143000</v>
      </c>
      <c r="AA6" s="9">
        <v>6158861000</v>
      </c>
      <c r="AB6" s="15"/>
      <c r="AC6" s="15"/>
      <c r="AD6" s="10">
        <v>9932534336</v>
      </c>
      <c r="AE6" s="10">
        <v>20067465664</v>
      </c>
      <c r="AF6" s="9">
        <v>9932534336</v>
      </c>
      <c r="AG6" s="9">
        <v>9932534336</v>
      </c>
      <c r="AH6" s="8">
        <v>9932534336</v>
      </c>
    </row>
    <row r="7" spans="1:34" x14ac:dyDescent="0.25">
      <c r="A7" s="5">
        <v>3</v>
      </c>
      <c r="B7" s="5" t="s">
        <v>16</v>
      </c>
      <c r="C7" s="5" t="s">
        <v>17</v>
      </c>
      <c r="D7" s="6">
        <v>35713</v>
      </c>
      <c r="E7" s="7">
        <v>18667187000000</v>
      </c>
      <c r="F7" s="7">
        <v>19567498000000</v>
      </c>
      <c r="G7" s="7">
        <v>20738125000000</v>
      </c>
      <c r="H7" s="8">
        <v>21491023000000</v>
      </c>
      <c r="I7" s="8">
        <v>21378510000000</v>
      </c>
      <c r="J7" s="16">
        <v>-827985000000</v>
      </c>
      <c r="K7" s="7">
        <v>499052000000</v>
      </c>
      <c r="L7" s="7">
        <v>650988000000</v>
      </c>
      <c r="M7" s="9">
        <v>720933000000</v>
      </c>
      <c r="N7" s="8">
        <v>839276000000</v>
      </c>
      <c r="Y7" s="15"/>
      <c r="Z7" s="15"/>
      <c r="AA7" s="9">
        <v>27586000000</v>
      </c>
      <c r="AB7" s="7">
        <v>195296000000</v>
      </c>
      <c r="AC7" s="8">
        <v>216280000000</v>
      </c>
      <c r="AD7" s="10">
        <v>7662900000</v>
      </c>
      <c r="AE7" s="10">
        <v>7662900000</v>
      </c>
      <c r="AF7" s="9">
        <v>7662900000</v>
      </c>
      <c r="AG7" s="9">
        <v>9019381973</v>
      </c>
      <c r="AH7" s="8">
        <v>9019381973</v>
      </c>
    </row>
    <row r="8" spans="1:34" x14ac:dyDescent="0.25">
      <c r="A8" s="5">
        <v>4</v>
      </c>
      <c r="B8" s="5" t="s">
        <v>18</v>
      </c>
      <c r="C8" s="5" t="s">
        <v>19</v>
      </c>
      <c r="D8" s="6">
        <v>33427</v>
      </c>
      <c r="E8" s="7">
        <v>51155890227000</v>
      </c>
      <c r="F8" s="7">
        <v>79807067000000</v>
      </c>
      <c r="G8" s="7">
        <v>78006244000000</v>
      </c>
      <c r="H8" s="8">
        <v>81766327000000</v>
      </c>
      <c r="I8" s="8">
        <v>82960012000000</v>
      </c>
      <c r="J8" s="7">
        <v>3085704236000</v>
      </c>
      <c r="K8" s="7">
        <v>2371233000000</v>
      </c>
      <c r="L8" s="7">
        <v>2674343000000</v>
      </c>
      <c r="M8" s="9">
        <v>2082347000000</v>
      </c>
      <c r="N8" s="17">
        <v>2499083000000</v>
      </c>
      <c r="Y8" s="9">
        <v>82711000000</v>
      </c>
      <c r="Z8" s="9">
        <v>1244948000000</v>
      </c>
      <c r="AA8" s="9">
        <v>254472000000</v>
      </c>
      <c r="AB8" s="7">
        <v>1132829000000</v>
      </c>
      <c r="AC8" s="8">
        <v>1064311000000</v>
      </c>
      <c r="AD8" s="9">
        <v>5931520000</v>
      </c>
      <c r="AE8" s="9">
        <v>5931520000</v>
      </c>
      <c r="AF8" s="9">
        <v>5931520000</v>
      </c>
      <c r="AG8" s="9">
        <v>5931520000</v>
      </c>
      <c r="AH8" s="9">
        <v>6751540089</v>
      </c>
    </row>
    <row r="9" spans="1:34" x14ac:dyDescent="0.25">
      <c r="A9" s="5">
        <v>5</v>
      </c>
      <c r="B9" s="5" t="s">
        <v>20</v>
      </c>
      <c r="C9" s="5" t="s">
        <v>21</v>
      </c>
      <c r="D9" s="6">
        <v>41737</v>
      </c>
      <c r="E9" s="7">
        <v>15222388589814</v>
      </c>
      <c r="F9" s="7">
        <v>16149121684330</v>
      </c>
      <c r="G9" s="7">
        <v>10557550739243</v>
      </c>
      <c r="H9" s="8">
        <v>6882077282159</v>
      </c>
      <c r="I9" s="17">
        <v>5963657951878</v>
      </c>
      <c r="J9" s="7">
        <v>1103472788182</v>
      </c>
      <c r="K9" s="7">
        <v>806148752926</v>
      </c>
      <c r="L9" s="16">
        <v>-4759958927543</v>
      </c>
      <c r="M9" s="18">
        <v>-1943362438396</v>
      </c>
      <c r="N9" s="17">
        <v>675769677491</v>
      </c>
      <c r="Y9" s="9">
        <v>750247612882</v>
      </c>
      <c r="Z9" s="9">
        <v>551607222015</v>
      </c>
      <c r="AA9" s="9">
        <v>201520505109</v>
      </c>
      <c r="AB9" s="15"/>
      <c r="AC9" s="15"/>
      <c r="AD9" s="9">
        <v>26361157534</v>
      </c>
      <c r="AE9" s="9">
        <v>26361157534</v>
      </c>
      <c r="AF9" s="9">
        <v>26361157534</v>
      </c>
      <c r="AG9" s="9">
        <v>26361157534</v>
      </c>
      <c r="AH9" s="9">
        <v>26361157534</v>
      </c>
    </row>
    <row r="10" spans="1:34" x14ac:dyDescent="0.25">
      <c r="A10" s="5">
        <v>6</v>
      </c>
      <c r="B10" s="5" t="s">
        <v>22</v>
      </c>
      <c r="C10" s="11" t="s">
        <v>23</v>
      </c>
      <c r="D10" s="6">
        <v>41262</v>
      </c>
      <c r="E10" s="7">
        <v>124391581623636</v>
      </c>
      <c r="F10" s="7">
        <v>122589259350571</v>
      </c>
      <c r="G10" s="7">
        <v>100767648407325</v>
      </c>
      <c r="H10" s="7">
        <v>103601611883340</v>
      </c>
      <c r="I10" s="7">
        <v>98232316628846</v>
      </c>
      <c r="J10" s="7">
        <v>4619567705553</v>
      </c>
      <c r="K10" s="7">
        <v>1028898367891</v>
      </c>
      <c r="L10" s="16">
        <v>-9287793197812</v>
      </c>
      <c r="M10" s="16">
        <v>-1838733441975</v>
      </c>
      <c r="N10" s="7">
        <v>-1672733807060</v>
      </c>
      <c r="Y10" s="9">
        <v>776342383468</v>
      </c>
      <c r="Z10" s="9">
        <v>990709507966</v>
      </c>
      <c r="AA10" s="9">
        <v>71507276041</v>
      </c>
      <c r="AB10" s="15"/>
      <c r="AC10" s="15"/>
      <c r="AD10" s="9">
        <v>13573902600</v>
      </c>
      <c r="AE10" s="9">
        <v>13573902600</v>
      </c>
      <c r="AF10" s="9">
        <v>13573951000</v>
      </c>
      <c r="AG10" s="9">
        <v>26315886475</v>
      </c>
      <c r="AH10" s="9">
        <v>28806807016</v>
      </c>
    </row>
    <row r="11" spans="1:34" x14ac:dyDescent="0.25">
      <c r="A11" s="5">
        <v>7</v>
      </c>
      <c r="B11" s="5" t="s">
        <v>24</v>
      </c>
      <c r="C11" s="5" t="s">
        <v>25</v>
      </c>
      <c r="D11" s="6">
        <v>42633</v>
      </c>
      <c r="E11" s="7">
        <v>8881778299672</v>
      </c>
      <c r="F11" s="7">
        <v>10337895087207</v>
      </c>
      <c r="G11" s="7">
        <v>8509017299594</v>
      </c>
      <c r="H11" s="8">
        <v>9082511044439</v>
      </c>
      <c r="I11" s="17">
        <v>9447528704261</v>
      </c>
      <c r="J11" s="7">
        <v>486640174453</v>
      </c>
      <c r="K11" s="7">
        <v>510711733403</v>
      </c>
      <c r="L11" s="7">
        <v>123147079420</v>
      </c>
      <c r="M11" s="8">
        <v>81433957569</v>
      </c>
      <c r="N11" s="17">
        <v>171060047099</v>
      </c>
      <c r="Y11" s="9">
        <v>101143683915</v>
      </c>
      <c r="Z11" s="9">
        <v>145937796276</v>
      </c>
      <c r="AA11" s="9">
        <v>128103935065</v>
      </c>
      <c r="AB11" s="7">
        <v>25633343020</v>
      </c>
      <c r="AC11" s="17">
        <v>16559386540</v>
      </c>
      <c r="AD11" s="9">
        <v>8715466600</v>
      </c>
      <c r="AE11" s="9">
        <v>8715466600</v>
      </c>
      <c r="AF11" s="9">
        <v>8715466600</v>
      </c>
      <c r="AG11" s="9">
        <v>8715466600</v>
      </c>
      <c r="AH11" s="9">
        <v>8715466600</v>
      </c>
    </row>
    <row r="12" spans="1:34" x14ac:dyDescent="0.25">
      <c r="A12" s="5">
        <v>8</v>
      </c>
      <c r="B12" s="5" t="s">
        <v>28</v>
      </c>
      <c r="C12" s="5" t="s">
        <v>29</v>
      </c>
      <c r="D12" s="6">
        <v>35011</v>
      </c>
      <c r="E12" s="7">
        <v>8432632000000</v>
      </c>
      <c r="F12" s="7">
        <v>8738055000000</v>
      </c>
      <c r="G12" s="7">
        <v>7961657000000</v>
      </c>
      <c r="H12" s="8">
        <v>7403476000000</v>
      </c>
      <c r="I12" s="17">
        <v>7466520000000</v>
      </c>
      <c r="J12" s="7">
        <v>6596000000</v>
      </c>
      <c r="K12" s="16">
        <v>-132223000000</v>
      </c>
      <c r="L12" s="16">
        <v>-430987000000</v>
      </c>
      <c r="M12" s="17">
        <v>318672000000</v>
      </c>
      <c r="N12" s="17">
        <v>437370000000</v>
      </c>
      <c r="Y12" s="9">
        <v>13020000000</v>
      </c>
      <c r="Z12" s="9">
        <v>13020000000</v>
      </c>
      <c r="AA12" s="15"/>
      <c r="AB12" s="15"/>
      <c r="AC12" s="9">
        <v>34720000000</v>
      </c>
      <c r="AD12" s="10">
        <v>434000000</v>
      </c>
      <c r="AE12" s="10">
        <v>434000000</v>
      </c>
      <c r="AF12" s="9">
        <v>434000000</v>
      </c>
      <c r="AG12" s="9">
        <v>434000000</v>
      </c>
      <c r="AH12" s="9">
        <v>434000000</v>
      </c>
    </row>
    <row r="13" spans="1:34" x14ac:dyDescent="0.25">
      <c r="A13" s="5">
        <v>9</v>
      </c>
      <c r="B13" s="5" t="s">
        <v>30</v>
      </c>
      <c r="C13" s="5" t="s">
        <v>31</v>
      </c>
      <c r="D13" s="6">
        <v>37089</v>
      </c>
      <c r="E13" s="7">
        <v>1652905985730</v>
      </c>
      <c r="F13" s="7">
        <v>1799137069343</v>
      </c>
      <c r="G13" s="7">
        <v>1970340289520</v>
      </c>
      <c r="H13" s="8">
        <v>2243523072803</v>
      </c>
      <c r="I13" s="8">
        <v>2578868615545</v>
      </c>
      <c r="J13" s="7">
        <v>158207798602</v>
      </c>
      <c r="K13" s="7">
        <v>217675239509</v>
      </c>
      <c r="L13" s="7">
        <v>326241511507</v>
      </c>
      <c r="M13" s="17">
        <v>475983374390</v>
      </c>
      <c r="N13" s="8">
        <v>581557410601</v>
      </c>
      <c r="Y13" s="9">
        <v>88406601712</v>
      </c>
      <c r="Z13" s="9">
        <v>117715525216</v>
      </c>
      <c r="AA13" s="9">
        <v>161786542872</v>
      </c>
      <c r="AB13" s="9">
        <v>219203851280</v>
      </c>
      <c r="AC13" s="9">
        <v>328519240420</v>
      </c>
      <c r="AD13" s="10">
        <v>7341430976</v>
      </c>
      <c r="AE13" s="10">
        <v>7341430976</v>
      </c>
      <c r="AF13" s="8">
        <v>7271198676</v>
      </c>
      <c r="AG13" s="8">
        <v>7271198676</v>
      </c>
      <c r="AH13" s="8">
        <v>7271198676</v>
      </c>
    </row>
    <row r="14" spans="1:34" x14ac:dyDescent="0.25">
      <c r="A14" s="5">
        <v>10</v>
      </c>
      <c r="B14" s="5" t="s">
        <v>32</v>
      </c>
      <c r="C14" s="5" t="s">
        <v>33</v>
      </c>
      <c r="D14" s="6">
        <v>43404</v>
      </c>
      <c r="E14" s="7">
        <v>328891169916</v>
      </c>
      <c r="F14" s="7">
        <v>329920473799</v>
      </c>
      <c r="G14" s="7">
        <v>354900568484</v>
      </c>
      <c r="H14" s="8">
        <v>441223941897</v>
      </c>
      <c r="I14" s="8">
        <v>447970072779</v>
      </c>
      <c r="J14" s="7">
        <v>13302390600</v>
      </c>
      <c r="K14" s="7">
        <v>2065725935</v>
      </c>
      <c r="L14" s="7">
        <v>144403412</v>
      </c>
      <c r="M14" s="8">
        <v>12299444152</v>
      </c>
      <c r="N14" s="8">
        <v>10551047972</v>
      </c>
      <c r="Y14" s="21"/>
      <c r="Z14" s="21"/>
      <c r="AA14" s="21"/>
      <c r="AB14" s="15"/>
      <c r="AC14" s="15"/>
      <c r="AD14" s="10">
        <v>1203300000</v>
      </c>
      <c r="AE14" s="10">
        <v>1203300219</v>
      </c>
      <c r="AF14" s="9">
        <v>1203300219</v>
      </c>
      <c r="AG14" s="9">
        <v>1203300219</v>
      </c>
      <c r="AH14" s="9">
        <v>1203300219</v>
      </c>
    </row>
    <row r="15" spans="1:34" x14ac:dyDescent="0.25">
      <c r="A15" s="5">
        <v>11</v>
      </c>
      <c r="B15" s="5" t="s">
        <v>34</v>
      </c>
      <c r="C15" s="5" t="s">
        <v>35</v>
      </c>
      <c r="D15" s="6">
        <v>34676</v>
      </c>
      <c r="E15" s="7">
        <v>1704424579208</v>
      </c>
      <c r="F15" s="7">
        <v>1231680564971</v>
      </c>
      <c r="G15" s="7">
        <v>1021382709921</v>
      </c>
      <c r="H15" s="8">
        <v>1000024467440</v>
      </c>
      <c r="I15" s="8">
        <v>1065879552778</v>
      </c>
      <c r="J15" s="16">
        <v>-79206468705</v>
      </c>
      <c r="K15" s="16">
        <v>-494426816904</v>
      </c>
      <c r="L15" s="22">
        <v>-51749994901</v>
      </c>
      <c r="M15" s="23">
        <v>-5554727386</v>
      </c>
      <c r="N15" s="8">
        <v>6553870572</v>
      </c>
      <c r="Y15" s="21"/>
      <c r="Z15" s="21"/>
      <c r="AA15" s="15"/>
      <c r="AB15" s="15"/>
      <c r="AC15" s="15"/>
      <c r="AD15" s="10">
        <v>12096181261</v>
      </c>
      <c r="AE15" s="10">
        <v>13305799387</v>
      </c>
      <c r="AF15" s="9">
        <v>13305799387</v>
      </c>
      <c r="AG15" s="9">
        <f>14504100000+425000000</f>
        <v>14929100000</v>
      </c>
      <c r="AH15" s="9">
        <f>14504100000+425000000</f>
        <v>14929100000</v>
      </c>
    </row>
    <row r="16" spans="1:34" x14ac:dyDescent="0.25">
      <c r="A16" s="5">
        <v>12</v>
      </c>
      <c r="B16" s="5" t="s">
        <v>36</v>
      </c>
      <c r="C16" s="5" t="s">
        <v>37</v>
      </c>
      <c r="D16" s="6">
        <v>42928</v>
      </c>
      <c r="E16" s="7">
        <v>318080326465</v>
      </c>
      <c r="F16" s="7">
        <v>441254067741</v>
      </c>
      <c r="G16" s="7">
        <v>719726855599</v>
      </c>
      <c r="H16" s="8">
        <v>1078458868349</v>
      </c>
      <c r="I16" s="8">
        <v>1005368365991</v>
      </c>
      <c r="J16" s="7">
        <v>81905439662</v>
      </c>
      <c r="K16" s="7">
        <v>88002544535</v>
      </c>
      <c r="L16" s="7">
        <v>144194690952</v>
      </c>
      <c r="M16" s="8">
        <v>392149133254</v>
      </c>
      <c r="N16" s="8">
        <v>243093147629</v>
      </c>
      <c r="Y16" s="7">
        <v>11400000930</v>
      </c>
      <c r="Z16" s="7">
        <v>26600002170</v>
      </c>
      <c r="AA16" s="7">
        <v>26600002170</v>
      </c>
      <c r="AB16" s="9">
        <v>57000004650</v>
      </c>
      <c r="AC16" s="8">
        <v>190000015500</v>
      </c>
      <c r="AD16" s="10">
        <v>760000062</v>
      </c>
      <c r="AE16" s="10">
        <v>3800000310</v>
      </c>
      <c r="AF16" s="9">
        <v>3800000310</v>
      </c>
      <c r="AG16" s="9">
        <v>3800000310</v>
      </c>
      <c r="AH16" s="8">
        <v>3800000310</v>
      </c>
    </row>
    <row r="17" spans="1:34" x14ac:dyDescent="0.25">
      <c r="A17" s="5">
        <v>13</v>
      </c>
      <c r="B17" s="5" t="s">
        <v>38</v>
      </c>
      <c r="C17" s="5" t="s">
        <v>39</v>
      </c>
      <c r="D17" s="6">
        <v>34351</v>
      </c>
      <c r="E17" s="7">
        <v>5263726099000</v>
      </c>
      <c r="F17" s="7">
        <v>5758102626000</v>
      </c>
      <c r="G17" s="7">
        <v>5745215496000</v>
      </c>
      <c r="H17" s="8">
        <v>6121601356000</v>
      </c>
      <c r="I17" s="8">
        <v>6806945264000</v>
      </c>
      <c r="J17" s="7">
        <v>189082238000</v>
      </c>
      <c r="K17" s="7">
        <v>126773341000</v>
      </c>
      <c r="L17" s="7">
        <v>55089347000</v>
      </c>
      <c r="M17" s="8">
        <v>652406101000</v>
      </c>
      <c r="N17" s="8">
        <v>853707145000</v>
      </c>
      <c r="Y17" s="21"/>
      <c r="Z17" s="21"/>
      <c r="AA17" s="21"/>
      <c r="AB17" s="15"/>
      <c r="AC17" s="15"/>
      <c r="AD17" s="10">
        <v>1323000000</v>
      </c>
      <c r="AE17" s="10">
        <v>1323000000</v>
      </c>
      <c r="AF17" s="9">
        <v>1323000000</v>
      </c>
      <c r="AG17" s="9">
        <v>1323000000</v>
      </c>
      <c r="AH17" s="8">
        <v>6615000000</v>
      </c>
    </row>
    <row r="18" spans="1:34" x14ac:dyDescent="0.25">
      <c r="A18" s="5">
        <v>14</v>
      </c>
      <c r="B18" s="5" t="s">
        <v>40</v>
      </c>
      <c r="C18" s="5" t="s">
        <v>41</v>
      </c>
      <c r="D18" s="6">
        <v>33176</v>
      </c>
      <c r="E18" s="7">
        <v>1558071752917</v>
      </c>
      <c r="F18" s="7">
        <v>2918467252139</v>
      </c>
      <c r="G18" s="7">
        <v>3107410113178</v>
      </c>
      <c r="H18" s="17">
        <v>3236330922409</v>
      </c>
      <c r="I18" s="8">
        <v>3304972191991</v>
      </c>
      <c r="J18" s="7">
        <v>346692796102</v>
      </c>
      <c r="K18" s="7">
        <v>140597500915</v>
      </c>
      <c r="L18" s="16">
        <v>-30689667468</v>
      </c>
      <c r="M18" s="8">
        <v>156736391742</v>
      </c>
      <c r="N18" s="8">
        <v>313410762339</v>
      </c>
      <c r="Y18" s="7">
        <f>82560000000+103200000000</f>
        <v>185760000000</v>
      </c>
      <c r="Z18" s="7">
        <v>113520000000</v>
      </c>
      <c r="AA18" s="7">
        <v>30960000000</v>
      </c>
      <c r="AB18" s="9">
        <f>51600000000*2</f>
        <v>103200000000</v>
      </c>
      <c r="AC18" s="9">
        <f>103200000000+72240000000</f>
        <v>175440000000</v>
      </c>
      <c r="AD18" s="10">
        <v>10320000000</v>
      </c>
      <c r="AE18" s="10">
        <v>10320000000</v>
      </c>
      <c r="AF18" s="9">
        <v>10320000000</v>
      </c>
      <c r="AG18" s="9">
        <v>10320000000</v>
      </c>
      <c r="AH18" s="9">
        <v>10320000000</v>
      </c>
    </row>
    <row r="19" spans="1:34" x14ac:dyDescent="0.25">
      <c r="A19" s="5">
        <v>15</v>
      </c>
      <c r="B19" s="5" t="s">
        <v>42</v>
      </c>
      <c r="C19" s="5" t="s">
        <v>43</v>
      </c>
      <c r="D19" s="6">
        <v>33066</v>
      </c>
      <c r="E19" s="7">
        <v>648968295000</v>
      </c>
      <c r="F19" s="7">
        <v>604824614000</v>
      </c>
      <c r="G19" s="7">
        <v>418630902000</v>
      </c>
      <c r="H19" s="8">
        <v>499393053000</v>
      </c>
      <c r="I19" s="8">
        <v>638952801000</v>
      </c>
      <c r="J19" s="7">
        <v>22943498000</v>
      </c>
      <c r="K19" s="7">
        <v>7354721000</v>
      </c>
      <c r="L19" s="7">
        <v>6684414000</v>
      </c>
      <c r="M19" s="8">
        <v>17445033000</v>
      </c>
      <c r="N19" s="8">
        <v>48041219000</v>
      </c>
      <c r="Y19" s="21"/>
      <c r="Z19" s="21"/>
      <c r="AA19" s="21"/>
      <c r="AB19" s="15"/>
      <c r="AC19" s="15"/>
      <c r="AD19" s="10">
        <v>507665055</v>
      </c>
      <c r="AE19" s="10">
        <v>507665055</v>
      </c>
      <c r="AF19" s="9">
        <v>507665055</v>
      </c>
      <c r="AG19" s="9">
        <v>507665055</v>
      </c>
      <c r="AH19" s="9">
        <v>507665055</v>
      </c>
    </row>
    <row r="20" spans="1:34" x14ac:dyDescent="0.25">
      <c r="A20" s="5">
        <v>16</v>
      </c>
      <c r="B20" s="5" t="s">
        <v>44</v>
      </c>
      <c r="C20" s="5" t="s">
        <v>45</v>
      </c>
      <c r="D20" s="6">
        <v>35432</v>
      </c>
      <c r="E20" s="7">
        <v>2781666374017</v>
      </c>
      <c r="F20" s="13">
        <v>124138525</v>
      </c>
      <c r="G20" s="13">
        <v>101149121</v>
      </c>
      <c r="H20" s="24">
        <v>93809824</v>
      </c>
      <c r="I20" s="24">
        <v>73581360</v>
      </c>
      <c r="J20" s="7">
        <v>6544635062</v>
      </c>
      <c r="K20" s="16">
        <v>-22438088</v>
      </c>
      <c r="L20" s="16">
        <v>-18916626</v>
      </c>
      <c r="M20" s="24">
        <v>37329</v>
      </c>
      <c r="N20" s="23">
        <v>-3163350</v>
      </c>
      <c r="Y20" s="21"/>
      <c r="Z20" s="21"/>
      <c r="AA20" s="21"/>
      <c r="AB20" s="15"/>
      <c r="AC20" s="15"/>
      <c r="AD20" s="10">
        <v>616000000</v>
      </c>
      <c r="AE20" s="10">
        <v>616000000</v>
      </c>
      <c r="AF20" s="9">
        <v>616000000</v>
      </c>
      <c r="AG20" s="9">
        <v>3816000000</v>
      </c>
      <c r="AH20" s="8">
        <v>3816000000</v>
      </c>
    </row>
    <row r="21" spans="1:34" x14ac:dyDescent="0.25">
      <c r="A21" s="5">
        <v>17</v>
      </c>
      <c r="B21" s="5" t="s">
        <v>46</v>
      </c>
      <c r="C21" s="5" t="s">
        <v>47</v>
      </c>
      <c r="D21" s="6">
        <v>40898</v>
      </c>
      <c r="E21" s="7">
        <v>901181796270</v>
      </c>
      <c r="F21" s="7">
        <v>836870774001</v>
      </c>
      <c r="G21" s="7">
        <v>760425479634</v>
      </c>
      <c r="H21" s="17">
        <v>725506645166</v>
      </c>
      <c r="I21" s="17">
        <v>731341359270</v>
      </c>
      <c r="J21" s="16">
        <v>-96695781573</v>
      </c>
      <c r="K21" s="7">
        <v>1112983748</v>
      </c>
      <c r="L21" s="7">
        <v>55118520227</v>
      </c>
      <c r="M21" s="17">
        <v>88523639594</v>
      </c>
      <c r="N21" s="17">
        <v>-103341187716</v>
      </c>
      <c r="Y21" s="21"/>
      <c r="Z21" s="21"/>
      <c r="AA21" s="21"/>
      <c r="AB21" s="15"/>
      <c r="AC21" s="15"/>
      <c r="AD21" s="10">
        <v>1800000000</v>
      </c>
      <c r="AE21" s="10">
        <v>1800000000</v>
      </c>
      <c r="AF21" s="9">
        <v>1800000000</v>
      </c>
      <c r="AG21" s="9">
        <v>1800000000</v>
      </c>
      <c r="AH21" s="9">
        <v>1800000000</v>
      </c>
    </row>
    <row r="22" spans="1:34" x14ac:dyDescent="0.25">
      <c r="A22" s="5">
        <v>18</v>
      </c>
      <c r="B22" s="5" t="s">
        <v>48</v>
      </c>
      <c r="C22" s="5" t="s">
        <v>49</v>
      </c>
      <c r="D22" s="6">
        <v>37090</v>
      </c>
      <c r="E22" s="7">
        <v>217362960011</v>
      </c>
      <c r="F22" s="7">
        <v>230561123774</v>
      </c>
      <c r="G22" s="7">
        <v>234905016318</v>
      </c>
      <c r="H22" s="17">
        <v>270669540064</v>
      </c>
      <c r="I22" s="17">
        <v>344552996651</v>
      </c>
      <c r="J22" s="7">
        <v>27812712161</v>
      </c>
      <c r="K22" s="7">
        <v>1367612129</v>
      </c>
      <c r="L22" s="7">
        <v>4486083939</v>
      </c>
      <c r="M22" s="17">
        <v>9635958498</v>
      </c>
      <c r="N22" s="17">
        <v>39902398961</v>
      </c>
      <c r="Y22" s="21"/>
      <c r="Z22" s="21"/>
      <c r="AA22" s="21"/>
      <c r="AB22" s="15"/>
      <c r="AC22" s="15"/>
      <c r="AD22" s="10">
        <v>720000000</v>
      </c>
      <c r="AE22" s="10">
        <v>720000000</v>
      </c>
      <c r="AF22" s="9">
        <v>720000000</v>
      </c>
      <c r="AG22" s="9">
        <v>720000000</v>
      </c>
      <c r="AH22" s="9">
        <v>720000000</v>
      </c>
    </row>
    <row r="23" spans="1:34" x14ac:dyDescent="0.25">
      <c r="A23" s="5">
        <v>19</v>
      </c>
      <c r="B23" s="5" t="s">
        <v>50</v>
      </c>
      <c r="C23" s="5" t="s">
        <v>51</v>
      </c>
      <c r="D23" s="6">
        <v>32840</v>
      </c>
      <c r="E23" s="13">
        <v>155653317</v>
      </c>
      <c r="F23" s="13">
        <v>172321876</v>
      </c>
      <c r="G23" s="13">
        <v>130444698</v>
      </c>
      <c r="H23" s="24">
        <v>136819807</v>
      </c>
      <c r="I23" s="24">
        <v>133941143</v>
      </c>
      <c r="J23" s="16">
        <v>-5794754</v>
      </c>
      <c r="K23" s="13">
        <v>1645059</v>
      </c>
      <c r="L23" s="16">
        <v>-3057237</v>
      </c>
      <c r="M23" s="18">
        <v>-16017388</v>
      </c>
      <c r="N23" s="18">
        <v>-6647854</v>
      </c>
      <c r="Y23" s="21"/>
      <c r="Z23" s="7">
        <v>18195</v>
      </c>
      <c r="AA23" s="7">
        <v>5747</v>
      </c>
      <c r="AB23" s="9">
        <v>17815</v>
      </c>
      <c r="AC23" s="15"/>
      <c r="AD23" s="10">
        <v>800371500</v>
      </c>
      <c r="AE23" s="10">
        <v>800371500</v>
      </c>
      <c r="AF23" s="9">
        <v>800371500</v>
      </c>
      <c r="AG23" s="9">
        <v>800371500</v>
      </c>
      <c r="AH23" s="9">
        <v>800371500</v>
      </c>
    </row>
    <row r="24" spans="1:34" x14ac:dyDescent="0.25">
      <c r="A24" s="5">
        <v>20</v>
      </c>
      <c r="B24" s="5" t="s">
        <v>52</v>
      </c>
      <c r="C24" s="5" t="s">
        <v>53</v>
      </c>
      <c r="D24" s="6">
        <v>40170</v>
      </c>
      <c r="E24" s="7">
        <v>1351861756994</v>
      </c>
      <c r="F24" s="7">
        <v>1758578169995</v>
      </c>
      <c r="G24" s="7">
        <v>1588136471649</v>
      </c>
      <c r="H24" s="17">
        <v>1583979016422</v>
      </c>
      <c r="I24" s="8">
        <v>2106446579086</v>
      </c>
      <c r="J24" s="16">
        <v>-87798857709</v>
      </c>
      <c r="K24" s="7">
        <v>26807416721</v>
      </c>
      <c r="L24" s="16">
        <v>-77845328805</v>
      </c>
      <c r="M24" s="23">
        <v>-63711545268</v>
      </c>
      <c r="N24" s="8">
        <v>273673913875</v>
      </c>
      <c r="Y24" s="21"/>
      <c r="Z24" s="21"/>
      <c r="AA24" s="21"/>
      <c r="AB24" s="21"/>
      <c r="AC24" s="15"/>
      <c r="AD24" s="10">
        <v>9242500000</v>
      </c>
      <c r="AE24" s="10">
        <v>9242500000</v>
      </c>
      <c r="AF24" s="9">
        <v>9242500000</v>
      </c>
      <c r="AG24" s="9">
        <v>9242500000</v>
      </c>
      <c r="AH24" s="9">
        <v>9242500000</v>
      </c>
    </row>
    <row r="25" spans="1:34" x14ac:dyDescent="0.25">
      <c r="A25" s="5">
        <v>21</v>
      </c>
      <c r="B25" s="5" t="s">
        <v>56</v>
      </c>
      <c r="C25" s="5" t="s">
        <v>57</v>
      </c>
      <c r="D25" s="6">
        <v>34673</v>
      </c>
      <c r="E25" s="7">
        <v>1400683598096</v>
      </c>
      <c r="F25" s="7">
        <v>1212894403676</v>
      </c>
      <c r="G25" s="7">
        <v>1395969637457</v>
      </c>
      <c r="H25" s="8">
        <v>1548832511319</v>
      </c>
      <c r="I25" s="8">
        <v>1554795974228</v>
      </c>
      <c r="J25" s="7">
        <v>40463141352</v>
      </c>
      <c r="K25" s="7">
        <v>33558115185</v>
      </c>
      <c r="L25" s="7">
        <v>3991581552</v>
      </c>
      <c r="M25" s="8">
        <v>4319665242</v>
      </c>
      <c r="N25" s="8">
        <v>-113952927004</v>
      </c>
      <c r="Y25" s="7">
        <v>19008000000</v>
      </c>
      <c r="Z25" s="7">
        <v>19008000000</v>
      </c>
      <c r="AA25" s="7">
        <v>15840000000</v>
      </c>
      <c r="AB25" s="21"/>
      <c r="AC25" s="15"/>
      <c r="AD25" s="10">
        <v>633600000</v>
      </c>
      <c r="AE25" s="10">
        <v>633600000</v>
      </c>
      <c r="AF25" s="9">
        <v>633600000</v>
      </c>
      <c r="AG25" s="9">
        <v>633600000</v>
      </c>
      <c r="AH25" s="9">
        <v>633600000</v>
      </c>
    </row>
    <row r="26" spans="1:34" x14ac:dyDescent="0.25">
      <c r="A26" s="5">
        <v>22</v>
      </c>
      <c r="B26" s="5" t="s">
        <v>58</v>
      </c>
      <c r="C26" s="5" t="s">
        <v>59</v>
      </c>
      <c r="D26" s="6">
        <v>41327</v>
      </c>
      <c r="E26" s="7">
        <v>6494070000000</v>
      </c>
      <c r="F26" s="7">
        <v>6424507000000</v>
      </c>
      <c r="G26" s="7">
        <v>6076604000000</v>
      </c>
      <c r="H26" s="8">
        <v>7097322000000</v>
      </c>
      <c r="I26" s="8">
        <v>7405931000000</v>
      </c>
      <c r="J26" s="7">
        <v>48741000000</v>
      </c>
      <c r="K26" s="7">
        <v>185694000000</v>
      </c>
      <c r="L26" s="7">
        <v>175835000000</v>
      </c>
      <c r="M26" s="8">
        <v>486061000000</v>
      </c>
      <c r="N26" s="8">
        <v>305849000000</v>
      </c>
      <c r="Y26" s="21"/>
      <c r="Z26" s="21"/>
      <c r="AA26" s="21"/>
      <c r="AB26" s="9">
        <v>42392000000</v>
      </c>
      <c r="AC26" s="8">
        <v>63588000000</v>
      </c>
      <c r="AD26" s="10">
        <v>7185992035</v>
      </c>
      <c r="AE26" s="10">
        <v>7185992035</v>
      </c>
      <c r="AF26" s="9">
        <v>7185992035</v>
      </c>
      <c r="AG26" s="9">
        <v>7185992035</v>
      </c>
      <c r="AH26" s="9">
        <v>7185992035</v>
      </c>
    </row>
    <row r="27" spans="1:34" x14ac:dyDescent="0.25">
      <c r="A27" s="5">
        <v>23</v>
      </c>
      <c r="B27" s="5" t="s">
        <v>60</v>
      </c>
      <c r="C27" s="5" t="s">
        <v>61</v>
      </c>
      <c r="D27" s="6">
        <v>35648</v>
      </c>
      <c r="E27" s="7">
        <v>19063100651</v>
      </c>
      <c r="F27" s="7">
        <v>180627821366</v>
      </c>
      <c r="G27" s="9">
        <v>169294099302</v>
      </c>
      <c r="H27" s="17">
        <v>168201512628</v>
      </c>
      <c r="I27" s="17">
        <v>159342936263</v>
      </c>
      <c r="J27" s="16">
        <v>-48588147020</v>
      </c>
      <c r="K27" s="16">
        <v>-1391297992</v>
      </c>
      <c r="L27" s="22">
        <v>-1067011759</v>
      </c>
      <c r="M27" s="23">
        <v>-53729224</v>
      </c>
      <c r="N27" s="17">
        <v>3190668366</v>
      </c>
      <c r="Y27" s="21"/>
      <c r="Z27" s="21"/>
      <c r="AA27" s="15"/>
      <c r="AB27" s="21"/>
      <c r="AC27" s="15"/>
      <c r="AD27" s="10">
        <v>150000000</v>
      </c>
      <c r="AE27" s="10">
        <v>150000000</v>
      </c>
      <c r="AF27" s="9">
        <v>150000000</v>
      </c>
      <c r="AG27" s="9">
        <v>150000000</v>
      </c>
      <c r="AH27" s="9">
        <v>150000000</v>
      </c>
    </row>
    <row r="28" spans="1:34" x14ac:dyDescent="0.25">
      <c r="A28" s="5">
        <v>24</v>
      </c>
      <c r="B28" s="5" t="s">
        <v>64</v>
      </c>
      <c r="C28" s="5" t="s">
        <v>65</v>
      </c>
      <c r="D28" s="6">
        <v>40492</v>
      </c>
      <c r="E28" s="13">
        <v>4298318000</v>
      </c>
      <c r="F28" s="13">
        <v>3288037000</v>
      </c>
      <c r="G28" s="13">
        <v>3486349000</v>
      </c>
      <c r="H28" s="13">
        <v>3773676000</v>
      </c>
      <c r="I28" s="7">
        <v>3162434000</v>
      </c>
      <c r="J28" s="16">
        <v>-77163000</v>
      </c>
      <c r="K28" s="16">
        <v>-505390000</v>
      </c>
      <c r="L28" s="13">
        <v>22635000</v>
      </c>
      <c r="M28" s="13">
        <v>62133000</v>
      </c>
      <c r="N28" s="13">
        <v>22644000</v>
      </c>
      <c r="Y28" s="21"/>
      <c r="Z28" s="21"/>
      <c r="AA28" s="21"/>
      <c r="AB28" s="21"/>
      <c r="AC28" s="21"/>
      <c r="AD28" s="10">
        <v>19346396900</v>
      </c>
      <c r="AE28" s="10">
        <v>19346396900</v>
      </c>
      <c r="AF28" s="9">
        <v>19346396900</v>
      </c>
      <c r="AG28" s="9">
        <v>19346396900</v>
      </c>
      <c r="AH28" s="9">
        <v>19346396900</v>
      </c>
    </row>
    <row r="29" spans="1:34" x14ac:dyDescent="0.25">
      <c r="A29" s="5">
        <v>25</v>
      </c>
      <c r="B29" s="5" t="s">
        <v>66</v>
      </c>
      <c r="C29" s="5" t="s">
        <v>67</v>
      </c>
      <c r="D29" s="6">
        <v>34201</v>
      </c>
      <c r="E29" s="7">
        <v>696192628101</v>
      </c>
      <c r="F29" s="7">
        <v>688017892312</v>
      </c>
      <c r="G29" s="7">
        <v>647829858922</v>
      </c>
      <c r="H29" s="8">
        <v>686806547986</v>
      </c>
      <c r="I29" s="8">
        <v>684497878481</v>
      </c>
      <c r="J29" s="7">
        <v>14679673993</v>
      </c>
      <c r="K29" s="7">
        <v>926463199</v>
      </c>
      <c r="L29" s="16">
        <v>-9571328569</v>
      </c>
      <c r="M29" s="23">
        <v>-8737689655</v>
      </c>
      <c r="N29" s="8">
        <v>2314362759</v>
      </c>
      <c r="Y29" s="7">
        <v>7802400000</v>
      </c>
      <c r="Z29" s="7">
        <v>5201600000</v>
      </c>
      <c r="AA29" s="21"/>
      <c r="AB29" s="21"/>
      <c r="AC29" s="15"/>
      <c r="AD29" s="10">
        <v>520160000</v>
      </c>
      <c r="AE29" s="10">
        <v>520160000</v>
      </c>
      <c r="AF29" s="9">
        <v>520160000</v>
      </c>
      <c r="AG29" s="9">
        <v>520160000</v>
      </c>
      <c r="AH29" s="9">
        <v>520160000</v>
      </c>
    </row>
    <row r="30" spans="1:34" x14ac:dyDescent="0.25">
      <c r="A30" s="5">
        <v>26</v>
      </c>
      <c r="B30" s="5" t="s">
        <v>68</v>
      </c>
      <c r="C30" s="5" t="s">
        <v>69</v>
      </c>
      <c r="D30" s="6">
        <v>33028</v>
      </c>
      <c r="E30" s="7">
        <v>160027280153</v>
      </c>
      <c r="F30" s="7">
        <v>147090641453</v>
      </c>
      <c r="G30" s="7">
        <v>143486189959</v>
      </c>
      <c r="H30" s="8">
        <v>145459649889</v>
      </c>
      <c r="I30" s="8">
        <v>132398867747</v>
      </c>
      <c r="J30" s="7">
        <v>2886727390</v>
      </c>
      <c r="K30" s="16">
        <v>-18245567355</v>
      </c>
      <c r="L30" s="16">
        <v>-8068488692</v>
      </c>
      <c r="M30" s="8">
        <v>6514290108</v>
      </c>
      <c r="N30" s="8">
        <v>-4744549983</v>
      </c>
      <c r="Y30" s="7">
        <v>960000000</v>
      </c>
      <c r="Z30" s="7">
        <v>480000000</v>
      </c>
      <c r="AA30" s="21"/>
      <c r="AB30" s="21"/>
      <c r="AC30" s="15"/>
      <c r="AD30" s="10">
        <v>96000000</v>
      </c>
      <c r="AE30" s="10">
        <v>96000000</v>
      </c>
      <c r="AF30" s="9">
        <v>96000000</v>
      </c>
      <c r="AG30" s="9">
        <v>96000000</v>
      </c>
      <c r="AH30" s="9">
        <v>96000000</v>
      </c>
    </row>
    <row r="31" spans="1:34" x14ac:dyDescent="0.25">
      <c r="A31" s="5">
        <v>27</v>
      </c>
      <c r="B31" s="5" t="s">
        <v>70</v>
      </c>
      <c r="C31" s="5" t="s">
        <v>71</v>
      </c>
      <c r="D31" s="6">
        <v>40161</v>
      </c>
      <c r="E31" s="13">
        <v>147777212</v>
      </c>
      <c r="F31" s="13">
        <v>151688978</v>
      </c>
      <c r="G31" s="13">
        <v>131925108</v>
      </c>
      <c r="H31" s="24">
        <v>187753934</v>
      </c>
      <c r="I31" s="24">
        <v>196375128</v>
      </c>
      <c r="J31" s="16">
        <v>-1537262</v>
      </c>
      <c r="K31" s="13">
        <v>2680666</v>
      </c>
      <c r="L31" s="13">
        <v>2718077</v>
      </c>
      <c r="M31" s="24">
        <v>5862823</v>
      </c>
      <c r="N31" s="24">
        <v>7127218</v>
      </c>
      <c r="Y31" s="21"/>
      <c r="Z31" s="21"/>
      <c r="AA31" s="21"/>
      <c r="AB31" s="21"/>
      <c r="AC31" s="14">
        <v>1751923</v>
      </c>
      <c r="AD31" s="10">
        <v>2523350000</v>
      </c>
      <c r="AE31" s="10">
        <v>2523350000</v>
      </c>
      <c r="AF31" s="9">
        <v>2523350000</v>
      </c>
      <c r="AG31" s="9">
        <v>2523350000</v>
      </c>
      <c r="AH31" s="9">
        <v>2523350000</v>
      </c>
    </row>
    <row r="32" spans="1:34" x14ac:dyDescent="0.25">
      <c r="A32" s="5">
        <v>28</v>
      </c>
      <c r="B32" s="5" t="s">
        <v>72</v>
      </c>
      <c r="C32" s="5" t="s">
        <v>73</v>
      </c>
      <c r="D32" s="6">
        <v>35331</v>
      </c>
      <c r="E32" s="7">
        <v>852932442585</v>
      </c>
      <c r="F32" s="7">
        <v>1128475286643</v>
      </c>
      <c r="G32" s="7">
        <v>1092811641343</v>
      </c>
      <c r="H32" s="8">
        <v>1073888124690</v>
      </c>
      <c r="I32" s="8">
        <v>1014888115857</v>
      </c>
      <c r="J32" s="7">
        <v>15730408346</v>
      </c>
      <c r="K32" s="7">
        <v>7487452045</v>
      </c>
      <c r="L32" s="16">
        <v>-64398773870</v>
      </c>
      <c r="M32" s="8">
        <v>8904521434</v>
      </c>
      <c r="N32" s="8">
        <v>-48356764285</v>
      </c>
      <c r="Y32" s="7">
        <v>1136750000</v>
      </c>
      <c r="Z32" s="7">
        <v>2810405000</v>
      </c>
      <c r="AA32" s="21"/>
      <c r="AB32" s="15"/>
      <c r="AC32" s="15"/>
      <c r="AD32" s="10">
        <v>568375000</v>
      </c>
      <c r="AE32" s="10">
        <v>568375000</v>
      </c>
      <c r="AF32" s="9">
        <v>568375000</v>
      </c>
      <c r="AG32" s="9">
        <v>568375000</v>
      </c>
      <c r="AH32" s="8">
        <v>568375000</v>
      </c>
    </row>
    <row r="33" spans="1:34" x14ac:dyDescent="0.25">
      <c r="A33" s="5">
        <v>29</v>
      </c>
      <c r="B33" s="5" t="s">
        <v>76</v>
      </c>
      <c r="C33" s="5" t="s">
        <v>77</v>
      </c>
      <c r="D33" s="6">
        <v>34242</v>
      </c>
      <c r="E33" s="13">
        <v>190954156</v>
      </c>
      <c r="F33" s="13">
        <v>153990491</v>
      </c>
      <c r="G33" s="13">
        <v>156833246</v>
      </c>
      <c r="H33" s="24">
        <v>147236098</v>
      </c>
      <c r="I33" s="24">
        <v>134891947</v>
      </c>
      <c r="J33" s="7">
        <v>6377441</v>
      </c>
      <c r="K33" s="13">
        <v>5931052</v>
      </c>
      <c r="L33" s="13">
        <v>4504285</v>
      </c>
      <c r="M33" s="24">
        <v>6974835</v>
      </c>
      <c r="N33" s="8">
        <v>5225262</v>
      </c>
      <c r="Y33" s="21"/>
      <c r="Z33" s="7">
        <v>955084</v>
      </c>
      <c r="AA33" s="7">
        <v>955084</v>
      </c>
      <c r="AB33" s="14">
        <v>955084</v>
      </c>
      <c r="AC33" s="14">
        <v>1102020</v>
      </c>
      <c r="AD33" s="10">
        <v>367340000</v>
      </c>
      <c r="AE33" s="10">
        <v>367340000</v>
      </c>
      <c r="AF33" s="9">
        <v>367340000</v>
      </c>
      <c r="AG33" s="9">
        <v>367340000</v>
      </c>
      <c r="AH33" s="9">
        <v>367340000</v>
      </c>
    </row>
    <row r="34" spans="1:34" x14ac:dyDescent="0.25">
      <c r="A34" s="5">
        <v>30</v>
      </c>
      <c r="B34" s="5" t="s">
        <v>78</v>
      </c>
      <c r="C34" s="5" t="s">
        <v>79</v>
      </c>
      <c r="D34" s="6">
        <v>42641</v>
      </c>
      <c r="E34" s="7">
        <v>6647755000000</v>
      </c>
      <c r="F34" s="7">
        <v>7020980000000</v>
      </c>
      <c r="G34" s="7">
        <v>7121458000000</v>
      </c>
      <c r="H34" s="8">
        <v>8164599000000</v>
      </c>
      <c r="I34" s="8">
        <v>8041989000000</v>
      </c>
      <c r="J34" s="7">
        <v>114374000000</v>
      </c>
      <c r="K34" s="7">
        <v>103431000000</v>
      </c>
      <c r="L34" s="7">
        <v>99862000000</v>
      </c>
      <c r="M34" s="8">
        <v>211485000000</v>
      </c>
      <c r="N34" s="8">
        <v>103896000000</v>
      </c>
      <c r="Y34" s="21"/>
      <c r="Z34" s="21"/>
      <c r="AA34" s="21"/>
      <c r="AB34" s="9">
        <v>18588000000</v>
      </c>
      <c r="AC34" s="9">
        <v>30514000000</v>
      </c>
      <c r="AD34" s="10">
        <v>3066660000</v>
      </c>
      <c r="AE34" s="10">
        <v>3066660000</v>
      </c>
      <c r="AF34" s="9">
        <v>3066660000</v>
      </c>
      <c r="AG34" s="9">
        <v>3066660000</v>
      </c>
      <c r="AH34" s="9">
        <v>3066660000</v>
      </c>
    </row>
    <row r="35" spans="1:34" x14ac:dyDescent="0.25">
      <c r="A35" s="5">
        <v>31</v>
      </c>
      <c r="B35" s="5" t="s">
        <v>82</v>
      </c>
      <c r="C35" s="5" t="s">
        <v>83</v>
      </c>
      <c r="D35" s="6">
        <v>34243</v>
      </c>
      <c r="E35" s="13">
        <v>7042491000</v>
      </c>
      <c r="F35" s="13">
        <v>7182435000</v>
      </c>
      <c r="G35" s="13">
        <v>7683159000</v>
      </c>
      <c r="H35" s="24">
        <v>9241551000</v>
      </c>
      <c r="I35" s="24">
        <v>9248254000</v>
      </c>
      <c r="J35" s="7">
        <v>242066000</v>
      </c>
      <c r="K35" s="13">
        <v>137380000</v>
      </c>
      <c r="L35" s="13">
        <v>141383000</v>
      </c>
      <c r="M35" s="24">
        <v>296007000</v>
      </c>
      <c r="N35" s="24">
        <v>3221000</v>
      </c>
      <c r="Y35" s="7">
        <v>47233000</v>
      </c>
      <c r="Z35" s="7">
        <v>24207000</v>
      </c>
      <c r="AA35" s="7">
        <v>105529000</v>
      </c>
      <c r="AB35" s="9">
        <f>18000000+69793000</f>
        <v>87793000</v>
      </c>
      <c r="AC35" s="8">
        <f>20000000+848000</f>
        <v>20848000</v>
      </c>
      <c r="AD35" s="10">
        <v>17791586878</v>
      </c>
      <c r="AE35" s="10">
        <v>89015998170</v>
      </c>
      <c r="AF35" s="9">
        <v>93388796190</v>
      </c>
      <c r="AG35" s="9">
        <v>93747018044</v>
      </c>
      <c r="AH35" s="9">
        <v>93747018044</v>
      </c>
    </row>
    <row r="36" spans="1:34" x14ac:dyDescent="0.25">
      <c r="A36" s="5">
        <v>32</v>
      </c>
      <c r="B36" s="5" t="s">
        <v>87</v>
      </c>
      <c r="C36" s="5" t="s">
        <v>88</v>
      </c>
      <c r="D36" s="6">
        <v>33154</v>
      </c>
      <c r="E36" s="7">
        <v>322185012261</v>
      </c>
      <c r="F36" s="7">
        <v>318141387900</v>
      </c>
      <c r="G36" s="7">
        <v>317310718779</v>
      </c>
      <c r="H36" s="8">
        <v>362242571405</v>
      </c>
      <c r="I36" s="8">
        <v>405675831614</v>
      </c>
      <c r="J36" s="7">
        <v>9380137352</v>
      </c>
      <c r="K36" s="7">
        <v>3937685121</v>
      </c>
      <c r="L36" s="7">
        <v>2400715154</v>
      </c>
      <c r="M36" s="8">
        <v>22723655893</v>
      </c>
      <c r="N36" s="8">
        <v>27428849986</v>
      </c>
      <c r="Y36" s="7">
        <v>993389856</v>
      </c>
      <c r="Z36" s="7">
        <v>1986779712</v>
      </c>
      <c r="AA36" s="7">
        <v>993389856</v>
      </c>
      <c r="AB36" s="21"/>
      <c r="AC36" s="8">
        <v>4966949280</v>
      </c>
      <c r="AD36" s="10">
        <v>331129952</v>
      </c>
      <c r="AE36" s="10">
        <v>331129952</v>
      </c>
      <c r="AF36" s="9">
        <v>331129952</v>
      </c>
      <c r="AG36" s="9">
        <v>331129952</v>
      </c>
      <c r="AH36" s="8">
        <v>331129952</v>
      </c>
    </row>
    <row r="37" spans="1:34" x14ac:dyDescent="0.25">
      <c r="A37" s="5">
        <v>33</v>
      </c>
      <c r="B37" s="5" t="s">
        <v>89</v>
      </c>
      <c r="C37" s="5" t="s">
        <v>90</v>
      </c>
      <c r="D37" s="6">
        <v>33099</v>
      </c>
      <c r="E37" s="7">
        <v>853267454400</v>
      </c>
      <c r="F37" s="7">
        <v>968234349565</v>
      </c>
      <c r="G37" s="7">
        <v>1081979820386</v>
      </c>
      <c r="H37" s="8">
        <v>1165564745263</v>
      </c>
      <c r="I37" s="8">
        <v>1221291885832</v>
      </c>
      <c r="J37" s="7">
        <v>74045187763</v>
      </c>
      <c r="K37" s="7">
        <v>77402572552</v>
      </c>
      <c r="L37" s="7">
        <v>95929070814</v>
      </c>
      <c r="M37" s="8">
        <v>108490477354</v>
      </c>
      <c r="N37" s="8">
        <v>78079793270</v>
      </c>
      <c r="Y37" s="7">
        <v>12577950000</v>
      </c>
      <c r="Z37" s="7">
        <v>20963250000</v>
      </c>
      <c r="AA37" s="7">
        <v>24457125000</v>
      </c>
      <c r="AB37" s="9">
        <f>31444875000+1199075472</f>
        <v>32643950472</v>
      </c>
      <c r="AC37" s="9">
        <f>34938750000+1571851081</f>
        <v>36510601081</v>
      </c>
      <c r="AD37" s="10">
        <v>698775000</v>
      </c>
      <c r="AE37" s="10">
        <v>698775000</v>
      </c>
      <c r="AF37" s="9">
        <v>698775000</v>
      </c>
      <c r="AG37" s="9">
        <v>698775000</v>
      </c>
      <c r="AH37" s="8">
        <v>3493875000</v>
      </c>
    </row>
    <row r="38" spans="1:34" x14ac:dyDescent="0.25">
      <c r="A38" s="5">
        <v>34</v>
      </c>
      <c r="B38" s="5" t="s">
        <v>91</v>
      </c>
      <c r="C38" s="5" t="s">
        <v>92</v>
      </c>
      <c r="D38" s="6">
        <v>35566</v>
      </c>
      <c r="E38" s="7">
        <v>1090658578996</v>
      </c>
      <c r="F38" s="7">
        <v>1123468024853</v>
      </c>
      <c r="G38" s="7">
        <v>1055671083056</v>
      </c>
      <c r="H38" s="7">
        <v>1053555048668</v>
      </c>
      <c r="I38" s="7">
        <v>895204452940</v>
      </c>
      <c r="J38" s="16">
        <v>-138527581192</v>
      </c>
      <c r="K38" s="7">
        <v>-89756071206</v>
      </c>
      <c r="L38" s="16">
        <v>72652783063</v>
      </c>
      <c r="M38" s="16">
        <v>-124613363675</v>
      </c>
      <c r="N38" s="16">
        <v>-282774617043</v>
      </c>
      <c r="Y38" s="21"/>
      <c r="Z38" s="21"/>
      <c r="AA38" s="21"/>
      <c r="AB38" s="21"/>
      <c r="AC38" s="21"/>
      <c r="AD38" s="10">
        <v>968297000</v>
      </c>
      <c r="AE38" s="10">
        <v>968297000</v>
      </c>
      <c r="AF38" s="10">
        <v>968297000</v>
      </c>
      <c r="AG38" s="10">
        <v>4668671400</v>
      </c>
      <c r="AH38" s="10">
        <v>4668671400</v>
      </c>
    </row>
    <row r="39" spans="1:34" x14ac:dyDescent="0.25">
      <c r="A39" s="5">
        <v>35</v>
      </c>
      <c r="B39" s="5" t="s">
        <v>93</v>
      </c>
      <c r="C39" s="5" t="s">
        <v>94</v>
      </c>
      <c r="D39" s="6">
        <v>33078</v>
      </c>
      <c r="E39" s="7">
        <v>391362697956</v>
      </c>
      <c r="F39" s="7">
        <v>405445049452</v>
      </c>
      <c r="G39" s="7">
        <v>444865800672</v>
      </c>
      <c r="H39" s="8">
        <v>510698600200</v>
      </c>
      <c r="I39" s="17">
        <v>496010534463</v>
      </c>
      <c r="J39" s="7">
        <v>16675673703</v>
      </c>
      <c r="K39" s="7">
        <v>13811736623</v>
      </c>
      <c r="L39" s="7">
        <v>30071380873</v>
      </c>
      <c r="M39" s="8">
        <v>11036924395</v>
      </c>
      <c r="N39" s="17">
        <v>24502371311</v>
      </c>
      <c r="Y39" s="7">
        <v>1098885825</v>
      </c>
      <c r="Z39" s="21"/>
      <c r="AA39" s="7">
        <v>3922424632</v>
      </c>
      <c r="AB39" s="7">
        <v>4903030925</v>
      </c>
      <c r="AC39" s="21"/>
      <c r="AD39" s="10">
        <v>196121237</v>
      </c>
      <c r="AE39" s="10">
        <v>196121237</v>
      </c>
      <c r="AF39" s="10">
        <v>196121237</v>
      </c>
      <c r="AG39" s="10">
        <v>196121237</v>
      </c>
      <c r="AH39" s="10">
        <v>196121237</v>
      </c>
    </row>
    <row r="40" spans="1:34" x14ac:dyDescent="0.25">
      <c r="A40" s="5">
        <v>36</v>
      </c>
      <c r="B40" s="5" t="s">
        <v>99</v>
      </c>
      <c r="C40" s="5" t="s">
        <v>100</v>
      </c>
      <c r="D40" s="6">
        <v>43342</v>
      </c>
      <c r="E40" s="33">
        <v>1868245599000</v>
      </c>
      <c r="F40" s="7">
        <v>1872712715000</v>
      </c>
      <c r="G40" s="7">
        <v>2279580714000</v>
      </c>
      <c r="H40" s="8">
        <v>2275216679000</v>
      </c>
      <c r="I40" s="8">
        <v>2182945756000</v>
      </c>
      <c r="J40" s="33">
        <v>94243997000</v>
      </c>
      <c r="K40" s="7">
        <v>60910956000</v>
      </c>
      <c r="L40" s="7">
        <v>79288256000</v>
      </c>
      <c r="M40" s="8">
        <v>38800766000</v>
      </c>
      <c r="N40" s="8">
        <v>11310348000</v>
      </c>
      <c r="Y40" s="33">
        <v>203486706000</v>
      </c>
      <c r="Z40" s="7">
        <v>38637633000</v>
      </c>
      <c r="AA40" s="7">
        <v>13665358000</v>
      </c>
      <c r="AB40" s="7">
        <v>1292570807</v>
      </c>
      <c r="AC40" s="7">
        <v>1292570807</v>
      </c>
      <c r="AD40" s="34">
        <v>1983888498</v>
      </c>
      <c r="AE40" s="10">
        <v>2334888498</v>
      </c>
      <c r="AF40" s="10">
        <v>2334888498</v>
      </c>
      <c r="AG40" s="10">
        <v>2724036581</v>
      </c>
      <c r="AH40" s="10">
        <v>2724036581</v>
      </c>
    </row>
    <row r="41" spans="1:34" x14ac:dyDescent="0.25">
      <c r="A41" s="5">
        <v>37</v>
      </c>
      <c r="B41" s="5" t="s">
        <v>109</v>
      </c>
      <c r="C41" s="5" t="s">
        <v>110</v>
      </c>
      <c r="D41" s="6">
        <v>33980</v>
      </c>
      <c r="E41" s="7">
        <v>686777211000</v>
      </c>
      <c r="F41" s="7">
        <v>779246858000</v>
      </c>
      <c r="G41" s="7">
        <v>906846895000</v>
      </c>
      <c r="H41" s="8">
        <v>860162908000</v>
      </c>
      <c r="I41" s="8">
        <v>876602301000</v>
      </c>
      <c r="J41" s="7">
        <v>38735092000</v>
      </c>
      <c r="K41" s="7">
        <v>42829128000</v>
      </c>
      <c r="L41" s="7">
        <v>44152245000</v>
      </c>
      <c r="M41" s="8">
        <v>26542985000</v>
      </c>
      <c r="N41" s="8">
        <v>33640328000</v>
      </c>
      <c r="Y41" s="21"/>
      <c r="Z41" s="7">
        <v>6020000000</v>
      </c>
      <c r="AA41" s="7">
        <v>12040000000</v>
      </c>
      <c r="AB41" s="9">
        <v>6020000</v>
      </c>
      <c r="AC41" s="21"/>
      <c r="AD41" s="10">
        <v>6020000000</v>
      </c>
      <c r="AE41" s="10">
        <v>6020000000</v>
      </c>
      <c r="AF41" s="10">
        <v>6020000000</v>
      </c>
      <c r="AG41" s="10">
        <v>6020000000</v>
      </c>
      <c r="AH41" s="10">
        <v>6020000000</v>
      </c>
    </row>
    <row r="42" spans="1:34" x14ac:dyDescent="0.25">
      <c r="A42" s="5">
        <v>38</v>
      </c>
      <c r="B42" s="11" t="s">
        <v>111</v>
      </c>
      <c r="C42" s="11" t="s">
        <v>112</v>
      </c>
      <c r="D42" s="6">
        <v>43199</v>
      </c>
      <c r="E42" s="24">
        <v>304204072</v>
      </c>
      <c r="F42" s="24">
        <v>356285764</v>
      </c>
      <c r="G42" s="13">
        <v>349209327</v>
      </c>
      <c r="H42" s="13">
        <v>210575452</v>
      </c>
      <c r="I42" s="13">
        <v>146631100</v>
      </c>
      <c r="J42" s="24">
        <v>12932499</v>
      </c>
      <c r="K42" s="24">
        <v>16052289</v>
      </c>
      <c r="L42" s="13">
        <v>-3454919</v>
      </c>
      <c r="M42" s="13">
        <v>-78616128</v>
      </c>
      <c r="N42" s="16">
        <v>-52497945</v>
      </c>
      <c r="Y42" s="13">
        <v>200000</v>
      </c>
      <c r="Z42" s="13">
        <v>300000</v>
      </c>
      <c r="AA42" s="13">
        <v>160000</v>
      </c>
      <c r="AB42" s="13">
        <v>660000</v>
      </c>
      <c r="AC42" s="13">
        <v>800000</v>
      </c>
      <c r="AD42" s="8">
        <v>10485050500</v>
      </c>
      <c r="AE42" s="8">
        <v>10485050500</v>
      </c>
      <c r="AF42" s="8">
        <v>10485050500</v>
      </c>
      <c r="AG42" s="8">
        <v>10485050500</v>
      </c>
      <c r="AH42" s="8">
        <v>10485050500</v>
      </c>
    </row>
    <row r="43" spans="1:34" x14ac:dyDescent="0.25">
      <c r="A43" s="5">
        <v>39</v>
      </c>
      <c r="B43" s="5" t="s">
        <v>113</v>
      </c>
      <c r="C43" s="5" t="s">
        <v>114</v>
      </c>
      <c r="D43" s="6">
        <v>39594</v>
      </c>
      <c r="E43" s="13">
        <v>3173486000</v>
      </c>
      <c r="F43" s="13">
        <v>3451211000</v>
      </c>
      <c r="G43" s="13">
        <v>3593747000</v>
      </c>
      <c r="H43" s="24">
        <v>4993060000</v>
      </c>
      <c r="I43" s="24">
        <v>4929871000</v>
      </c>
      <c r="J43" s="7">
        <v>182316000</v>
      </c>
      <c r="K43" s="13">
        <v>23647000</v>
      </c>
      <c r="L43" s="13">
        <v>51542000</v>
      </c>
      <c r="M43" s="24">
        <v>151869000</v>
      </c>
      <c r="N43" s="18">
        <v>-149399000</v>
      </c>
      <c r="Y43" s="7">
        <f>80924000+735000</f>
        <v>81659000</v>
      </c>
      <c r="Z43" s="7">
        <v>33262000</v>
      </c>
      <c r="AA43" s="7">
        <v>1280000</v>
      </c>
      <c r="AB43" s="9">
        <v>103514000</v>
      </c>
      <c r="AC43" s="8">
        <v>11000000</v>
      </c>
      <c r="AD43" s="10">
        <v>17833520260</v>
      </c>
      <c r="AE43" s="10">
        <v>17833520260</v>
      </c>
      <c r="AF43" s="10">
        <v>17833520260</v>
      </c>
      <c r="AG43" s="10">
        <v>21627886273</v>
      </c>
      <c r="AH43" s="8">
        <v>86511545092</v>
      </c>
    </row>
    <row r="44" spans="1:34" x14ac:dyDescent="0.25">
      <c r="A44" s="5">
        <v>40</v>
      </c>
      <c r="B44" s="5" t="s">
        <v>115</v>
      </c>
      <c r="C44" s="5" t="s">
        <v>116</v>
      </c>
      <c r="D44" s="6">
        <v>32818</v>
      </c>
      <c r="E44" s="13">
        <v>236410388</v>
      </c>
      <c r="F44" s="13">
        <v>219757421</v>
      </c>
      <c r="G44" s="13">
        <v>242256371</v>
      </c>
      <c r="H44" s="13">
        <v>292723782</v>
      </c>
      <c r="I44" s="24">
        <v>317577675</v>
      </c>
      <c r="J44" s="7">
        <v>17280630</v>
      </c>
      <c r="K44" s="13">
        <v>11388329</v>
      </c>
      <c r="L44" s="13">
        <v>27294821</v>
      </c>
      <c r="M44" s="13">
        <v>58052717</v>
      </c>
      <c r="N44" s="13">
        <v>37901615</v>
      </c>
      <c r="Y44" s="13">
        <v>11567189</v>
      </c>
      <c r="Z44" s="13">
        <v>2435568</v>
      </c>
      <c r="AA44" s="13">
        <v>6021620</v>
      </c>
      <c r="AB44" s="13">
        <v>15982321</v>
      </c>
      <c r="AC44" s="13">
        <v>2583966</v>
      </c>
      <c r="AD44" s="10">
        <v>383331363</v>
      </c>
      <c r="AE44" s="10">
        <v>383331363</v>
      </c>
      <c r="AF44" s="10">
        <v>383331363</v>
      </c>
      <c r="AG44" s="10">
        <v>383331363</v>
      </c>
      <c r="AH44" s="10">
        <v>383331363</v>
      </c>
    </row>
    <row r="45" spans="1:34" x14ac:dyDescent="0.25">
      <c r="A45" s="5">
        <v>41</v>
      </c>
      <c r="B45" s="5" t="s">
        <v>117</v>
      </c>
      <c r="C45" s="5" t="s">
        <v>118</v>
      </c>
      <c r="D45" s="6">
        <v>33956</v>
      </c>
      <c r="E45" s="7">
        <v>3070410492000</v>
      </c>
      <c r="F45" s="7">
        <v>2776775756000</v>
      </c>
      <c r="G45" s="7">
        <v>2644267716000</v>
      </c>
      <c r="H45" s="8">
        <v>3335740359000</v>
      </c>
      <c r="I45" s="8">
        <v>3590544764000</v>
      </c>
      <c r="J45" s="7">
        <v>64226271000</v>
      </c>
      <c r="K45" s="7">
        <v>54355268000</v>
      </c>
      <c r="L45" s="7">
        <v>66005547000</v>
      </c>
      <c r="M45" s="8">
        <v>147822236000</v>
      </c>
      <c r="N45" s="8">
        <v>211687105000</v>
      </c>
      <c r="Y45" s="7">
        <v>7346976000</v>
      </c>
      <c r="Z45" s="7">
        <v>7346976000</v>
      </c>
      <c r="AA45" s="21"/>
      <c r="AB45" s="9">
        <v>15306200000</v>
      </c>
      <c r="AC45" s="9">
        <v>30000152000</v>
      </c>
      <c r="AD45" s="10">
        <v>680000000</v>
      </c>
      <c r="AE45" s="10">
        <v>680000000</v>
      </c>
      <c r="AF45" s="10">
        <v>612248000</v>
      </c>
      <c r="AG45" s="10">
        <v>612248000</v>
      </c>
      <c r="AH45" s="10">
        <v>612248000</v>
      </c>
    </row>
    <row r="46" spans="1:34" x14ac:dyDescent="0.25">
      <c r="A46" s="5">
        <v>42</v>
      </c>
      <c r="B46" s="5" t="s">
        <v>119</v>
      </c>
      <c r="C46" s="5" t="s">
        <v>120</v>
      </c>
      <c r="D46" s="6">
        <v>36647</v>
      </c>
      <c r="E46" s="7">
        <v>503177499114</v>
      </c>
      <c r="F46" s="7">
        <v>419264529448</v>
      </c>
      <c r="G46" s="9">
        <v>406440895710</v>
      </c>
      <c r="H46" s="17">
        <v>431280653664</v>
      </c>
      <c r="I46" s="8">
        <v>468541883266</v>
      </c>
      <c r="J46" s="16">
        <v>-23496671376</v>
      </c>
      <c r="K46" s="7">
        <v>9588681370</v>
      </c>
      <c r="L46" s="22">
        <v>-6424025663</v>
      </c>
      <c r="M46" s="17">
        <v>23227293962</v>
      </c>
      <c r="N46" s="17">
        <v>46599136683</v>
      </c>
      <c r="Y46" s="21"/>
      <c r="Z46" s="21"/>
      <c r="AA46" s="15"/>
      <c r="AB46" s="21"/>
      <c r="AC46" s="21"/>
      <c r="AD46" s="10">
        <v>1362671400</v>
      </c>
      <c r="AE46" s="10">
        <v>1362671400</v>
      </c>
      <c r="AF46" s="10">
        <v>1362671400</v>
      </c>
      <c r="AG46" s="10">
        <v>1362671400</v>
      </c>
      <c r="AH46" s="10">
        <v>1362671400</v>
      </c>
    </row>
    <row r="47" spans="1:34" x14ac:dyDescent="0.25">
      <c r="A47" s="5">
        <v>43</v>
      </c>
      <c r="B47" s="5" t="s">
        <v>121</v>
      </c>
      <c r="C47" s="5" t="s">
        <v>122</v>
      </c>
      <c r="D47" s="6">
        <v>32818</v>
      </c>
      <c r="E47" s="7">
        <v>2461326183000</v>
      </c>
      <c r="F47" s="7">
        <v>2263112918000</v>
      </c>
      <c r="G47" s="7">
        <v>1965718547000</v>
      </c>
      <c r="H47" s="8">
        <v>2020640257000</v>
      </c>
      <c r="I47" s="8">
        <v>1869959662000</v>
      </c>
      <c r="J47" s="16">
        <v>-23662406000</v>
      </c>
      <c r="K47" s="16">
        <v>-163083992000</v>
      </c>
      <c r="L47" s="16">
        <v>-187053341000</v>
      </c>
      <c r="M47" s="18">
        <v>-193272827000</v>
      </c>
      <c r="N47" s="17">
        <v>-136403681000</v>
      </c>
      <c r="Y47" s="7">
        <v>3600000000</v>
      </c>
      <c r="Z47" s="21"/>
      <c r="AA47" s="21"/>
      <c r="AB47" s="21"/>
      <c r="AC47" s="21"/>
      <c r="AD47" s="10">
        <v>979110000</v>
      </c>
      <c r="AE47" s="10">
        <v>979110000</v>
      </c>
      <c r="AF47" s="10">
        <v>979110000</v>
      </c>
      <c r="AG47" s="10">
        <v>979110000</v>
      </c>
      <c r="AH47" s="10">
        <v>979110000</v>
      </c>
    </row>
    <row r="48" spans="1:34" x14ac:dyDescent="0.25">
      <c r="A48" s="5">
        <v>44</v>
      </c>
      <c r="B48" s="5" t="s">
        <v>127</v>
      </c>
      <c r="C48" s="5" t="s">
        <v>128</v>
      </c>
      <c r="D48" s="6">
        <v>37336</v>
      </c>
      <c r="E48" s="13">
        <v>195826000</v>
      </c>
      <c r="F48" s="13">
        <v>165728000</v>
      </c>
      <c r="G48" s="13">
        <v>149377000</v>
      </c>
      <c r="H48" s="24">
        <v>183022000</v>
      </c>
      <c r="I48" s="17">
        <v>192224000</v>
      </c>
      <c r="J48" s="7">
        <v>6125000</v>
      </c>
      <c r="K48" s="16">
        <v>-3286000</v>
      </c>
      <c r="L48" s="16">
        <v>-4945000</v>
      </c>
      <c r="M48" s="24">
        <v>9564000</v>
      </c>
      <c r="N48" s="8">
        <v>2896000</v>
      </c>
      <c r="Y48" s="21"/>
      <c r="Z48" s="21"/>
      <c r="AA48" s="21"/>
      <c r="AB48" s="21"/>
      <c r="AC48" s="21"/>
      <c r="AD48" s="10">
        <v>5566414000</v>
      </c>
      <c r="AE48" s="10">
        <v>5566414000</v>
      </c>
      <c r="AF48" s="10">
        <v>5566414000</v>
      </c>
      <c r="AG48" s="10">
        <v>5566414000</v>
      </c>
      <c r="AH48" s="10">
        <v>5566414000</v>
      </c>
    </row>
    <row r="49" spans="1:34" x14ac:dyDescent="0.25">
      <c r="A49" s="5">
        <v>45</v>
      </c>
      <c r="B49" s="5" t="s">
        <v>129</v>
      </c>
      <c r="C49" s="5" t="s">
        <v>130</v>
      </c>
      <c r="D49" s="6">
        <v>33182</v>
      </c>
      <c r="E49" s="7">
        <v>570197810698</v>
      </c>
      <c r="F49" s="7">
        <v>617594780669</v>
      </c>
      <c r="G49" s="7">
        <v>665863417235</v>
      </c>
      <c r="H49" s="8">
        <v>809371584010</v>
      </c>
      <c r="I49" s="8">
        <v>863638556466</v>
      </c>
      <c r="J49" s="7">
        <v>44672438405</v>
      </c>
      <c r="K49" s="7">
        <v>60836752751</v>
      </c>
      <c r="L49" s="7">
        <v>60770710445</v>
      </c>
      <c r="M49" s="8">
        <v>104034299846</v>
      </c>
      <c r="N49" s="8">
        <v>102314374301</v>
      </c>
      <c r="Y49" s="7">
        <v>4858213700</v>
      </c>
      <c r="Z49" s="7">
        <v>6638247950</v>
      </c>
      <c r="AA49" s="7">
        <v>6638247950</v>
      </c>
      <c r="AB49" s="9">
        <v>6638247950</v>
      </c>
      <c r="AC49" s="9">
        <v>8506860675</v>
      </c>
      <c r="AD49" s="10">
        <v>972204500</v>
      </c>
      <c r="AE49" s="10">
        <v>972204500</v>
      </c>
      <c r="AF49" s="10">
        <v>972204500</v>
      </c>
      <c r="AG49" s="10">
        <v>972204500</v>
      </c>
      <c r="AH49" s="10">
        <v>972204500</v>
      </c>
    </row>
    <row r="50" spans="1:34" x14ac:dyDescent="0.25">
      <c r="A50" s="5">
        <v>46</v>
      </c>
      <c r="B50" s="5" t="s">
        <v>131</v>
      </c>
      <c r="C50" s="5" t="s">
        <v>132</v>
      </c>
      <c r="D50" s="6">
        <v>41990</v>
      </c>
      <c r="E50" s="7">
        <v>2370198817803</v>
      </c>
      <c r="F50" s="7">
        <v>2501132856219</v>
      </c>
      <c r="G50" s="7">
        <v>2697100062756</v>
      </c>
      <c r="H50" s="8">
        <v>1383431547987</v>
      </c>
      <c r="I50" s="17">
        <v>3435475875401</v>
      </c>
      <c r="J50" s="7">
        <v>105523929164</v>
      </c>
      <c r="K50" s="7">
        <v>93145200039</v>
      </c>
      <c r="L50" s="7">
        <v>115805324362</v>
      </c>
      <c r="M50" s="8">
        <v>206588977295</v>
      </c>
      <c r="N50" s="8">
        <v>312502049594</v>
      </c>
      <c r="Y50" s="7">
        <f>38668000000+4930000000</f>
        <v>43598000000</v>
      </c>
      <c r="Z50" s="7">
        <v>77790000000</v>
      </c>
      <c r="AA50" s="7">
        <v>53280000000</v>
      </c>
      <c r="AB50" s="17">
        <v>29001000000</v>
      </c>
      <c r="AC50" s="17">
        <v>106337000000</v>
      </c>
      <c r="AD50" s="10">
        <v>4833500000</v>
      </c>
      <c r="AE50" s="10">
        <v>4833500000</v>
      </c>
      <c r="AF50" s="10">
        <v>4833500000</v>
      </c>
      <c r="AG50" s="10">
        <v>4833500000</v>
      </c>
      <c r="AH50" s="17">
        <v>4933500000</v>
      </c>
    </row>
    <row r="51" spans="1:34" x14ac:dyDescent="0.25">
      <c r="A51" s="5">
        <v>47</v>
      </c>
      <c r="B51" s="36" t="s">
        <v>133</v>
      </c>
      <c r="C51" s="5" t="s">
        <v>134</v>
      </c>
      <c r="D51" s="6">
        <v>40368</v>
      </c>
      <c r="E51" s="13">
        <v>292126972</v>
      </c>
      <c r="F51" s="13">
        <v>277540954</v>
      </c>
      <c r="G51" s="13">
        <v>280515335</v>
      </c>
      <c r="H51" s="24">
        <v>299122566</v>
      </c>
      <c r="I51" s="17">
        <v>280534499</v>
      </c>
      <c r="J51" s="7">
        <v>5073929</v>
      </c>
      <c r="K51" s="13">
        <v>4510027</v>
      </c>
      <c r="L51" s="13">
        <v>8519433</v>
      </c>
      <c r="M51" s="24">
        <v>9499133</v>
      </c>
      <c r="N51" s="8">
        <v>3745327</v>
      </c>
      <c r="Y51" s="21"/>
      <c r="Z51" s="37">
        <v>1386079</v>
      </c>
      <c r="AA51" s="21"/>
      <c r="AB51" s="37">
        <v>2296859</v>
      </c>
      <c r="AC51" s="37">
        <v>2639642</v>
      </c>
      <c r="AD51" s="10">
        <v>6443379509</v>
      </c>
      <c r="AE51" s="10">
        <v>6443379509</v>
      </c>
      <c r="AF51" s="10">
        <v>6443379509</v>
      </c>
      <c r="AG51" s="10">
        <v>6443379509</v>
      </c>
      <c r="AH51" s="10">
        <v>6443379509</v>
      </c>
    </row>
    <row r="52" spans="1:34" x14ac:dyDescent="0.25">
      <c r="A52" s="5">
        <v>48</v>
      </c>
      <c r="B52" s="36" t="s">
        <v>135</v>
      </c>
      <c r="C52" s="5" t="s">
        <v>136</v>
      </c>
      <c r="D52" s="6">
        <v>43082</v>
      </c>
      <c r="E52" s="7">
        <v>2295734967000</v>
      </c>
      <c r="F52" s="7">
        <v>2338919728000</v>
      </c>
      <c r="G52" s="7">
        <v>2421301079000</v>
      </c>
      <c r="H52" s="8">
        <v>2795959663000</v>
      </c>
      <c r="I52" s="8">
        <v>3040363137000</v>
      </c>
      <c r="J52" s="7">
        <v>297628915000</v>
      </c>
      <c r="K52" s="7">
        <v>223626619000</v>
      </c>
      <c r="L52" s="7">
        <v>373653845000</v>
      </c>
      <c r="M52" s="8">
        <v>416209347000</v>
      </c>
      <c r="N52" s="8">
        <v>354901190000</v>
      </c>
      <c r="Y52" s="7">
        <v>81867571000</v>
      </c>
      <c r="Z52" s="7">
        <v>94992476000</v>
      </c>
      <c r="AA52" s="7">
        <v>112236000000</v>
      </c>
      <c r="AB52" s="9">
        <v>189773757000</v>
      </c>
      <c r="AC52" s="9">
        <v>207632399000</v>
      </c>
      <c r="AD52" s="10">
        <v>1875000000</v>
      </c>
      <c r="AE52" s="10">
        <v>1875000000</v>
      </c>
      <c r="AF52" s="10">
        <v>1875000000</v>
      </c>
      <c r="AG52" s="10">
        <v>1875000000</v>
      </c>
      <c r="AH52" s="10">
        <v>1875000000</v>
      </c>
    </row>
    <row r="53" spans="1:34" x14ac:dyDescent="0.25">
      <c r="A53" s="5">
        <v>49</v>
      </c>
      <c r="B53" s="36" t="s">
        <v>141</v>
      </c>
      <c r="C53" s="5" t="s">
        <v>142</v>
      </c>
      <c r="D53" s="6">
        <v>41640</v>
      </c>
      <c r="E53" s="7">
        <v>984597771989</v>
      </c>
      <c r="F53" s="7">
        <v>1329083050439</v>
      </c>
      <c r="G53" s="7">
        <v>1474472516166</v>
      </c>
      <c r="H53" s="8">
        <v>1569929936844</v>
      </c>
      <c r="I53" s="8">
        <v>1797280792145</v>
      </c>
      <c r="J53" s="7">
        <v>43976734000</v>
      </c>
      <c r="K53" s="7">
        <v>27456246966</v>
      </c>
      <c r="L53" s="7">
        <v>18488700221</v>
      </c>
      <c r="M53" s="8">
        <v>22437585810</v>
      </c>
      <c r="N53" s="8">
        <v>44313085815</v>
      </c>
      <c r="Y53" s="7">
        <v>4060305000</v>
      </c>
      <c r="Z53" s="7">
        <v>8120610000</v>
      </c>
      <c r="AA53" s="38"/>
      <c r="AB53" s="21"/>
      <c r="AC53" s="21"/>
      <c r="AD53" s="10">
        <v>1353435000</v>
      </c>
      <c r="AE53" s="10">
        <v>1353435000</v>
      </c>
      <c r="AF53" s="10">
        <v>1353435000</v>
      </c>
      <c r="AG53" s="10">
        <v>1353435000</v>
      </c>
      <c r="AH53" s="8">
        <v>1353435000</v>
      </c>
    </row>
    <row r="54" spans="1:34" x14ac:dyDescent="0.25">
      <c r="A54" s="5">
        <v>50</v>
      </c>
      <c r="B54" s="36" t="s">
        <v>143</v>
      </c>
      <c r="C54" s="5" t="s">
        <v>144</v>
      </c>
      <c r="D54" s="6">
        <v>33056</v>
      </c>
      <c r="E54" s="7">
        <v>4284901587126</v>
      </c>
      <c r="F54" s="7">
        <v>4349022887699</v>
      </c>
      <c r="G54" s="7">
        <v>4223302387771</v>
      </c>
      <c r="H54" s="8">
        <v>4628831951931</v>
      </c>
      <c r="I54" s="17">
        <v>5777073000000</v>
      </c>
      <c r="J54" s="7">
        <v>63193899099</v>
      </c>
      <c r="K54" s="7">
        <v>38911968283</v>
      </c>
      <c r="L54" s="7">
        <v>73277742422</v>
      </c>
      <c r="M54" s="8">
        <v>200975805947</v>
      </c>
      <c r="N54" s="17">
        <v>166414000000</v>
      </c>
      <c r="Y54" s="38"/>
      <c r="Z54" s="7">
        <v>14040000000</v>
      </c>
      <c r="AA54" s="7">
        <v>14040000000</v>
      </c>
      <c r="AB54" s="9">
        <v>28080000000</v>
      </c>
      <c r="AC54" s="9">
        <v>56160000000</v>
      </c>
      <c r="AD54" s="10">
        <v>2808000000</v>
      </c>
      <c r="AE54" s="10">
        <v>2808000000</v>
      </c>
      <c r="AF54" s="10">
        <v>2808000000</v>
      </c>
      <c r="AG54" s="10">
        <v>2808000000</v>
      </c>
      <c r="AH54" s="10">
        <v>2808000000</v>
      </c>
    </row>
    <row r="55" spans="1:34" x14ac:dyDescent="0.25">
      <c r="A55" s="5">
        <v>51</v>
      </c>
      <c r="B55" s="36" t="s">
        <v>145</v>
      </c>
      <c r="C55" s="5" t="s">
        <v>146</v>
      </c>
      <c r="D55" s="6">
        <v>39522</v>
      </c>
      <c r="E55" s="7">
        <v>330955269476</v>
      </c>
      <c r="F55" s="7">
        <v>278236534771</v>
      </c>
      <c r="G55" s="7">
        <v>275782172710</v>
      </c>
      <c r="H55" s="8">
        <v>258162529531</v>
      </c>
      <c r="I55" s="8">
        <v>290500335235</v>
      </c>
      <c r="J55" s="16">
        <v>-9041326115</v>
      </c>
      <c r="K55" s="7">
        <v>3488737738</v>
      </c>
      <c r="L55" s="7">
        <v>8334858402</v>
      </c>
      <c r="M55" s="18">
        <v>-9484670499</v>
      </c>
      <c r="N55" s="18">
        <v>-1411679112</v>
      </c>
      <c r="Y55" s="38"/>
      <c r="Z55" s="38"/>
      <c r="AA55" s="38"/>
      <c r="AB55" s="21"/>
      <c r="AC55" s="21"/>
      <c r="AD55" s="10">
        <v>668000089</v>
      </c>
      <c r="AE55" s="10">
        <v>668000089</v>
      </c>
      <c r="AF55" s="10">
        <v>668000089</v>
      </c>
      <c r="AG55" s="10">
        <v>668000089</v>
      </c>
      <c r="AH55" s="10">
        <v>668000089</v>
      </c>
    </row>
    <row r="56" spans="1:34" x14ac:dyDescent="0.25">
      <c r="A56" s="5">
        <v>52</v>
      </c>
      <c r="B56" s="36" t="s">
        <v>147</v>
      </c>
      <c r="C56" s="5" t="s">
        <v>148</v>
      </c>
      <c r="D56" s="6">
        <v>33315</v>
      </c>
      <c r="E56" s="7">
        <v>27645118000000</v>
      </c>
      <c r="F56" s="7">
        <v>29109408000000</v>
      </c>
      <c r="G56" s="7">
        <v>31159291000000</v>
      </c>
      <c r="H56" s="17">
        <v>35446051000000</v>
      </c>
      <c r="I56" s="17">
        <v>39847545000000</v>
      </c>
      <c r="J56" s="7">
        <v>4551485000000</v>
      </c>
      <c r="K56" s="7">
        <v>3642226000000</v>
      </c>
      <c r="L56" s="7">
        <v>3845833000000</v>
      </c>
      <c r="M56" s="17">
        <v>3619010000000</v>
      </c>
      <c r="N56" s="17">
        <v>2930357000000</v>
      </c>
      <c r="Y56" s="7">
        <v>918288000000</v>
      </c>
      <c r="Z56" s="7">
        <v>1934964000000</v>
      </c>
      <c r="AA56" s="9">
        <v>1328238000000</v>
      </c>
      <c r="AB56" s="9">
        <v>1836576000000</v>
      </c>
      <c r="AC56" s="9">
        <v>1770984000000</v>
      </c>
      <c r="AD56" s="10">
        <v>16398000000</v>
      </c>
      <c r="AE56" s="10">
        <v>16398000000</v>
      </c>
      <c r="AF56" s="10">
        <v>16398000000</v>
      </c>
      <c r="AG56" s="10">
        <v>16398000000</v>
      </c>
      <c r="AH56" s="10">
        <v>16398000000</v>
      </c>
    </row>
    <row r="57" spans="1:34" x14ac:dyDescent="0.25">
      <c r="A57" s="5">
        <v>53</v>
      </c>
      <c r="B57" s="36" t="s">
        <v>149</v>
      </c>
      <c r="C57" s="5" t="s">
        <v>150</v>
      </c>
      <c r="D57" s="6">
        <v>32804</v>
      </c>
      <c r="E57" s="7">
        <v>6572440000000</v>
      </c>
      <c r="F57" s="9">
        <v>6000259000000</v>
      </c>
      <c r="G57" s="7">
        <v>6326293000000</v>
      </c>
      <c r="H57" s="17">
        <v>6444438000000</v>
      </c>
      <c r="I57" s="17">
        <v>6833737000000</v>
      </c>
      <c r="J57" s="7">
        <v>1722704000000</v>
      </c>
      <c r="K57" s="22">
        <v>-348863000000</v>
      </c>
      <c r="L57" s="7">
        <v>381422000000</v>
      </c>
      <c r="M57" s="17">
        <v>2209313000000</v>
      </c>
      <c r="N57" s="17">
        <v>373978000000</v>
      </c>
      <c r="Y57" s="38"/>
      <c r="Z57" s="39"/>
      <c r="AA57" s="39"/>
      <c r="AB57" s="9">
        <v>670000000</v>
      </c>
      <c r="AC57" s="21"/>
      <c r="AD57" s="10">
        <v>59572382787</v>
      </c>
      <c r="AE57" s="10">
        <v>59572382787</v>
      </c>
      <c r="AF57" s="10">
        <v>59572382787</v>
      </c>
      <c r="AG57" s="10">
        <v>59572382787</v>
      </c>
      <c r="AH57" s="10">
        <v>59572382787</v>
      </c>
    </row>
    <row r="58" spans="1:34" x14ac:dyDescent="0.25">
      <c r="A58" s="5">
        <v>54</v>
      </c>
      <c r="B58" s="36" t="s">
        <v>154</v>
      </c>
      <c r="C58" s="5" t="s">
        <v>155</v>
      </c>
      <c r="D58" s="6">
        <v>38758</v>
      </c>
      <c r="E58" s="7">
        <v>23038028000000</v>
      </c>
      <c r="F58" s="7">
        <v>26650895000000</v>
      </c>
      <c r="G58" s="7">
        <v>25951760000000</v>
      </c>
      <c r="H58" s="17">
        <v>28589656000000</v>
      </c>
      <c r="I58" s="17">
        <v>32690887000000</v>
      </c>
      <c r="J58" s="7">
        <v>2253201000000</v>
      </c>
      <c r="K58" s="7">
        <v>1793914000000</v>
      </c>
      <c r="L58" s="7">
        <v>1221904000000</v>
      </c>
      <c r="M58" s="17">
        <v>2130896000000</v>
      </c>
      <c r="N58" s="8">
        <v>1490931000000</v>
      </c>
      <c r="Y58" s="7">
        <v>1205915000000</v>
      </c>
      <c r="Z58" s="7">
        <v>638281000000</v>
      </c>
      <c r="AA58" s="7">
        <v>258375000000</v>
      </c>
      <c r="AB58" s="21"/>
      <c r="AC58" s="9">
        <v>724969000000</v>
      </c>
      <c r="AD58" s="10">
        <v>11726575201</v>
      </c>
      <c r="AE58" s="10">
        <v>11726575201</v>
      </c>
      <c r="AF58" s="10">
        <v>11726575201</v>
      </c>
      <c r="AG58" s="10">
        <v>11726575201</v>
      </c>
      <c r="AH58" s="8">
        <v>11726575201</v>
      </c>
    </row>
    <row r="59" spans="1:34" x14ac:dyDescent="0.25">
      <c r="A59" s="5">
        <v>55</v>
      </c>
      <c r="B59" s="36" t="s">
        <v>156</v>
      </c>
      <c r="C59" s="5" t="s">
        <v>157</v>
      </c>
      <c r="D59" s="6">
        <v>35426</v>
      </c>
      <c r="E59" s="7">
        <v>4335844455000</v>
      </c>
      <c r="F59" s="7">
        <v>4648577041000</v>
      </c>
      <c r="G59" s="7">
        <v>4674206873000</v>
      </c>
      <c r="H59" s="8">
        <v>5436745210000</v>
      </c>
      <c r="I59" s="17">
        <v>5746998087000</v>
      </c>
      <c r="J59" s="7">
        <v>284246878000</v>
      </c>
      <c r="K59" s="7">
        <v>152425111000</v>
      </c>
      <c r="L59" s="16">
        <v>-38953042000</v>
      </c>
      <c r="M59" s="8">
        <v>60376485000</v>
      </c>
      <c r="N59" s="8">
        <v>26217657000</v>
      </c>
      <c r="Y59" s="7">
        <v>35820000000</v>
      </c>
      <c r="Z59" s="7">
        <v>49252500000</v>
      </c>
      <c r="AA59" s="7">
        <v>131000000</v>
      </c>
      <c r="AB59" s="21"/>
      <c r="AC59" s="9">
        <v>159600000</v>
      </c>
      <c r="AD59" s="10">
        <v>2238750000</v>
      </c>
      <c r="AE59" s="10">
        <v>2238750000</v>
      </c>
      <c r="AF59" s="10">
        <v>2238750000</v>
      </c>
      <c r="AG59" s="10">
        <v>2238750000</v>
      </c>
      <c r="AH59" s="9">
        <v>2238750000</v>
      </c>
    </row>
    <row r="60" spans="1:34" x14ac:dyDescent="0.25">
      <c r="A60" s="5">
        <v>56</v>
      </c>
      <c r="B60" s="5" t="s">
        <v>158</v>
      </c>
      <c r="C60" s="5" t="s">
        <v>159</v>
      </c>
      <c r="D60" s="6">
        <v>35426</v>
      </c>
      <c r="E60" s="7">
        <v>2187879000000</v>
      </c>
      <c r="F60" s="7">
        <v>2470793000000</v>
      </c>
      <c r="G60" s="9">
        <v>2592850000000</v>
      </c>
      <c r="H60" s="8">
        <v>2787550000000</v>
      </c>
      <c r="I60" s="17">
        <v>3002424000000</v>
      </c>
      <c r="J60" s="7">
        <v>25934000000</v>
      </c>
      <c r="K60" s="7">
        <v>79776000000</v>
      </c>
      <c r="L60" s="9">
        <v>28266000000</v>
      </c>
      <c r="M60" s="18">
        <v>-11777000000</v>
      </c>
      <c r="N60" s="18">
        <v>-218103000000</v>
      </c>
      <c r="Y60" s="38"/>
      <c r="Z60" s="38"/>
      <c r="AA60" s="39"/>
      <c r="AB60" s="21"/>
      <c r="AC60" s="21"/>
      <c r="AD60" s="10">
        <v>1339102579</v>
      </c>
      <c r="AE60" s="10">
        <v>1339102579</v>
      </c>
      <c r="AF60" s="9">
        <v>1339102579</v>
      </c>
      <c r="AG60" s="9">
        <v>1339102579</v>
      </c>
      <c r="AH60" s="9">
        <v>1339102579</v>
      </c>
    </row>
    <row r="61" spans="1:34" x14ac:dyDescent="0.25">
      <c r="A61" s="5">
        <v>57</v>
      </c>
      <c r="B61" s="5" t="s">
        <v>164</v>
      </c>
      <c r="C61" s="5" t="s">
        <v>165</v>
      </c>
      <c r="D61" s="6">
        <v>34414</v>
      </c>
      <c r="E61" s="14">
        <v>101190118</v>
      </c>
      <c r="F61" s="13">
        <v>105039965</v>
      </c>
      <c r="G61" s="13">
        <v>85099322</v>
      </c>
      <c r="H61" s="24">
        <v>89708022</v>
      </c>
      <c r="I61" s="24">
        <v>61550680</v>
      </c>
      <c r="J61" s="9">
        <v>3267396</v>
      </c>
      <c r="K61" s="16">
        <v>-9255126</v>
      </c>
      <c r="L61" s="16">
        <v>-21055729</v>
      </c>
      <c r="M61" s="24">
        <v>3619098</v>
      </c>
      <c r="N61" s="24">
        <v>37887425</v>
      </c>
      <c r="Y61" s="39"/>
      <c r="Z61" s="38"/>
      <c r="AA61" s="38"/>
      <c r="AB61" s="21"/>
      <c r="AC61" s="21"/>
      <c r="AD61" s="9">
        <v>3986916802</v>
      </c>
      <c r="AE61" s="9">
        <v>3986916802</v>
      </c>
      <c r="AF61" s="9">
        <v>3986916802</v>
      </c>
      <c r="AG61" s="9">
        <v>3986916802</v>
      </c>
      <c r="AH61" s="8">
        <v>4076916802</v>
      </c>
    </row>
    <row r="62" spans="1:34" x14ac:dyDescent="0.25">
      <c r="A62" s="5">
        <v>58</v>
      </c>
      <c r="B62" s="5" t="s">
        <v>166</v>
      </c>
      <c r="C62" s="5" t="s">
        <v>167</v>
      </c>
      <c r="D62" s="6">
        <v>36507</v>
      </c>
      <c r="E62" s="7">
        <v>923366433799</v>
      </c>
      <c r="F62" s="7">
        <v>895683018081</v>
      </c>
      <c r="G62" s="7">
        <v>394725543723</v>
      </c>
      <c r="H62" s="8">
        <v>282668964144</v>
      </c>
      <c r="I62" s="8">
        <v>252098033300</v>
      </c>
      <c r="J62" s="16">
        <v>-36477174515</v>
      </c>
      <c r="K62" s="16">
        <v>-51742898055</v>
      </c>
      <c r="L62" s="16">
        <v>-414398439415</v>
      </c>
      <c r="M62" s="18">
        <v>-126517856201</v>
      </c>
      <c r="N62" s="18">
        <v>-86345480189</v>
      </c>
      <c r="Y62" s="38"/>
      <c r="Z62" s="38"/>
      <c r="AA62" s="38"/>
      <c r="AB62" s="21"/>
      <c r="AC62" s="21"/>
      <c r="AD62" s="9">
        <v>1011774750</v>
      </c>
      <c r="AE62" s="9">
        <v>1011774750</v>
      </c>
      <c r="AF62" s="9">
        <v>1011774750</v>
      </c>
      <c r="AG62" s="9">
        <v>1011774750</v>
      </c>
      <c r="AH62" s="8">
        <v>1011774750</v>
      </c>
    </row>
    <row r="63" spans="1:34" x14ac:dyDescent="0.25">
      <c r="A63" s="5">
        <v>59</v>
      </c>
      <c r="B63" s="5" t="s">
        <v>168</v>
      </c>
      <c r="C63" s="5" t="s">
        <v>169</v>
      </c>
      <c r="D63" s="6">
        <v>40736</v>
      </c>
      <c r="E63" s="7">
        <v>526129315163</v>
      </c>
      <c r="F63" s="7">
        <v>925114449507</v>
      </c>
      <c r="G63" s="7">
        <v>953551967212</v>
      </c>
      <c r="H63" s="8">
        <v>1210809442028</v>
      </c>
      <c r="I63" s="8">
        <v>1568806950187</v>
      </c>
      <c r="J63" s="7">
        <v>42506275523</v>
      </c>
      <c r="K63" s="7">
        <v>78421735355</v>
      </c>
      <c r="L63" s="7">
        <v>65331041553</v>
      </c>
      <c r="M63" s="8">
        <v>100771009640</v>
      </c>
      <c r="N63" s="35">
        <v>65764485236</v>
      </c>
      <c r="Y63" s="7">
        <v>880000000</v>
      </c>
      <c r="Z63" s="7">
        <v>1210000000</v>
      </c>
      <c r="AA63" s="7">
        <v>1204787320</v>
      </c>
      <c r="AB63" s="8">
        <v>1626420150</v>
      </c>
      <c r="AC63" s="8">
        <v>2081817792</v>
      </c>
      <c r="AD63" s="9">
        <v>550000000</v>
      </c>
      <c r="AE63" s="9">
        <v>1100000000</v>
      </c>
      <c r="AF63" s="9">
        <v>1100000000</v>
      </c>
      <c r="AG63" s="9">
        <v>1316856020</v>
      </c>
      <c r="AH63" s="8">
        <v>1316856309</v>
      </c>
    </row>
    <row r="64" spans="1:34" x14ac:dyDescent="0.25">
      <c r="A64" s="5">
        <v>60</v>
      </c>
      <c r="B64" s="5" t="s">
        <v>170</v>
      </c>
      <c r="C64" s="5" t="s">
        <v>171</v>
      </c>
      <c r="D64" s="6">
        <v>34669</v>
      </c>
      <c r="E64" s="7">
        <v>10965118708784</v>
      </c>
      <c r="F64" s="7">
        <v>10751992944302</v>
      </c>
      <c r="G64" s="9">
        <v>11513044288721</v>
      </c>
      <c r="H64" s="8">
        <v>13302224000000</v>
      </c>
      <c r="I64" s="8">
        <v>12877846000000</v>
      </c>
      <c r="J64" s="7">
        <v>1405367771073</v>
      </c>
      <c r="K64" s="7">
        <v>968833390696</v>
      </c>
      <c r="L64" s="9">
        <v>353299343980</v>
      </c>
      <c r="M64" s="8">
        <v>617427000000</v>
      </c>
      <c r="N64" s="8">
        <v>119926000000</v>
      </c>
      <c r="Y64" s="7">
        <v>401417983494</v>
      </c>
      <c r="Z64" s="7">
        <v>569914421010</v>
      </c>
      <c r="AA64" s="9">
        <v>455931536808</v>
      </c>
      <c r="AB64" s="9">
        <v>173452000000</v>
      </c>
      <c r="AC64" s="9">
        <v>294869000000</v>
      </c>
      <c r="AD64" s="9">
        <v>2477888787</v>
      </c>
      <c r="AE64" s="9">
        <v>2477888787</v>
      </c>
      <c r="AF64" s="9">
        <v>2477888787</v>
      </c>
      <c r="AG64" s="9">
        <v>2477888787</v>
      </c>
      <c r="AH64" s="9">
        <v>2477888787</v>
      </c>
    </row>
    <row r="65" spans="1:34" x14ac:dyDescent="0.25">
      <c r="A65" s="5">
        <v>61</v>
      </c>
      <c r="B65" s="5" t="s">
        <v>172</v>
      </c>
      <c r="C65" s="5" t="s">
        <v>173</v>
      </c>
      <c r="D65" s="6">
        <v>33070</v>
      </c>
      <c r="E65" s="13">
        <v>8751013000</v>
      </c>
      <c r="F65" s="13">
        <v>8502050000</v>
      </c>
      <c r="G65" s="14">
        <v>8496277000</v>
      </c>
      <c r="H65" s="40">
        <v>13302224</v>
      </c>
      <c r="I65" s="40">
        <v>9640721000</v>
      </c>
      <c r="J65" s="7">
        <v>274390000</v>
      </c>
      <c r="K65" s="14">
        <v>294041000</v>
      </c>
      <c r="L65" s="9">
        <v>593101000</v>
      </c>
      <c r="M65" s="40">
        <v>527039000</v>
      </c>
      <c r="N65" s="40">
        <v>857462000</v>
      </c>
      <c r="Y65" s="7">
        <v>39216000</v>
      </c>
      <c r="Z65" s="7">
        <v>38033000</v>
      </c>
      <c r="AA65" s="9">
        <v>18691000</v>
      </c>
      <c r="AB65" s="13">
        <v>18691000</v>
      </c>
      <c r="AC65" s="13">
        <v>18877000</v>
      </c>
      <c r="AD65" s="9">
        <v>5470982941</v>
      </c>
      <c r="AE65" s="9">
        <v>5470982941</v>
      </c>
      <c r="AF65" s="9">
        <v>5470982941</v>
      </c>
      <c r="AG65" s="9">
        <v>5470982941</v>
      </c>
      <c r="AH65" s="9">
        <v>5470982941</v>
      </c>
    </row>
    <row r="66" spans="1:34" x14ac:dyDescent="0.25">
      <c r="A66" s="5">
        <v>62</v>
      </c>
      <c r="B66" s="5" t="s">
        <v>174</v>
      </c>
      <c r="C66" s="5" t="s">
        <v>175</v>
      </c>
      <c r="D66" s="6">
        <v>33042</v>
      </c>
      <c r="E66" s="13">
        <v>411225000</v>
      </c>
      <c r="F66" s="13">
        <v>433447000</v>
      </c>
      <c r="G66" s="13">
        <v>429841000</v>
      </c>
      <c r="H66" s="24">
        <v>474684000</v>
      </c>
      <c r="I66" s="24">
        <v>467802000</v>
      </c>
      <c r="J66" s="16">
        <v>-629000</v>
      </c>
      <c r="K66" s="16">
        <v>-19460000</v>
      </c>
      <c r="L66" s="13">
        <v>3749000</v>
      </c>
      <c r="M66" s="24">
        <v>618000</v>
      </c>
      <c r="N66" s="24">
        <v>-20489000</v>
      </c>
      <c r="Y66" s="38"/>
      <c r="Z66" s="38"/>
      <c r="AA66" s="38"/>
      <c r="AB66" s="21"/>
      <c r="AC66" s="21"/>
      <c r="AD66" s="9">
        <v>1388883283</v>
      </c>
      <c r="AE66" s="9">
        <v>1388883283</v>
      </c>
      <c r="AF66" s="9">
        <v>1388883283</v>
      </c>
      <c r="AG66" s="9">
        <v>1388883283</v>
      </c>
      <c r="AH66" s="9">
        <v>1388883283</v>
      </c>
    </row>
    <row r="67" spans="1:34" x14ac:dyDescent="0.25">
      <c r="A67" s="5">
        <v>63</v>
      </c>
      <c r="B67" s="5" t="s">
        <v>178</v>
      </c>
      <c r="C67" s="5" t="s">
        <v>179</v>
      </c>
      <c r="D67" s="6">
        <v>35275</v>
      </c>
      <c r="E67" s="7">
        <v>1391416464512</v>
      </c>
      <c r="F67" s="7">
        <v>1253650408375</v>
      </c>
      <c r="G67" s="7">
        <v>1245707236962</v>
      </c>
      <c r="H67" s="7">
        <v>1353868759222</v>
      </c>
      <c r="I67" s="7">
        <v>1289211450108</v>
      </c>
      <c r="J67" s="7">
        <v>76761902211</v>
      </c>
      <c r="K67" s="7">
        <v>64090903507</v>
      </c>
      <c r="L67" s="7">
        <v>60178290460</v>
      </c>
      <c r="M67" s="7">
        <v>69347927958</v>
      </c>
      <c r="N67" s="7">
        <v>76150458446</v>
      </c>
      <c r="Y67" s="38"/>
      <c r="Z67" s="38"/>
      <c r="AA67" s="38"/>
      <c r="AB67" s="9">
        <v>10125000000</v>
      </c>
      <c r="AC67" s="9">
        <v>40500000000</v>
      </c>
      <c r="AD67" s="10">
        <v>405000000</v>
      </c>
      <c r="AE67" s="10">
        <v>405000000</v>
      </c>
      <c r="AF67" s="10">
        <v>405000000</v>
      </c>
      <c r="AG67" s="10">
        <v>405000000</v>
      </c>
      <c r="AH67" s="10">
        <v>405000000</v>
      </c>
    </row>
    <row r="68" spans="1:34" x14ac:dyDescent="0.25">
      <c r="A68" s="5">
        <v>64</v>
      </c>
      <c r="B68" s="5" t="s">
        <v>180</v>
      </c>
      <c r="C68" s="5" t="s">
        <v>181</v>
      </c>
      <c r="D68" s="6">
        <v>34654</v>
      </c>
      <c r="E68" s="7">
        <v>2282845632924</v>
      </c>
      <c r="F68" s="7">
        <v>2372130750775</v>
      </c>
      <c r="G68" s="7">
        <v>2316065006133</v>
      </c>
      <c r="H68" s="8">
        <v>2746153295147</v>
      </c>
      <c r="I68" s="8">
        <v>3239231499990</v>
      </c>
      <c r="J68" s="7">
        <v>82232722269</v>
      </c>
      <c r="K68" s="7">
        <v>131005670940</v>
      </c>
      <c r="L68" s="7">
        <v>162524650713</v>
      </c>
      <c r="M68" s="8">
        <v>294325560054</v>
      </c>
      <c r="N68" s="8">
        <v>336138349494</v>
      </c>
      <c r="Y68" s="38"/>
      <c r="Z68" s="38"/>
      <c r="AA68" s="38"/>
      <c r="AB68" s="9">
        <v>31718564370</v>
      </c>
      <c r="AC68" s="21"/>
      <c r="AD68" s="10">
        <v>2114570958</v>
      </c>
      <c r="AE68" s="10">
        <v>2114570958</v>
      </c>
      <c r="AF68" s="10">
        <v>2114570958</v>
      </c>
      <c r="AG68" s="10">
        <v>2791233198</v>
      </c>
      <c r="AH68" s="8">
        <v>3154092216</v>
      </c>
    </row>
    <row r="69" spans="1:34" x14ac:dyDescent="0.25">
      <c r="A69" s="5">
        <v>65</v>
      </c>
      <c r="B69" s="5" t="s">
        <v>182</v>
      </c>
      <c r="C69" s="5" t="s">
        <v>183</v>
      </c>
      <c r="D69" s="6">
        <v>43259</v>
      </c>
      <c r="E69" s="7">
        <v>550572793185</v>
      </c>
      <c r="F69" s="7">
        <v>605688084522</v>
      </c>
      <c r="G69" s="7">
        <v>640935546558</v>
      </c>
      <c r="H69" s="7">
        <v>684897530877</v>
      </c>
      <c r="I69" s="7">
        <v>658095214477</v>
      </c>
      <c r="J69" s="7">
        <v>2458835754</v>
      </c>
      <c r="K69" s="7">
        <v>3102078183</v>
      </c>
      <c r="L69" s="7">
        <v>2145671792</v>
      </c>
      <c r="M69" s="16">
        <v>-70292205107</v>
      </c>
      <c r="N69" s="16">
        <v>-58055548884</v>
      </c>
      <c r="Y69" s="38"/>
      <c r="Z69" s="38"/>
      <c r="AA69" s="38"/>
      <c r="AB69" s="38"/>
      <c r="AC69" s="38"/>
      <c r="AD69" s="10">
        <v>3019200000</v>
      </c>
      <c r="AE69" s="10">
        <v>3019200000</v>
      </c>
      <c r="AF69" s="10">
        <v>3019200000</v>
      </c>
      <c r="AG69" s="10">
        <v>3019200000</v>
      </c>
      <c r="AH69" s="10">
        <v>3019200000</v>
      </c>
    </row>
    <row r="70" spans="1:34" x14ac:dyDescent="0.25">
      <c r="A70" s="5">
        <v>66</v>
      </c>
      <c r="B70" s="5" t="s">
        <v>184</v>
      </c>
      <c r="C70" s="5" t="s">
        <v>185</v>
      </c>
      <c r="D70" s="6">
        <v>32966</v>
      </c>
      <c r="E70" s="7">
        <v>2965136000</v>
      </c>
      <c r="F70" s="13">
        <v>3062331000</v>
      </c>
      <c r="G70" s="14">
        <v>3073164000</v>
      </c>
      <c r="H70" s="40">
        <v>3161834000</v>
      </c>
      <c r="I70" s="40">
        <v>3545180000</v>
      </c>
      <c r="J70" s="7">
        <v>245709000</v>
      </c>
      <c r="K70" s="13">
        <v>166516000</v>
      </c>
      <c r="L70" s="14">
        <v>148334000</v>
      </c>
      <c r="M70" s="40">
        <v>248362000</v>
      </c>
      <c r="N70" s="8">
        <v>463345000</v>
      </c>
      <c r="Y70" s="7">
        <v>6695000</v>
      </c>
      <c r="Z70" s="7">
        <v>10821000</v>
      </c>
      <c r="AA70" s="9">
        <v>5318000</v>
      </c>
      <c r="AB70" s="9">
        <v>5371000</v>
      </c>
      <c r="AC70" s="9">
        <v>5351000</v>
      </c>
      <c r="AD70" s="9">
        <v>3113223570</v>
      </c>
      <c r="AE70" s="9">
        <v>3113223570</v>
      </c>
      <c r="AF70" s="9">
        <v>3113223570</v>
      </c>
      <c r="AG70" s="9">
        <v>3113223570</v>
      </c>
      <c r="AH70" s="9">
        <v>3113223570</v>
      </c>
    </row>
    <row r="71" spans="1:34" x14ac:dyDescent="0.25">
      <c r="A71" s="5">
        <v>67</v>
      </c>
      <c r="B71" s="5" t="s">
        <v>188</v>
      </c>
      <c r="C71" s="5" t="s">
        <v>189</v>
      </c>
      <c r="D71" s="6">
        <v>32860</v>
      </c>
      <c r="E71" s="9">
        <v>534676677468</v>
      </c>
      <c r="F71" s="7">
        <v>467727877054</v>
      </c>
      <c r="G71" s="7">
        <v>486076522777</v>
      </c>
      <c r="H71" s="8">
        <v>540054244827</v>
      </c>
      <c r="I71" s="8">
        <v>464408648410</v>
      </c>
      <c r="J71" s="9">
        <v>4470170253</v>
      </c>
      <c r="K71" s="16">
        <v>-4223774106</v>
      </c>
      <c r="L71" s="16">
        <v>-6805143468</v>
      </c>
      <c r="M71" s="8">
        <v>742939617</v>
      </c>
      <c r="N71" s="8">
        <v>-1192790627</v>
      </c>
      <c r="Y71" s="39"/>
      <c r="Z71" s="38"/>
      <c r="AA71" s="38"/>
      <c r="AB71" s="21"/>
      <c r="AC71" s="21"/>
      <c r="AD71" s="9">
        <v>1438370465</v>
      </c>
      <c r="AE71" s="9">
        <v>1438370465</v>
      </c>
      <c r="AF71" s="9">
        <v>1438370465</v>
      </c>
      <c r="AG71" s="9">
        <v>1438370465</v>
      </c>
      <c r="AH71" s="9">
        <v>1438370465</v>
      </c>
    </row>
    <row r="72" spans="1:34" x14ac:dyDescent="0.25">
      <c r="A72" s="5">
        <v>68</v>
      </c>
      <c r="B72" s="5" t="s">
        <v>192</v>
      </c>
      <c r="C72" s="5" t="s">
        <v>193</v>
      </c>
      <c r="D72" s="6">
        <v>42905</v>
      </c>
      <c r="E72" s="7">
        <v>3548239174625</v>
      </c>
      <c r="F72" s="7">
        <v>4084828309213</v>
      </c>
      <c r="G72" s="7">
        <v>5127760608990</v>
      </c>
      <c r="H72" s="8">
        <v>5575135591236</v>
      </c>
      <c r="I72" s="8">
        <v>4798796482352</v>
      </c>
      <c r="J72" s="7">
        <v>1585148671</v>
      </c>
      <c r="K72" s="7">
        <v>14671516876</v>
      </c>
      <c r="L72" s="7">
        <v>197498349769</v>
      </c>
      <c r="M72" s="8">
        <v>81527139693</v>
      </c>
      <c r="N72" s="8">
        <v>-29659917082</v>
      </c>
      <c r="Y72" s="7">
        <v>132684548160</v>
      </c>
      <c r="Z72" s="38"/>
      <c r="AA72" s="38"/>
      <c r="AB72" s="9">
        <v>98748703876</v>
      </c>
      <c r="AC72" s="9">
        <v>40748217240</v>
      </c>
      <c r="AD72" s="10">
        <v>7682950000</v>
      </c>
      <c r="AE72" s="10">
        <v>8215366379</v>
      </c>
      <c r="AF72" s="10">
        <v>8215366379</v>
      </c>
      <c r="AG72" s="25">
        <v>8215366379</v>
      </c>
      <c r="AH72" s="10">
        <v>8215366379</v>
      </c>
    </row>
    <row r="73" spans="1:34" x14ac:dyDescent="0.25">
      <c r="A73" s="5">
        <v>69</v>
      </c>
      <c r="B73" s="5" t="s">
        <v>198</v>
      </c>
      <c r="C73" s="5" t="s">
        <v>199</v>
      </c>
      <c r="D73" s="6">
        <v>43018</v>
      </c>
      <c r="E73" s="13">
        <v>742548016</v>
      </c>
      <c r="F73" s="13">
        <v>756390458</v>
      </c>
      <c r="G73" s="13">
        <v>520855088</v>
      </c>
      <c r="H73" s="24">
        <v>397415973</v>
      </c>
      <c r="I73" s="24">
        <v>390658710</v>
      </c>
      <c r="J73" s="7">
        <v>30544859</v>
      </c>
      <c r="K73" s="16">
        <v>-54013803</v>
      </c>
      <c r="L73" s="16">
        <v>-328760804</v>
      </c>
      <c r="M73" s="18">
        <v>-127351803</v>
      </c>
      <c r="N73" s="24">
        <v>3628331</v>
      </c>
      <c r="Y73" s="7">
        <v>10189270</v>
      </c>
      <c r="Z73" s="7">
        <v>6108972</v>
      </c>
      <c r="AA73" s="38"/>
      <c r="AB73" s="38"/>
      <c r="AC73" s="21"/>
      <c r="AD73" s="10">
        <v>28233511500</v>
      </c>
      <c r="AE73" s="10">
        <v>28233511500</v>
      </c>
      <c r="AF73" s="10">
        <v>28233511500</v>
      </c>
      <c r="AG73" s="10">
        <v>28233511500</v>
      </c>
      <c r="AH73" s="10">
        <v>28233511500</v>
      </c>
    </row>
    <row r="74" spans="1:34" x14ac:dyDescent="0.25">
      <c r="A74" s="5">
        <v>70</v>
      </c>
      <c r="B74" s="5" t="s">
        <v>208</v>
      </c>
      <c r="C74" s="5" t="s">
        <v>209</v>
      </c>
      <c r="D74" s="6">
        <v>32967</v>
      </c>
      <c r="E74" s="7">
        <v>344711000000000</v>
      </c>
      <c r="F74" s="7">
        <v>351958000000000</v>
      </c>
      <c r="G74" s="9">
        <v>338203000000000</v>
      </c>
      <c r="H74" s="8">
        <v>367311000000000</v>
      </c>
      <c r="I74" s="8">
        <v>413297000000000</v>
      </c>
      <c r="J74" s="7">
        <v>27372000000000</v>
      </c>
      <c r="K74" s="7">
        <v>26621000000000</v>
      </c>
      <c r="L74" s="9">
        <v>18571000000000</v>
      </c>
      <c r="M74" s="8">
        <v>25586000000000</v>
      </c>
      <c r="N74" s="8">
        <v>40420000000000</v>
      </c>
      <c r="Y74" s="7">
        <v>10202000000000</v>
      </c>
      <c r="Z74" s="7">
        <v>11235000000000</v>
      </c>
      <c r="AA74" s="9">
        <v>9423000000000</v>
      </c>
      <c r="AB74" s="9">
        <v>7123000000000</v>
      </c>
      <c r="AC74" s="9">
        <v>15302000000000</v>
      </c>
      <c r="AD74" s="9">
        <v>40483553140</v>
      </c>
      <c r="AE74" s="9">
        <v>40483553140</v>
      </c>
      <c r="AF74" s="9">
        <v>40483553140</v>
      </c>
      <c r="AG74" s="9">
        <v>40483553140</v>
      </c>
      <c r="AH74" s="9">
        <v>40483553140</v>
      </c>
    </row>
    <row r="75" spans="1:34" x14ac:dyDescent="0.25">
      <c r="A75" s="5">
        <v>71</v>
      </c>
      <c r="B75" s="5" t="s">
        <v>210</v>
      </c>
      <c r="C75" s="5" t="s">
        <v>211</v>
      </c>
      <c r="D75" s="6">
        <v>35961</v>
      </c>
      <c r="E75" s="7">
        <v>15889648000000</v>
      </c>
      <c r="F75" s="7">
        <v>16015709000000</v>
      </c>
      <c r="G75" s="7">
        <v>15180094000000</v>
      </c>
      <c r="H75" s="8">
        <v>16947148000000</v>
      </c>
      <c r="I75" s="17">
        <v>18521261000000</v>
      </c>
      <c r="J75" s="7">
        <v>680801000000</v>
      </c>
      <c r="K75" s="7">
        <v>816971000000</v>
      </c>
      <c r="L75" s="16">
        <v>-37864000000</v>
      </c>
      <c r="M75" s="8">
        <v>634931000000</v>
      </c>
      <c r="N75" s="17">
        <v>1474280000000</v>
      </c>
      <c r="Y75" s="7">
        <v>265965000000</v>
      </c>
      <c r="Z75" s="7">
        <v>300103000000</v>
      </c>
      <c r="AA75" s="7">
        <v>241359000000</v>
      </c>
      <c r="AB75" s="9">
        <f>82951000000+53017000000</f>
        <v>135968000000</v>
      </c>
      <c r="AC75" s="9">
        <f>220926000000+106034000000</f>
        <v>326960000000</v>
      </c>
      <c r="AD75" s="9">
        <v>4819733000</v>
      </c>
      <c r="AE75" s="9">
        <v>4819733000</v>
      </c>
      <c r="AF75" s="9">
        <v>4819733000</v>
      </c>
      <c r="AG75" s="9">
        <v>4819733000</v>
      </c>
      <c r="AH75" s="9">
        <v>4819733000</v>
      </c>
    </row>
    <row r="76" spans="1:34" x14ac:dyDescent="0.25">
      <c r="A76" s="5">
        <v>72</v>
      </c>
      <c r="B76" s="5" t="s">
        <v>212</v>
      </c>
      <c r="C76" s="5" t="s">
        <v>213</v>
      </c>
      <c r="D76" s="6">
        <v>42192</v>
      </c>
      <c r="E76" s="7">
        <v>1312376999120</v>
      </c>
      <c r="F76" s="7">
        <v>1265912330625</v>
      </c>
      <c r="G76" s="7">
        <v>1119076870425</v>
      </c>
      <c r="H76" s="8">
        <v>1368411097483</v>
      </c>
      <c r="I76" s="8">
        <v>1405279687983</v>
      </c>
      <c r="J76" s="7">
        <v>75738099614</v>
      </c>
      <c r="K76" s="7">
        <v>51492605525</v>
      </c>
      <c r="L76" s="16">
        <v>-57388292245</v>
      </c>
      <c r="M76" s="8">
        <v>82749100903</v>
      </c>
      <c r="N76" s="8">
        <v>57466752275</v>
      </c>
      <c r="Y76" s="7">
        <v>75000000000</v>
      </c>
      <c r="Z76" s="7">
        <v>28125000000</v>
      </c>
      <c r="AA76" s="38"/>
      <c r="AB76" s="21"/>
      <c r="AC76" s="9">
        <v>30937500000</v>
      </c>
      <c r="AD76" s="9">
        <v>2343750000</v>
      </c>
      <c r="AE76" s="9">
        <v>2343750000</v>
      </c>
      <c r="AF76" s="9">
        <v>2343750000</v>
      </c>
      <c r="AG76" s="9">
        <v>2343750000</v>
      </c>
      <c r="AH76" s="9">
        <v>2343750000</v>
      </c>
    </row>
    <row r="77" spans="1:34" x14ac:dyDescent="0.25">
      <c r="A77" s="5">
        <v>73</v>
      </c>
      <c r="B77" s="5" t="s">
        <v>214</v>
      </c>
      <c r="C77" s="5" t="s">
        <v>215</v>
      </c>
      <c r="D77" s="6">
        <v>33121</v>
      </c>
      <c r="E77" s="13">
        <v>296400018</v>
      </c>
      <c r="F77" s="13">
        <v>279484828</v>
      </c>
      <c r="G77" s="14">
        <v>263740526</v>
      </c>
      <c r="H77" s="40">
        <v>289992314</v>
      </c>
      <c r="I77" s="40">
        <v>290896966</v>
      </c>
      <c r="J77" s="13">
        <v>19377050</v>
      </c>
      <c r="K77" s="13">
        <v>14582693</v>
      </c>
      <c r="L77" s="22">
        <v>-4045417</v>
      </c>
      <c r="M77" s="40">
        <v>26438801</v>
      </c>
      <c r="N77" s="40">
        <v>34919701</v>
      </c>
      <c r="Y77" s="7">
        <f>18937583+3308448</f>
        <v>22246031</v>
      </c>
      <c r="Z77" s="7">
        <v>17678347</v>
      </c>
      <c r="AA77" s="9">
        <v>7707082</v>
      </c>
      <c r="AB77" s="13">
        <v>18942505</v>
      </c>
      <c r="AC77" s="13">
        <v>14926122</v>
      </c>
      <c r="AD77" s="9">
        <v>450000000</v>
      </c>
      <c r="AE77" s="9">
        <v>450000000</v>
      </c>
      <c r="AF77" s="9">
        <v>450000000</v>
      </c>
      <c r="AG77" s="9">
        <v>450000000</v>
      </c>
      <c r="AH77" s="9">
        <v>450000000</v>
      </c>
    </row>
    <row r="78" spans="1:34" x14ac:dyDescent="0.25">
      <c r="A78" s="5">
        <v>74</v>
      </c>
      <c r="B78" s="5" t="s">
        <v>218</v>
      </c>
      <c r="C78" s="5" t="s">
        <v>219</v>
      </c>
      <c r="D78" s="6">
        <v>29556</v>
      </c>
      <c r="E78" s="13">
        <v>126016356</v>
      </c>
      <c r="F78" s="13">
        <v>120360141</v>
      </c>
      <c r="G78" s="13">
        <v>116510444</v>
      </c>
      <c r="H78" s="24">
        <v>119934604</v>
      </c>
      <c r="I78" s="24">
        <v>124391220</v>
      </c>
      <c r="J78" s="13">
        <v>505306</v>
      </c>
      <c r="K78" s="16">
        <v>-1196792</v>
      </c>
      <c r="L78" s="16">
        <v>-7111272</v>
      </c>
      <c r="M78" s="24">
        <v>2434023</v>
      </c>
      <c r="N78" s="24">
        <v>-3114914</v>
      </c>
      <c r="Y78" s="38"/>
      <c r="Z78" s="38"/>
      <c r="AA78" s="38"/>
      <c r="AB78" s="21"/>
      <c r="AC78" s="21"/>
      <c r="AD78" s="14">
        <v>410000000</v>
      </c>
      <c r="AE78" s="14">
        <v>410000000</v>
      </c>
      <c r="AF78" s="14">
        <v>410000000</v>
      </c>
      <c r="AG78" s="14">
        <v>410000000</v>
      </c>
      <c r="AH78" s="14">
        <v>410000000</v>
      </c>
    </row>
    <row r="79" spans="1:34" x14ac:dyDescent="0.25">
      <c r="A79" s="5">
        <v>75</v>
      </c>
      <c r="B79" s="5" t="s">
        <v>220</v>
      </c>
      <c r="C79" s="5" t="s">
        <v>221</v>
      </c>
      <c r="D79" s="6">
        <v>33001</v>
      </c>
      <c r="E79" s="7">
        <v>19711478000000</v>
      </c>
      <c r="F79" s="7">
        <v>18856075000000</v>
      </c>
      <c r="G79" s="7">
        <v>17781660000000</v>
      </c>
      <c r="H79" s="8">
        <v>18400697000000</v>
      </c>
      <c r="I79" s="8">
        <v>19016012000000</v>
      </c>
      <c r="J79" s="16">
        <v>-74557000000</v>
      </c>
      <c r="K79" s="7">
        <v>269107000000</v>
      </c>
      <c r="L79" s="7">
        <v>318914000000</v>
      </c>
      <c r="M79" s="8">
        <v>74027000000</v>
      </c>
      <c r="N79" s="8">
        <v>-190572000000</v>
      </c>
      <c r="Y79" s="38"/>
      <c r="Z79" s="38"/>
      <c r="AA79" s="38"/>
      <c r="AB79" s="9">
        <v>34848000000</v>
      </c>
      <c r="AC79" s="21"/>
      <c r="AD79" s="9">
        <v>3484800000</v>
      </c>
      <c r="AE79" s="9">
        <v>3484800000</v>
      </c>
      <c r="AF79" s="9">
        <v>3484800000</v>
      </c>
      <c r="AG79" s="9">
        <v>3484800000</v>
      </c>
      <c r="AH79" s="8">
        <v>3484408600</v>
      </c>
    </row>
    <row r="80" spans="1:34" x14ac:dyDescent="0.25">
      <c r="A80" s="5">
        <v>76</v>
      </c>
      <c r="B80" s="5" t="s">
        <v>222</v>
      </c>
      <c r="C80" s="5" t="s">
        <v>223</v>
      </c>
      <c r="D80" s="6">
        <v>34227</v>
      </c>
      <c r="E80" s="7">
        <v>40955996273862</v>
      </c>
      <c r="F80" s="7">
        <v>44697971458665</v>
      </c>
      <c r="G80" s="9">
        <v>48408700495082</v>
      </c>
      <c r="H80" s="17">
        <v>51023608000000</v>
      </c>
      <c r="I80" s="8">
        <v>57445068000000</v>
      </c>
      <c r="J80" s="7">
        <v>98774620340</v>
      </c>
      <c r="K80" s="7">
        <v>121769771786</v>
      </c>
      <c r="L80" s="22">
        <v>-675710445502</v>
      </c>
      <c r="M80" s="23">
        <v>-255340000000</v>
      </c>
      <c r="N80" s="8">
        <v>562551000000</v>
      </c>
      <c r="Y80" s="7">
        <v>78647403077</v>
      </c>
      <c r="Z80" s="7">
        <v>34773260147</v>
      </c>
      <c r="AA80" s="9">
        <v>35520332061</v>
      </c>
      <c r="AB80" s="9">
        <v>179002000000</v>
      </c>
      <c r="AC80" s="9">
        <v>32931000000</v>
      </c>
      <c r="AD80" s="9">
        <v>2765278412</v>
      </c>
      <c r="AE80" s="9">
        <v>2765278412</v>
      </c>
      <c r="AF80" s="9">
        <v>3994291039</v>
      </c>
      <c r="AG80" s="9">
        <v>3994291039</v>
      </c>
      <c r="AH80" s="9">
        <v>3994291039</v>
      </c>
    </row>
    <row r="81" spans="1:34" x14ac:dyDescent="0.25">
      <c r="A81" s="5">
        <v>77</v>
      </c>
      <c r="B81" s="5" t="s">
        <v>224</v>
      </c>
      <c r="C81" s="5" t="s">
        <v>225</v>
      </c>
      <c r="D81" s="6">
        <v>33095</v>
      </c>
      <c r="E81" s="7">
        <v>2482337567967</v>
      </c>
      <c r="F81" s="7">
        <v>2834422741208</v>
      </c>
      <c r="G81" s="7">
        <v>2826260084696</v>
      </c>
      <c r="H81" s="8">
        <v>3538818568392</v>
      </c>
      <c r="I81" s="8">
        <v>3882465049707</v>
      </c>
      <c r="J81" s="7">
        <v>110686883366</v>
      </c>
      <c r="K81" s="7">
        <v>101465560351</v>
      </c>
      <c r="L81" s="7">
        <v>58751009229</v>
      </c>
      <c r="M81" s="8">
        <v>180680527603</v>
      </c>
      <c r="N81" s="8">
        <v>228542263599</v>
      </c>
      <c r="Y81" s="7">
        <v>65624971000</v>
      </c>
      <c r="Z81" s="7">
        <v>65624971000</v>
      </c>
      <c r="AA81" s="7">
        <v>65624971000</v>
      </c>
      <c r="AB81" s="9">
        <v>55781225350</v>
      </c>
      <c r="AC81" s="9">
        <v>49218728250</v>
      </c>
      <c r="AD81" s="9">
        <v>656249710</v>
      </c>
      <c r="AE81" s="9">
        <v>656249710</v>
      </c>
      <c r="AF81" s="9">
        <v>656249710</v>
      </c>
      <c r="AG81" s="9">
        <v>656249710</v>
      </c>
      <c r="AH81" s="9">
        <v>656249710</v>
      </c>
    </row>
    <row r="82" spans="1:34" x14ac:dyDescent="0.25">
      <c r="A82" s="5">
        <v>78</v>
      </c>
      <c r="B82" s="5" t="s">
        <v>228</v>
      </c>
      <c r="C82" s="5" t="s">
        <v>229</v>
      </c>
      <c r="D82" s="6">
        <v>32909</v>
      </c>
      <c r="E82" s="7">
        <v>301596448818</v>
      </c>
      <c r="F82" s="7">
        <v>324916202729</v>
      </c>
      <c r="G82" s="7">
        <v>337792393010</v>
      </c>
      <c r="H82" s="8">
        <v>310880071852</v>
      </c>
      <c r="I82" s="8">
        <v>337442939231</v>
      </c>
      <c r="J82" s="7">
        <v>32755830588</v>
      </c>
      <c r="K82" s="7">
        <v>29918519921</v>
      </c>
      <c r="L82" s="7">
        <v>6732478855</v>
      </c>
      <c r="M82" s="8">
        <v>23408672795</v>
      </c>
      <c r="N82" s="8">
        <v>26673231906</v>
      </c>
      <c r="Y82" s="38"/>
      <c r="Z82" s="38"/>
      <c r="AA82" s="38"/>
      <c r="AB82" s="9">
        <v>49725000000</v>
      </c>
      <c r="AC82" s="9">
        <v>6375000000</v>
      </c>
      <c r="AD82" s="9">
        <v>106250000</v>
      </c>
      <c r="AE82" s="9">
        <v>425000000</v>
      </c>
      <c r="AF82" s="9">
        <v>425000000</v>
      </c>
      <c r="AG82" s="9">
        <v>425000000</v>
      </c>
      <c r="AH82" s="9">
        <v>425000000</v>
      </c>
    </row>
    <row r="83" spans="1:34" x14ac:dyDescent="0.25">
      <c r="A83" s="5">
        <v>79</v>
      </c>
      <c r="B83" s="5" t="s">
        <v>230</v>
      </c>
      <c r="C83" s="5" t="s">
        <v>231</v>
      </c>
      <c r="D83" s="6">
        <v>38512</v>
      </c>
      <c r="E83" s="13">
        <v>643361511</v>
      </c>
      <c r="F83" s="13">
        <v>451103384</v>
      </c>
      <c r="G83" s="13">
        <v>447155090</v>
      </c>
      <c r="H83" s="24">
        <v>522383562</v>
      </c>
      <c r="I83" s="24">
        <v>462933465</v>
      </c>
      <c r="J83" s="16">
        <v>-17908495</v>
      </c>
      <c r="K83" s="16">
        <v>-11188992</v>
      </c>
      <c r="L83" s="13">
        <v>33160574</v>
      </c>
      <c r="M83" s="24">
        <v>50302117</v>
      </c>
      <c r="N83" s="24">
        <v>52912831</v>
      </c>
      <c r="Y83" s="38"/>
      <c r="Z83" s="38"/>
      <c r="AA83" s="38"/>
      <c r="AB83" s="21"/>
      <c r="AC83" s="21"/>
      <c r="AD83" s="9">
        <v>9182946945</v>
      </c>
      <c r="AE83" s="9">
        <v>9182946945</v>
      </c>
      <c r="AF83" s="9">
        <v>9182946945</v>
      </c>
      <c r="AG83" s="25">
        <v>9182946945</v>
      </c>
      <c r="AH83" s="25">
        <v>9182946945</v>
      </c>
    </row>
    <row r="84" spans="1:34" x14ac:dyDescent="0.25">
      <c r="A84" s="5">
        <v>80</v>
      </c>
      <c r="B84" s="5" t="s">
        <v>234</v>
      </c>
      <c r="C84" s="5" t="s">
        <v>235</v>
      </c>
      <c r="D84" s="6">
        <v>33066</v>
      </c>
      <c r="E84" s="7">
        <v>1635543021515</v>
      </c>
      <c r="F84" s="7">
        <v>1657127269798</v>
      </c>
      <c r="G84" s="7">
        <v>1668922580521</v>
      </c>
      <c r="H84" s="7">
        <v>1637794655748</v>
      </c>
      <c r="I84" s="7">
        <v>1576913211157</v>
      </c>
      <c r="J84" s="7">
        <v>6357160962</v>
      </c>
      <c r="K84" s="16">
        <v>-43624116829</v>
      </c>
      <c r="L84" s="16">
        <v>-4948479351</v>
      </c>
      <c r="M84" s="16">
        <v>-710084072</v>
      </c>
      <c r="N84" s="16">
        <v>-90614186434</v>
      </c>
      <c r="Y84" s="38"/>
      <c r="Z84" s="38"/>
      <c r="AA84" s="38"/>
      <c r="AB84" s="21"/>
      <c r="AC84" s="21"/>
      <c r="AD84" s="9">
        <v>701043478</v>
      </c>
      <c r="AE84" s="9">
        <v>701043478</v>
      </c>
      <c r="AF84" s="9">
        <v>701043478</v>
      </c>
      <c r="AG84" s="9">
        <v>701043478</v>
      </c>
      <c r="AH84" s="9">
        <v>701043478</v>
      </c>
    </row>
    <row r="85" spans="1:34" x14ac:dyDescent="0.25">
      <c r="A85" s="5">
        <v>81</v>
      </c>
      <c r="B85" s="5" t="s">
        <v>236</v>
      </c>
      <c r="C85" s="5" t="s">
        <v>237</v>
      </c>
      <c r="D85" s="6">
        <v>35317</v>
      </c>
      <c r="E85" s="7">
        <v>2801203000000</v>
      </c>
      <c r="F85" s="7">
        <v>3106981000000</v>
      </c>
      <c r="G85" s="7">
        <v>3375526000000</v>
      </c>
      <c r="H85" s="17">
        <v>3868862000000</v>
      </c>
      <c r="I85" s="17">
        <v>4379577000000</v>
      </c>
      <c r="J85" s="7">
        <v>63355000000</v>
      </c>
      <c r="K85" s="7">
        <v>638676000000</v>
      </c>
      <c r="L85" s="7">
        <v>539116000000</v>
      </c>
      <c r="M85" s="17">
        <v>728263000000</v>
      </c>
      <c r="N85" s="17">
        <v>935944000000</v>
      </c>
      <c r="Y85" s="7">
        <v>329205000000</v>
      </c>
      <c r="Z85" s="7">
        <v>365724000000</v>
      </c>
      <c r="AA85" s="7">
        <v>375417000000</v>
      </c>
      <c r="AB85" s="9">
        <v>375417000000</v>
      </c>
      <c r="AC85" s="17">
        <f>115174000000+57586000000+115174000000+115174000000+43517000000</f>
        <v>446625000000</v>
      </c>
      <c r="AD85" s="9">
        <v>5758675440</v>
      </c>
      <c r="AE85" s="9">
        <v>5758675440</v>
      </c>
      <c r="AF85" s="9">
        <v>5758675440</v>
      </c>
      <c r="AG85" s="9">
        <v>5758675440</v>
      </c>
      <c r="AH85" s="9">
        <v>5758675440</v>
      </c>
    </row>
    <row r="86" spans="1:34" x14ac:dyDescent="0.25">
      <c r="A86" s="5">
        <v>82</v>
      </c>
      <c r="B86" s="19" t="s">
        <v>238</v>
      </c>
      <c r="C86" s="19" t="s">
        <v>239</v>
      </c>
      <c r="D86" s="6">
        <v>34262</v>
      </c>
      <c r="E86" s="13">
        <v>280679854</v>
      </c>
      <c r="F86" s="13">
        <v>255228195</v>
      </c>
      <c r="G86" s="13">
        <v>205764168</v>
      </c>
      <c r="H86" s="13">
        <v>203791105</v>
      </c>
      <c r="I86" s="13">
        <v>172000176</v>
      </c>
      <c r="J86" s="16">
        <v>-1304581</v>
      </c>
      <c r="K86" s="16">
        <v>-29590834</v>
      </c>
      <c r="L86" s="16">
        <v>-38676045</v>
      </c>
      <c r="M86" s="13">
        <v>355873</v>
      </c>
      <c r="N86" s="16">
        <v>-26746256</v>
      </c>
      <c r="Y86" s="38"/>
      <c r="Z86" s="38"/>
      <c r="AA86" s="38"/>
      <c r="AB86" s="38"/>
      <c r="AC86" s="38"/>
      <c r="AD86" s="9">
        <v>3889179559</v>
      </c>
      <c r="AE86" s="9">
        <v>3889179559</v>
      </c>
      <c r="AF86" s="9">
        <v>3889179559</v>
      </c>
      <c r="AG86" s="9">
        <v>3889179559</v>
      </c>
      <c r="AH86" s="9">
        <v>3889179559</v>
      </c>
    </row>
    <row r="87" spans="1:34" x14ac:dyDescent="0.25">
      <c r="A87" s="5">
        <v>83</v>
      </c>
      <c r="B87" s="5" t="s">
        <v>240</v>
      </c>
      <c r="C87" s="5" t="s">
        <v>241</v>
      </c>
      <c r="D87" s="6">
        <v>33245</v>
      </c>
      <c r="E87" s="13">
        <v>88323888</v>
      </c>
      <c r="F87" s="13">
        <v>85032904</v>
      </c>
      <c r="G87" s="13">
        <v>80185206</v>
      </c>
      <c r="H87" s="17">
        <v>1122379949306</v>
      </c>
      <c r="I87" s="17">
        <v>1129483925972</v>
      </c>
      <c r="J87" s="16">
        <v>-8186633</v>
      </c>
      <c r="K87" s="16">
        <v>-7277027</v>
      </c>
      <c r="L87" s="16">
        <v>-5110016</v>
      </c>
      <c r="M87" s="18">
        <v>-32071101375</v>
      </c>
      <c r="N87" s="18">
        <v>-97329335486</v>
      </c>
      <c r="Y87" s="38"/>
      <c r="Z87" s="38"/>
      <c r="AA87" s="38"/>
      <c r="AB87" s="21"/>
      <c r="AC87" s="21"/>
      <c r="AD87" s="9">
        <v>335557450</v>
      </c>
      <c r="AE87" s="9">
        <v>335557450</v>
      </c>
      <c r="AF87" s="9">
        <v>335557450</v>
      </c>
      <c r="AG87" s="9">
        <v>335557450</v>
      </c>
      <c r="AH87" s="9">
        <v>335557450</v>
      </c>
    </row>
    <row r="88" spans="1:34" x14ac:dyDescent="0.25">
      <c r="A88" s="5">
        <v>84</v>
      </c>
      <c r="B88" s="5" t="s">
        <v>242</v>
      </c>
      <c r="C88" s="5" t="s">
        <v>243</v>
      </c>
      <c r="D88" s="6">
        <v>43017</v>
      </c>
      <c r="E88" s="7">
        <v>514962171773</v>
      </c>
      <c r="F88" s="7">
        <v>590884444113</v>
      </c>
      <c r="G88" s="7">
        <v>554235931111</v>
      </c>
      <c r="H88" s="17">
        <v>524473606697</v>
      </c>
      <c r="I88" s="17">
        <v>525780962665</v>
      </c>
      <c r="J88" s="7">
        <v>24022782725</v>
      </c>
      <c r="K88" s="16">
        <v>23213651840</v>
      </c>
      <c r="L88" s="16">
        <v>-16558668514</v>
      </c>
      <c r="M88" s="17">
        <v>4172725902</v>
      </c>
      <c r="N88" s="17">
        <v>4462174046</v>
      </c>
      <c r="Y88" s="7">
        <v>4350000000</v>
      </c>
      <c r="Z88" s="7">
        <v>5075000000</v>
      </c>
      <c r="AA88" s="7">
        <v>782636476</v>
      </c>
      <c r="AB88" s="9">
        <v>507500000</v>
      </c>
      <c r="AC88" s="9">
        <f>2030000000+545000000</f>
        <v>2575000000</v>
      </c>
      <c r="AD88" s="10">
        <v>1450000000</v>
      </c>
      <c r="AE88" s="10">
        <v>1450000000</v>
      </c>
      <c r="AF88" s="9">
        <v>7250000000</v>
      </c>
      <c r="AG88" s="9">
        <v>7250000000</v>
      </c>
      <c r="AH88" s="9">
        <v>7250000000</v>
      </c>
    </row>
    <row r="89" spans="1:34" x14ac:dyDescent="0.25">
      <c r="A89" s="5">
        <v>85</v>
      </c>
      <c r="B89" s="5" t="s">
        <v>246</v>
      </c>
      <c r="C89" s="5" t="s">
        <v>247</v>
      </c>
      <c r="D89" s="6">
        <v>33106</v>
      </c>
      <c r="E89" s="13">
        <v>62585854</v>
      </c>
      <c r="F89" s="13">
        <v>71422968</v>
      </c>
      <c r="G89" s="13">
        <v>68564658</v>
      </c>
      <c r="H89" s="24">
        <v>72697937</v>
      </c>
      <c r="I89" s="24">
        <v>78716650</v>
      </c>
      <c r="J89" s="13">
        <v>1059744</v>
      </c>
      <c r="K89" s="13">
        <v>841583</v>
      </c>
      <c r="L89" s="16">
        <v>-970496</v>
      </c>
      <c r="M89" s="24">
        <v>1583643</v>
      </c>
      <c r="N89" s="24">
        <v>3916193</v>
      </c>
      <c r="Y89" s="38"/>
      <c r="Z89" s="38"/>
      <c r="AA89" s="38"/>
      <c r="AB89" s="21"/>
      <c r="AC89" s="14">
        <v>250000</v>
      </c>
      <c r="AD89" s="9">
        <v>1286539792</v>
      </c>
      <c r="AE89" s="9">
        <v>1286539792</v>
      </c>
      <c r="AF89" s="9">
        <v>1286539792</v>
      </c>
      <c r="AG89" s="9">
        <v>1286539792</v>
      </c>
      <c r="AH89" s="8">
        <v>1286539792</v>
      </c>
    </row>
    <row r="90" spans="1:34" x14ac:dyDescent="0.25">
      <c r="A90" s="5">
        <v>86</v>
      </c>
      <c r="B90" s="5" t="s">
        <v>248</v>
      </c>
      <c r="C90" s="5" t="s">
        <v>249</v>
      </c>
      <c r="D90" s="6">
        <v>33890</v>
      </c>
      <c r="E90" s="13">
        <v>62027720</v>
      </c>
      <c r="F90" s="13">
        <v>61112029</v>
      </c>
      <c r="G90" s="14">
        <v>54473395</v>
      </c>
      <c r="H90" s="40">
        <v>51213443</v>
      </c>
      <c r="I90" s="24">
        <v>48194418</v>
      </c>
      <c r="J90" s="13">
        <v>1413112</v>
      </c>
      <c r="K90" s="16">
        <v>-2792947</v>
      </c>
      <c r="L90" s="22">
        <v>-577944</v>
      </c>
      <c r="M90" s="40">
        <v>1612542</v>
      </c>
      <c r="N90" s="24">
        <v>66319</v>
      </c>
      <c r="Y90" s="38"/>
      <c r="Z90" s="38"/>
      <c r="AA90" s="39"/>
      <c r="AB90" s="21"/>
      <c r="AC90" s="14">
        <v>129214</v>
      </c>
      <c r="AD90" s="9">
        <v>2015208720</v>
      </c>
      <c r="AE90" s="9">
        <v>2015208720</v>
      </c>
      <c r="AF90" s="9">
        <v>2015208720</v>
      </c>
      <c r="AG90" s="9">
        <v>2015208720</v>
      </c>
      <c r="AH90" s="9">
        <v>2015208720</v>
      </c>
    </row>
    <row r="91" spans="1:34" x14ac:dyDescent="0.25">
      <c r="A91" s="5">
        <v>87</v>
      </c>
      <c r="B91" s="5" t="s">
        <v>250</v>
      </c>
      <c r="C91" s="5" t="s">
        <v>251</v>
      </c>
      <c r="D91" s="6">
        <v>33030</v>
      </c>
      <c r="E91" s="7">
        <v>586940667000</v>
      </c>
      <c r="F91" s="7">
        <v>423791061000</v>
      </c>
      <c r="G91" s="7">
        <v>384116199000</v>
      </c>
      <c r="H91" s="8">
        <v>346377425000</v>
      </c>
      <c r="I91" s="8">
        <v>265693432000</v>
      </c>
      <c r="J91" s="48">
        <v>-229988885000</v>
      </c>
      <c r="K91" s="16">
        <v>-65673323000</v>
      </c>
      <c r="L91" s="16">
        <v>-47969988000</v>
      </c>
      <c r="M91" s="16">
        <v>-41970335000</v>
      </c>
      <c r="N91" s="16">
        <v>-57362444000</v>
      </c>
      <c r="Y91" s="38"/>
      <c r="Z91" s="38"/>
      <c r="AA91" s="38"/>
      <c r="AB91" s="38"/>
      <c r="AC91" s="38"/>
      <c r="AD91" s="9">
        <v>3601462800</v>
      </c>
      <c r="AE91" s="9">
        <v>3601462800</v>
      </c>
      <c r="AF91" s="9">
        <v>3601462800</v>
      </c>
      <c r="AG91" s="9">
        <v>3601462800</v>
      </c>
      <c r="AH91" s="9">
        <v>3601462800</v>
      </c>
    </row>
    <row r="92" spans="1:34" x14ac:dyDescent="0.25">
      <c r="A92" s="5">
        <v>88</v>
      </c>
      <c r="B92" s="5" t="s">
        <v>252</v>
      </c>
      <c r="C92" s="5" t="s">
        <v>253</v>
      </c>
      <c r="D92" s="6">
        <v>33088</v>
      </c>
      <c r="E92" s="13">
        <v>805918779</v>
      </c>
      <c r="F92" s="13">
        <v>753558270</v>
      </c>
      <c r="G92" s="14">
        <v>763855590</v>
      </c>
      <c r="H92" s="40">
        <v>905497694</v>
      </c>
      <c r="I92" s="40">
        <v>869800216</v>
      </c>
      <c r="J92" s="13">
        <v>62367343</v>
      </c>
      <c r="K92" s="13">
        <v>38111238</v>
      </c>
      <c r="L92" s="14">
        <v>6231992</v>
      </c>
      <c r="M92" s="40">
        <v>84568285</v>
      </c>
      <c r="N92" s="40">
        <v>42534663</v>
      </c>
      <c r="Y92" s="38"/>
      <c r="Z92" s="7">
        <v>15493007</v>
      </c>
      <c r="AA92" s="39"/>
      <c r="AB92" s="39"/>
      <c r="AC92" s="9">
        <v>41462124</v>
      </c>
      <c r="AD92" s="9">
        <v>654351707</v>
      </c>
      <c r="AE92" s="9">
        <v>654351707</v>
      </c>
      <c r="AF92" s="9">
        <v>654351707</v>
      </c>
      <c r="AG92" s="9">
        <v>654351707</v>
      </c>
      <c r="AH92" s="9">
        <v>654351707</v>
      </c>
    </row>
    <row r="93" spans="1:34" x14ac:dyDescent="0.25">
      <c r="A93" s="5">
        <v>89</v>
      </c>
      <c r="B93" s="5" t="s">
        <v>254</v>
      </c>
      <c r="C93" s="5" t="s">
        <v>255</v>
      </c>
      <c r="D93" s="6">
        <v>32791</v>
      </c>
      <c r="E93" s="7">
        <v>3747570000000</v>
      </c>
      <c r="F93" s="7">
        <v>3686259000000</v>
      </c>
      <c r="G93" s="7">
        <v>3884567000000</v>
      </c>
      <c r="H93" s="8">
        <v>3744934000000</v>
      </c>
      <c r="I93" s="8">
        <v>3959904000000</v>
      </c>
      <c r="J93" s="16">
        <v>-170235000000</v>
      </c>
      <c r="K93" s="16">
        <v>-241027000000</v>
      </c>
      <c r="L93" s="16">
        <v>-114827000000</v>
      </c>
      <c r="M93" s="18">
        <v>-139616000000</v>
      </c>
      <c r="N93" s="18">
        <v>-21393000000</v>
      </c>
      <c r="Y93" s="38"/>
      <c r="Z93" s="38"/>
      <c r="AA93" s="38"/>
      <c r="AB93" s="39"/>
      <c r="AC93" s="39"/>
      <c r="AD93" s="9">
        <v>1466666577</v>
      </c>
      <c r="AE93" s="9">
        <v>7747281949</v>
      </c>
      <c r="AF93" s="9">
        <v>7747281949</v>
      </c>
      <c r="AG93" s="9">
        <v>7747281949</v>
      </c>
      <c r="AH93" s="9">
        <v>7747281949</v>
      </c>
    </row>
    <row r="94" spans="1:34" x14ac:dyDescent="0.25">
      <c r="A94" s="5">
        <v>90</v>
      </c>
      <c r="B94" s="5" t="s">
        <v>256</v>
      </c>
      <c r="C94" s="5" t="s">
        <v>257</v>
      </c>
      <c r="D94" s="6">
        <v>33162</v>
      </c>
      <c r="E94" s="13">
        <v>579066122</v>
      </c>
      <c r="F94" s="13">
        <v>658393892</v>
      </c>
      <c r="G94" s="13">
        <v>693123729</v>
      </c>
      <c r="H94" s="24">
        <v>696625283</v>
      </c>
      <c r="I94" s="24">
        <v>724645099</v>
      </c>
      <c r="J94" s="13">
        <v>16260183</v>
      </c>
      <c r="K94" s="13">
        <v>17050942</v>
      </c>
      <c r="L94" s="13">
        <v>19367114</v>
      </c>
      <c r="M94" s="24">
        <v>15403762</v>
      </c>
      <c r="N94" s="24">
        <v>2336379</v>
      </c>
      <c r="Y94" s="7">
        <v>931995</v>
      </c>
      <c r="Z94" s="7">
        <v>2132153</v>
      </c>
      <c r="AA94" s="38"/>
      <c r="AB94" s="13">
        <v>1225325</v>
      </c>
      <c r="AC94" s="39"/>
      <c r="AD94" s="9">
        <v>6478295611</v>
      </c>
      <c r="AE94" s="9">
        <v>6478295611</v>
      </c>
      <c r="AF94" s="9">
        <v>6478295611</v>
      </c>
      <c r="AG94" s="9">
        <v>6478295611</v>
      </c>
      <c r="AH94" s="8">
        <v>6478295611</v>
      </c>
    </row>
    <row r="95" spans="1:34" x14ac:dyDescent="0.25">
      <c r="A95" s="5">
        <v>91</v>
      </c>
      <c r="B95" s="5" t="s">
        <v>258</v>
      </c>
      <c r="C95" s="5" t="s">
        <v>259</v>
      </c>
      <c r="D95" s="6">
        <v>33309</v>
      </c>
      <c r="E95" s="13">
        <v>238246828</v>
      </c>
      <c r="F95" s="13">
        <v>242051545</v>
      </c>
      <c r="G95" s="14">
        <v>231030116</v>
      </c>
      <c r="H95" s="40">
        <v>238206780</v>
      </c>
      <c r="I95" s="40">
        <v>228076478</v>
      </c>
      <c r="J95" s="13">
        <v>1283226</v>
      </c>
      <c r="K95" s="16">
        <v>-11914906</v>
      </c>
      <c r="L95" s="22">
        <v>-20549350</v>
      </c>
      <c r="M95" s="40">
        <v>3424161</v>
      </c>
      <c r="N95" s="40">
        <v>12313779</v>
      </c>
      <c r="Y95" s="38"/>
      <c r="Z95" s="38"/>
      <c r="AA95" s="39"/>
      <c r="AB95" s="39"/>
      <c r="AC95" s="39"/>
      <c r="AD95" s="9">
        <v>2495753347</v>
      </c>
      <c r="AE95" s="9">
        <v>2495753347</v>
      </c>
      <c r="AF95" s="9">
        <v>2495753347</v>
      </c>
      <c r="AG95" s="9">
        <v>2495753347</v>
      </c>
      <c r="AH95" s="9">
        <v>2495753347</v>
      </c>
    </row>
    <row r="96" spans="1:34" x14ac:dyDescent="0.25">
      <c r="A96" s="5">
        <v>92</v>
      </c>
      <c r="B96" s="5" t="s">
        <v>262</v>
      </c>
      <c r="C96" s="5" t="s">
        <v>263</v>
      </c>
      <c r="D96" s="6">
        <v>35817</v>
      </c>
      <c r="E96" s="7">
        <v>1539602054832</v>
      </c>
      <c r="F96" s="7">
        <v>1619854736252</v>
      </c>
      <c r="G96" s="7">
        <v>1736897169061</v>
      </c>
      <c r="H96" s="8">
        <v>1694313967553</v>
      </c>
      <c r="I96" s="8">
        <v>1639882069759</v>
      </c>
      <c r="J96" s="7">
        <v>18480376458</v>
      </c>
      <c r="K96" s="7">
        <v>17219044542</v>
      </c>
      <c r="L96" s="16">
        <v>-77578476383</v>
      </c>
      <c r="M96" s="18">
        <v>-66098078641</v>
      </c>
      <c r="N96" s="8">
        <v>-69375798083</v>
      </c>
      <c r="Y96" s="7">
        <v>1925152530</v>
      </c>
      <c r="Z96" s="7">
        <v>1925152530</v>
      </c>
      <c r="AA96" s="38"/>
      <c r="AB96" s="39"/>
      <c r="AC96" s="39"/>
      <c r="AD96" s="9">
        <v>641717510</v>
      </c>
      <c r="AE96" s="9">
        <v>641717510</v>
      </c>
      <c r="AF96" s="9">
        <v>641717510</v>
      </c>
      <c r="AG96" s="25">
        <v>641717510</v>
      </c>
      <c r="AH96" s="25">
        <v>641717510</v>
      </c>
    </row>
    <row r="97" spans="1:34" x14ac:dyDescent="0.25">
      <c r="A97" s="5">
        <v>93</v>
      </c>
      <c r="B97" s="5" t="s">
        <v>266</v>
      </c>
      <c r="C97" s="5" t="s">
        <v>267</v>
      </c>
      <c r="D97" s="6">
        <v>41442</v>
      </c>
      <c r="E97" s="13">
        <v>1364271991</v>
      </c>
      <c r="F97" s="13">
        <v>1559251755</v>
      </c>
      <c r="G97" s="13">
        <v>1851988840</v>
      </c>
      <c r="H97" s="13">
        <v>1234193246</v>
      </c>
      <c r="I97" s="13">
        <v>764552039</v>
      </c>
      <c r="J97" s="7">
        <v>84556033</v>
      </c>
      <c r="K97" s="13">
        <v>87652548</v>
      </c>
      <c r="L97" s="13">
        <v>85325108</v>
      </c>
      <c r="M97" s="16">
        <v>-1074402760</v>
      </c>
      <c r="N97" s="16">
        <v>-395563161</v>
      </c>
      <c r="Y97" s="7">
        <v>12076869</v>
      </c>
      <c r="Z97" s="7">
        <v>4237037</v>
      </c>
      <c r="AA97" s="7">
        <v>1471274</v>
      </c>
      <c r="AB97" s="39"/>
      <c r="AC97" s="39"/>
      <c r="AD97" s="9">
        <v>20452176844</v>
      </c>
      <c r="AE97" s="9">
        <v>20452176844</v>
      </c>
      <c r="AF97" s="9">
        <v>20452176844</v>
      </c>
      <c r="AG97" s="9">
        <v>20452176844</v>
      </c>
      <c r="AH97" s="9">
        <v>20452176844</v>
      </c>
    </row>
    <row r="98" spans="1:34" x14ac:dyDescent="0.25">
      <c r="A98" s="5">
        <v>94</v>
      </c>
      <c r="B98" s="5" t="s">
        <v>268</v>
      </c>
      <c r="C98" s="5" t="s">
        <v>269</v>
      </c>
      <c r="D98" s="6">
        <v>35662</v>
      </c>
      <c r="E98" s="7">
        <v>562174180897</v>
      </c>
      <c r="F98" s="7">
        <v>514765731890</v>
      </c>
      <c r="G98" s="7">
        <v>482065294095</v>
      </c>
      <c r="H98" s="7">
        <v>471128491654</v>
      </c>
      <c r="I98" s="7">
        <v>442106656917</v>
      </c>
      <c r="J98" s="7">
        <v>1112037917</v>
      </c>
      <c r="K98" s="16">
        <v>-16266732177</v>
      </c>
      <c r="L98" s="16">
        <v>-15354377443</v>
      </c>
      <c r="M98" s="7">
        <v>56749821815</v>
      </c>
      <c r="N98" s="7">
        <v>-6044861775</v>
      </c>
      <c r="Y98" s="38"/>
      <c r="Z98" s="38"/>
      <c r="AA98" s="38"/>
      <c r="AB98" s="39"/>
      <c r="AC98" s="39"/>
      <c r="AD98" s="9">
        <v>1170909181</v>
      </c>
      <c r="AE98" s="9">
        <v>1170909181</v>
      </c>
      <c r="AF98" s="9">
        <v>1170909181</v>
      </c>
      <c r="AG98" s="9">
        <v>1170909181</v>
      </c>
      <c r="AH98" s="9">
        <v>1170909181</v>
      </c>
    </row>
    <row r="99" spans="1:34" x14ac:dyDescent="0.25">
      <c r="A99" s="5">
        <v>95</v>
      </c>
      <c r="B99" s="5" t="s">
        <v>270</v>
      </c>
      <c r="C99" s="5" t="s">
        <v>271</v>
      </c>
      <c r="D99" s="6">
        <v>40737</v>
      </c>
      <c r="E99" s="7">
        <v>615956006710</v>
      </c>
      <c r="F99" s="7">
        <v>579813156839</v>
      </c>
      <c r="G99" s="7">
        <v>497557497473</v>
      </c>
      <c r="H99" s="17">
        <v>508447134690</v>
      </c>
      <c r="I99" s="17">
        <v>509387241941</v>
      </c>
      <c r="J99" s="7">
        <v>173591040</v>
      </c>
      <c r="K99" s="7">
        <v>1951111404</v>
      </c>
      <c r="L99" s="7">
        <v>5808171411</v>
      </c>
      <c r="M99" s="17">
        <v>10513086262</v>
      </c>
      <c r="N99" s="17">
        <v>1749860911</v>
      </c>
      <c r="Y99" s="38"/>
      <c r="Z99" s="38"/>
      <c r="AA99" s="38"/>
      <c r="AB99" s="39"/>
      <c r="AC99" s="39"/>
      <c r="AD99" s="9">
        <v>4800000602</v>
      </c>
      <c r="AE99" s="9">
        <v>4800000602</v>
      </c>
      <c r="AF99" s="9">
        <v>4800000602</v>
      </c>
      <c r="AG99" s="9">
        <v>4800000602</v>
      </c>
      <c r="AH99" s="9">
        <v>4800000602</v>
      </c>
    </row>
    <row r="100" spans="1:34" x14ac:dyDescent="0.25">
      <c r="A100" s="5">
        <v>96</v>
      </c>
      <c r="B100" s="5" t="s">
        <v>272</v>
      </c>
      <c r="C100" s="5" t="s">
        <v>273</v>
      </c>
      <c r="D100" s="6">
        <v>29277</v>
      </c>
      <c r="E100" s="13">
        <v>321852867</v>
      </c>
      <c r="F100" s="13">
        <v>313569276</v>
      </c>
      <c r="G100" s="14">
        <v>317722871</v>
      </c>
      <c r="H100" s="40">
        <v>334578949</v>
      </c>
      <c r="I100" s="24">
        <v>334102307</v>
      </c>
      <c r="J100" s="16">
        <v>-494963</v>
      </c>
      <c r="K100" s="16">
        <v>-5258349</v>
      </c>
      <c r="L100" s="22">
        <v>-857539</v>
      </c>
      <c r="M100" s="24">
        <v>13557986</v>
      </c>
      <c r="N100" s="24">
        <v>3415772</v>
      </c>
      <c r="Y100" s="38"/>
      <c r="Z100" s="38"/>
      <c r="AA100" s="39"/>
      <c r="AB100" s="39"/>
      <c r="AC100" s="39"/>
      <c r="AD100" s="9">
        <v>4823076400</v>
      </c>
      <c r="AE100" s="9">
        <v>4823076400</v>
      </c>
      <c r="AF100" s="9">
        <v>4823076400</v>
      </c>
      <c r="AG100" s="9">
        <v>4823076400</v>
      </c>
      <c r="AH100" s="9">
        <v>4823076400</v>
      </c>
    </row>
    <row r="101" spans="1:34" x14ac:dyDescent="0.25">
      <c r="A101" s="5">
        <v>97</v>
      </c>
      <c r="B101" s="5" t="s">
        <v>274</v>
      </c>
      <c r="C101" s="5" t="s">
        <v>275</v>
      </c>
      <c r="D101" s="6">
        <v>41088</v>
      </c>
      <c r="E101" s="7">
        <v>633014281325</v>
      </c>
      <c r="F101" s="7">
        <v>1147246311331</v>
      </c>
      <c r="G101" s="7">
        <v>1068940700530</v>
      </c>
      <c r="H101" s="17">
        <v>1060742742644</v>
      </c>
      <c r="I101" s="17">
        <v>1177807599498</v>
      </c>
      <c r="J101" s="7">
        <v>19665074694</v>
      </c>
      <c r="K101" s="7">
        <v>41484677098</v>
      </c>
      <c r="L101" s="16">
        <v>-3987303838</v>
      </c>
      <c r="M101" s="17">
        <v>18024581177</v>
      </c>
      <c r="N101" s="17">
        <v>64521509302</v>
      </c>
      <c r="Y101" s="7">
        <v>5234640010</v>
      </c>
      <c r="Z101" s="7">
        <v>5838086004</v>
      </c>
      <c r="AA101" s="7">
        <v>11397562481</v>
      </c>
      <c r="AB101" s="9">
        <v>4904062114</v>
      </c>
      <c r="AC101" s="9">
        <v>5490705161</v>
      </c>
      <c r="AD101" s="9">
        <v>1047587802</v>
      </c>
      <c r="AE101" s="9">
        <v>3141443806</v>
      </c>
      <c r="AF101" s="9">
        <v>3141443806</v>
      </c>
      <c r="AG101" s="10">
        <v>3141443806</v>
      </c>
      <c r="AH101" s="17">
        <v>3141443831</v>
      </c>
    </row>
    <row r="102" spans="1:34" x14ac:dyDescent="0.25">
      <c r="A102" s="5">
        <v>98</v>
      </c>
      <c r="B102" s="5" t="s">
        <v>280</v>
      </c>
      <c r="C102" s="5" t="s">
        <v>281</v>
      </c>
      <c r="D102" s="6">
        <v>43446</v>
      </c>
      <c r="E102" s="7">
        <v>398437984462</v>
      </c>
      <c r="F102" s="7">
        <v>538644833986</v>
      </c>
      <c r="G102" s="7">
        <v>563628549785</v>
      </c>
      <c r="H102" s="8">
        <v>562739101102</v>
      </c>
      <c r="I102" s="8">
        <v>651781230958</v>
      </c>
      <c r="J102" s="7">
        <v>41027946306</v>
      </c>
      <c r="K102" s="7">
        <v>51222668919</v>
      </c>
      <c r="L102" s="16">
        <v>-37620281385</v>
      </c>
      <c r="M102" s="8">
        <v>30781262235</v>
      </c>
      <c r="N102" s="8">
        <v>72940513980</v>
      </c>
      <c r="Y102" s="7">
        <v>80151111110</v>
      </c>
      <c r="Z102" s="38"/>
      <c r="AA102" s="38"/>
      <c r="AB102" s="39"/>
      <c r="AC102" s="9">
        <v>9267326241</v>
      </c>
      <c r="AD102" s="10">
        <v>797000000</v>
      </c>
      <c r="AE102" s="10">
        <v>870171478</v>
      </c>
      <c r="AF102" s="10">
        <v>870171478</v>
      </c>
      <c r="AG102" s="10">
        <v>870171478</v>
      </c>
      <c r="AH102" s="10">
        <v>870171478</v>
      </c>
    </row>
    <row r="103" spans="1:34" x14ac:dyDescent="0.25">
      <c r="A103" s="5">
        <v>99</v>
      </c>
      <c r="B103" s="5" t="s">
        <v>282</v>
      </c>
      <c r="C103" s="5" t="s">
        <v>283</v>
      </c>
      <c r="D103" s="6">
        <v>30034</v>
      </c>
      <c r="E103" s="7">
        <v>876856225000</v>
      </c>
      <c r="F103" s="7">
        <v>863146554000</v>
      </c>
      <c r="G103" s="7">
        <v>775324937000</v>
      </c>
      <c r="H103" s="8">
        <v>652742235000</v>
      </c>
      <c r="I103" s="8">
        <v>724073958000</v>
      </c>
      <c r="J103" s="7">
        <v>67944867000</v>
      </c>
      <c r="K103" s="7">
        <v>23441338000</v>
      </c>
      <c r="L103" s="16">
        <v>-177761030000</v>
      </c>
      <c r="M103" s="18">
        <v>-51233663000</v>
      </c>
      <c r="N103" s="18">
        <v>-106123023000</v>
      </c>
      <c r="Y103" s="7">
        <v>18538000000</v>
      </c>
      <c r="Z103" s="7">
        <v>11401000000</v>
      </c>
      <c r="AA103" s="38"/>
      <c r="AB103" s="39"/>
      <c r="AC103" s="39"/>
      <c r="AD103" s="9">
        <v>1300000000</v>
      </c>
      <c r="AE103" s="9">
        <v>1300000000</v>
      </c>
      <c r="AF103" s="9">
        <v>1300000000</v>
      </c>
      <c r="AG103" s="9">
        <v>1300000000</v>
      </c>
      <c r="AH103" s="9">
        <v>1300000000</v>
      </c>
    </row>
    <row r="104" spans="1:34" x14ac:dyDescent="0.25">
      <c r="A104" s="5">
        <v>100</v>
      </c>
      <c r="B104" s="5" t="s">
        <v>284</v>
      </c>
      <c r="C104" s="5" t="s">
        <v>285</v>
      </c>
      <c r="D104" s="6">
        <v>34576</v>
      </c>
      <c r="E104" s="7">
        <v>98190640839</v>
      </c>
      <c r="F104" s="7">
        <v>246536771775</v>
      </c>
      <c r="G104" s="7">
        <v>223781482859</v>
      </c>
      <c r="H104" s="8">
        <v>218663866293</v>
      </c>
      <c r="I104" s="8">
        <v>310462822260</v>
      </c>
      <c r="J104" s="7">
        <v>2349855961</v>
      </c>
      <c r="K104" s="7">
        <v>3048600900</v>
      </c>
      <c r="L104" s="16">
        <v>-31519632982</v>
      </c>
      <c r="M104" s="18">
        <v>-20265774760</v>
      </c>
      <c r="N104" s="8">
        <v>-2369378400</v>
      </c>
      <c r="Y104" s="38"/>
      <c r="Z104" s="38"/>
      <c r="AA104" s="38"/>
      <c r="AB104" s="39"/>
      <c r="AC104" s="39"/>
      <c r="AD104" s="9">
        <f>436175716+172000000</f>
        <v>608175716</v>
      </c>
      <c r="AE104" s="9">
        <v>608175716</v>
      </c>
      <c r="AF104" s="9">
        <v>608175716</v>
      </c>
      <c r="AG104" s="9">
        <v>608175716</v>
      </c>
      <c r="AH104" s="9">
        <v>608175716</v>
      </c>
    </row>
    <row r="105" spans="1:34" x14ac:dyDescent="0.25">
      <c r="A105" s="5">
        <v>101</v>
      </c>
      <c r="B105" s="5" t="s">
        <v>290</v>
      </c>
      <c r="C105" s="5" t="s">
        <v>291</v>
      </c>
      <c r="D105" s="6">
        <v>33926</v>
      </c>
      <c r="E105" s="7">
        <v>2081620993000</v>
      </c>
      <c r="F105" s="7">
        <v>1888753850000</v>
      </c>
      <c r="G105" s="7">
        <v>1513949141000</v>
      </c>
      <c r="H105" s="8">
        <v>1736977382000</v>
      </c>
      <c r="I105" s="8">
        <v>2199797641000</v>
      </c>
      <c r="J105" s="7">
        <v>88428879000</v>
      </c>
      <c r="K105" s="7">
        <v>102517868000</v>
      </c>
      <c r="L105" s="7">
        <v>11924112000</v>
      </c>
      <c r="M105" s="18">
        <v>-47179855000</v>
      </c>
      <c r="N105" s="8">
        <v>57625088000</v>
      </c>
      <c r="Y105" s="7">
        <v>30240000000</v>
      </c>
      <c r="Z105" s="7">
        <v>45360000000</v>
      </c>
      <c r="AA105" s="38"/>
      <c r="AB105" s="39"/>
      <c r="AC105" s="39"/>
      <c r="AD105" s="9">
        <v>151200000</v>
      </c>
      <c r="AE105" s="9">
        <v>151200000</v>
      </c>
      <c r="AF105" s="9">
        <v>151200000</v>
      </c>
      <c r="AG105" s="9">
        <v>151200000</v>
      </c>
      <c r="AH105" s="9">
        <v>151200000</v>
      </c>
    </row>
    <row r="106" spans="1:34" x14ac:dyDescent="0.25">
      <c r="A106" s="5">
        <v>102</v>
      </c>
      <c r="B106" s="5" t="s">
        <v>292</v>
      </c>
      <c r="C106" s="5" t="s">
        <v>293</v>
      </c>
      <c r="D106" s="6">
        <v>33791</v>
      </c>
      <c r="E106" s="7">
        <v>3244821647076</v>
      </c>
      <c r="F106" s="7">
        <v>3556474711037</v>
      </c>
      <c r="G106" s="7">
        <v>3009724379484</v>
      </c>
      <c r="H106" s="8">
        <v>2725242711423</v>
      </c>
      <c r="I106" s="8">
        <v>2797005026270</v>
      </c>
      <c r="J106" s="7">
        <v>235651063203</v>
      </c>
      <c r="K106" s="7">
        <v>394950161188</v>
      </c>
      <c r="L106" s="16">
        <v>-73694555905</v>
      </c>
      <c r="M106" s="8">
        <v>93371439103</v>
      </c>
      <c r="N106" s="8">
        <v>59961666687</v>
      </c>
      <c r="Y106" s="7">
        <v>40072351070</v>
      </c>
      <c r="Z106" s="7">
        <v>32057880856</v>
      </c>
      <c r="AA106" s="7">
        <v>32057880856</v>
      </c>
      <c r="AB106" s="39"/>
      <c r="AC106" s="9">
        <v>16028940428</v>
      </c>
      <c r="AD106" s="9">
        <v>4007235107</v>
      </c>
      <c r="AE106" s="9">
        <v>4007235107</v>
      </c>
      <c r="AF106" s="9">
        <v>4007235107</v>
      </c>
      <c r="AG106" s="9">
        <v>4007235107</v>
      </c>
      <c r="AH106" s="9">
        <v>4007235107</v>
      </c>
    </row>
    <row r="107" spans="1:34" x14ac:dyDescent="0.25">
      <c r="A107" s="5">
        <v>103</v>
      </c>
      <c r="B107" s="5" t="s">
        <v>294</v>
      </c>
      <c r="C107" s="5" t="s">
        <v>295</v>
      </c>
      <c r="D107" s="6">
        <v>33604</v>
      </c>
      <c r="E107" s="7">
        <v>1298358478375</v>
      </c>
      <c r="F107" s="7">
        <v>1284437358420</v>
      </c>
      <c r="G107" s="7">
        <v>1026762882496</v>
      </c>
      <c r="H107" s="8">
        <v>1497181021456</v>
      </c>
      <c r="I107" s="8">
        <v>1508596356369</v>
      </c>
      <c r="J107" s="7">
        <v>40675096628</v>
      </c>
      <c r="K107" s="7">
        <v>38648269147</v>
      </c>
      <c r="L107" s="7">
        <v>6563771460</v>
      </c>
      <c r="M107" s="18">
        <v>-12999702678</v>
      </c>
      <c r="N107" s="8">
        <v>30497463746</v>
      </c>
      <c r="Y107" s="7">
        <v>11200000000</v>
      </c>
      <c r="Z107" s="7">
        <v>11200000000</v>
      </c>
      <c r="AA107" s="7">
        <v>11200000000</v>
      </c>
      <c r="AB107" s="39"/>
      <c r="AC107" s="39"/>
      <c r="AD107" s="9">
        <v>1120000000</v>
      </c>
      <c r="AE107" s="9">
        <v>1120000000</v>
      </c>
      <c r="AF107" s="9">
        <v>1120000000</v>
      </c>
      <c r="AG107" s="9">
        <v>1120000000</v>
      </c>
      <c r="AH107" s="9">
        <v>1120000000</v>
      </c>
    </row>
    <row r="108" spans="1:34" x14ac:dyDescent="0.25">
      <c r="A108" s="5">
        <v>104</v>
      </c>
      <c r="B108" s="5" t="s">
        <v>296</v>
      </c>
      <c r="C108" s="5" t="s">
        <v>297</v>
      </c>
      <c r="D108" s="6">
        <v>30152</v>
      </c>
      <c r="E108" s="7">
        <v>4165196478857</v>
      </c>
      <c r="F108" s="7">
        <v>4400655628146</v>
      </c>
      <c r="G108" s="7">
        <v>3743659818718</v>
      </c>
      <c r="H108" s="8">
        <v>4698864127234</v>
      </c>
      <c r="I108" s="8">
        <v>5128133329237</v>
      </c>
      <c r="J108" s="7">
        <v>253995332656</v>
      </c>
      <c r="K108" s="7">
        <v>303593922331</v>
      </c>
      <c r="L108" s="7">
        <v>238152486485</v>
      </c>
      <c r="M108" s="8">
        <v>140694706122</v>
      </c>
      <c r="N108" s="8">
        <v>106708261439</v>
      </c>
      <c r="Y108" s="7">
        <v>72038190000</v>
      </c>
      <c r="Z108" s="7">
        <v>72374190000</v>
      </c>
      <c r="AA108" s="7">
        <v>102861700000</v>
      </c>
      <c r="AB108" s="9">
        <v>61755020000</v>
      </c>
      <c r="AC108" s="9">
        <v>41165680000</v>
      </c>
      <c r="AD108" s="9">
        <v>205583400</v>
      </c>
      <c r="AE108" s="9">
        <v>205583400</v>
      </c>
      <c r="AF108" s="9">
        <v>205583400</v>
      </c>
      <c r="AG108" s="9">
        <v>205583400</v>
      </c>
      <c r="AH108" s="9">
        <v>205583400</v>
      </c>
    </row>
    <row r="109" spans="1:34" x14ac:dyDescent="0.25">
      <c r="A109" s="5">
        <v>105</v>
      </c>
      <c r="B109" s="5" t="s">
        <v>298</v>
      </c>
      <c r="C109" s="5" t="s">
        <v>299</v>
      </c>
      <c r="D109" s="6">
        <v>33227</v>
      </c>
      <c r="E109" s="7">
        <v>2485382578010</v>
      </c>
      <c r="F109" s="7">
        <v>3027942155357</v>
      </c>
      <c r="G109" s="7">
        <v>2915635059892</v>
      </c>
      <c r="H109" s="8">
        <v>2893167569270</v>
      </c>
      <c r="I109" s="8">
        <v>2665946796991</v>
      </c>
      <c r="J109" s="7">
        <v>105468744587</v>
      </c>
      <c r="K109" s="7">
        <v>208249125401</v>
      </c>
      <c r="L109" s="7">
        <v>2783763185</v>
      </c>
      <c r="M109" s="18">
        <v>-210822267539</v>
      </c>
      <c r="N109" s="18">
        <v>-191040268841</v>
      </c>
      <c r="Y109" s="38"/>
      <c r="Z109" s="7">
        <v>20778012975</v>
      </c>
      <c r="AA109" s="38"/>
      <c r="AB109" s="39"/>
      <c r="AC109" s="39"/>
      <c r="AD109" s="9">
        <v>4155602595</v>
      </c>
      <c r="AE109" s="9">
        <v>4155602595</v>
      </c>
      <c r="AF109" s="9">
        <v>4155602595</v>
      </c>
      <c r="AG109" s="9">
        <v>4155602595</v>
      </c>
      <c r="AH109" s="9">
        <v>4155602595</v>
      </c>
    </row>
    <row r="110" spans="1:34" x14ac:dyDescent="0.25">
      <c r="A110" s="5">
        <v>106</v>
      </c>
      <c r="B110" s="5" t="s">
        <v>300</v>
      </c>
      <c r="C110" s="5" t="s">
        <v>301</v>
      </c>
      <c r="D110" s="6">
        <v>39394</v>
      </c>
      <c r="E110" s="13">
        <v>287576140</v>
      </c>
      <c r="F110" s="13">
        <v>161249768</v>
      </c>
      <c r="G110" s="13">
        <v>129626970</v>
      </c>
      <c r="H110" s="24">
        <v>173199932</v>
      </c>
      <c r="I110" s="24">
        <v>147616234</v>
      </c>
      <c r="J110" s="7">
        <v>12000369</v>
      </c>
      <c r="K110" s="13">
        <v>901196</v>
      </c>
      <c r="L110" s="13">
        <v>4834180</v>
      </c>
      <c r="M110" s="24">
        <v>5820485</v>
      </c>
      <c r="N110" s="24">
        <v>9925108</v>
      </c>
      <c r="Y110" s="38"/>
      <c r="Z110" s="38"/>
      <c r="AA110" s="38"/>
      <c r="AB110" s="39"/>
      <c r="AC110" s="39"/>
      <c r="AD110" s="9">
        <v>1771448000</v>
      </c>
      <c r="AE110" s="9">
        <v>5314344000</v>
      </c>
      <c r="AF110" s="9">
        <v>5314344000</v>
      </c>
      <c r="AG110" s="9">
        <v>5314344000</v>
      </c>
      <c r="AH110" s="9">
        <v>5314344000</v>
      </c>
    </row>
    <row r="111" spans="1:34" x14ac:dyDescent="0.25">
      <c r="A111" s="5">
        <v>107</v>
      </c>
      <c r="B111" s="5" t="s">
        <v>308</v>
      </c>
      <c r="C111" s="5" t="s">
        <v>309</v>
      </c>
      <c r="D111" s="49">
        <v>34498</v>
      </c>
      <c r="E111" s="7">
        <v>881275000000</v>
      </c>
      <c r="F111" s="7">
        <v>822375000000</v>
      </c>
      <c r="G111" s="9">
        <v>958791000000</v>
      </c>
      <c r="H111" s="8">
        <v>1304108000000</v>
      </c>
      <c r="I111" s="8">
        <v>1645582000000</v>
      </c>
      <c r="J111" s="7">
        <v>52958000000</v>
      </c>
      <c r="K111" s="7">
        <v>83885000000</v>
      </c>
      <c r="L111" s="9">
        <v>135789000000</v>
      </c>
      <c r="M111" s="8">
        <v>265758000000</v>
      </c>
      <c r="N111" s="8">
        <v>364972000000</v>
      </c>
      <c r="Y111" s="38"/>
      <c r="Z111" s="38"/>
      <c r="AA111" s="39"/>
      <c r="AB111" s="39"/>
      <c r="AC111" s="39"/>
      <c r="AD111" s="9">
        <v>589896800</v>
      </c>
      <c r="AE111" s="10">
        <v>589896800</v>
      </c>
      <c r="AF111" s="9">
        <v>589896800</v>
      </c>
      <c r="AG111" s="9">
        <v>589896800</v>
      </c>
      <c r="AH111" s="9">
        <v>589896800</v>
      </c>
    </row>
    <row r="112" spans="1:34" x14ac:dyDescent="0.25">
      <c r="A112" s="5">
        <v>108</v>
      </c>
      <c r="B112" s="5" t="s">
        <v>310</v>
      </c>
      <c r="C112" s="5" t="s">
        <v>311</v>
      </c>
      <c r="D112" s="6">
        <v>35622</v>
      </c>
      <c r="E112" s="7">
        <v>1816406000000</v>
      </c>
      <c r="F112" s="7">
        <v>1868966000000</v>
      </c>
      <c r="G112" s="7">
        <v>2011557000000</v>
      </c>
      <c r="H112" s="8">
        <v>1761634000000</v>
      </c>
      <c r="I112" s="8">
        <v>1826350000000</v>
      </c>
      <c r="J112" s="16">
        <v>-123513000000</v>
      </c>
      <c r="K112" s="7">
        <v>1134776000000</v>
      </c>
      <c r="L112" s="7">
        <v>1204972000000</v>
      </c>
      <c r="M112" s="8">
        <v>5762000000</v>
      </c>
      <c r="N112" s="8">
        <v>-62359000000</v>
      </c>
      <c r="Y112" s="38"/>
      <c r="Z112" s="38"/>
      <c r="AA112" s="38"/>
      <c r="AB112" s="39"/>
      <c r="AC112" s="39"/>
      <c r="AD112" s="9">
        <v>3218600000</v>
      </c>
      <c r="AE112" s="9">
        <v>3218600000</v>
      </c>
      <c r="AF112" s="9">
        <v>9311800000</v>
      </c>
      <c r="AG112" s="9">
        <v>9311800000</v>
      </c>
      <c r="AH112" s="9">
        <v>9311800000</v>
      </c>
    </row>
    <row r="113" spans="1:34" x14ac:dyDescent="0.25">
      <c r="A113" s="5">
        <v>109</v>
      </c>
      <c r="B113" s="5" t="s">
        <v>312</v>
      </c>
      <c r="C113" s="5" t="s">
        <v>313</v>
      </c>
      <c r="D113" s="6">
        <v>41100</v>
      </c>
      <c r="E113" s="7">
        <v>1109843522344</v>
      </c>
      <c r="F113" s="7">
        <v>1103450087164</v>
      </c>
      <c r="G113" s="7">
        <v>1105874415256</v>
      </c>
      <c r="H113" s="8">
        <v>1089208965375</v>
      </c>
      <c r="I113" s="8">
        <v>1023323308935</v>
      </c>
      <c r="J113" s="16">
        <v>-33021220862</v>
      </c>
      <c r="K113" s="16">
        <v>-7383289239</v>
      </c>
      <c r="L113" s="16">
        <v>-10506939189</v>
      </c>
      <c r="M113" s="18">
        <v>-8932197718</v>
      </c>
      <c r="N113" s="18">
        <v>-16129026748</v>
      </c>
      <c r="Y113" s="38"/>
      <c r="Z113" s="38"/>
      <c r="AA113" s="38"/>
      <c r="AB113" s="39"/>
      <c r="AC113" s="39"/>
      <c r="AD113" s="9">
        <v>2191870558</v>
      </c>
      <c r="AE113" s="9">
        <v>2191870558</v>
      </c>
      <c r="AF113" s="9">
        <v>2191870558</v>
      </c>
      <c r="AG113" s="9">
        <v>2191870558</v>
      </c>
      <c r="AH113" s="9">
        <v>2191870558</v>
      </c>
    </row>
    <row r="114" spans="1:34" x14ac:dyDescent="0.25">
      <c r="A114" s="5">
        <v>110</v>
      </c>
      <c r="B114" s="5" t="s">
        <v>314</v>
      </c>
      <c r="C114" s="5" t="s">
        <v>315</v>
      </c>
      <c r="D114" s="6">
        <v>38121</v>
      </c>
      <c r="E114" s="7">
        <v>5165236468705</v>
      </c>
      <c r="F114" s="7">
        <v>4975248130342</v>
      </c>
      <c r="G114" s="7">
        <v>4223727970626</v>
      </c>
      <c r="H114" s="8">
        <v>4173043810054</v>
      </c>
      <c r="I114" s="8">
        <v>4142039803861</v>
      </c>
      <c r="J114" s="7">
        <v>76001730866</v>
      </c>
      <c r="K114" s="16">
        <v>-83843800594</v>
      </c>
      <c r="L114" s="16">
        <v>-509507890912</v>
      </c>
      <c r="M114" s="18">
        <v>-106511989327</v>
      </c>
      <c r="N114" s="18">
        <v>-133469253051</v>
      </c>
      <c r="Y114" s="38"/>
      <c r="Z114" s="38"/>
      <c r="AA114" s="38"/>
      <c r="AB114" s="39"/>
      <c r="AC114" s="39"/>
      <c r="AD114" s="9">
        <v>46277496376</v>
      </c>
      <c r="AE114" s="9">
        <v>46277496376</v>
      </c>
      <c r="AF114" s="9">
        <v>46277496376</v>
      </c>
      <c r="AG114" s="9">
        <v>46277496376</v>
      </c>
      <c r="AH114" s="9">
        <v>46277496376</v>
      </c>
    </row>
    <row r="115" spans="1:34" x14ac:dyDescent="0.25">
      <c r="A115" s="5">
        <v>111</v>
      </c>
      <c r="B115" s="5" t="s">
        <v>316</v>
      </c>
      <c r="C115" s="50" t="s">
        <v>317</v>
      </c>
      <c r="D115" s="6">
        <v>34827</v>
      </c>
      <c r="E115" s="7">
        <v>3392980000000</v>
      </c>
      <c r="F115" s="7">
        <v>2999767000000</v>
      </c>
      <c r="G115" s="7">
        <v>2963007000000</v>
      </c>
      <c r="H115" s="17">
        <v>2993218000000</v>
      </c>
      <c r="I115" s="17">
        <v>3173651000000</v>
      </c>
      <c r="J115" s="7">
        <v>50467000000</v>
      </c>
      <c r="K115" s="7">
        <v>64021000000</v>
      </c>
      <c r="L115" s="7">
        <v>67093000000</v>
      </c>
      <c r="M115" s="17">
        <v>91723000000</v>
      </c>
      <c r="N115" s="17">
        <v>93065000000</v>
      </c>
      <c r="Y115" s="7">
        <v>17996000000</v>
      </c>
      <c r="Z115" s="7">
        <v>22495000000</v>
      </c>
      <c r="AA115" s="7">
        <v>26994000000</v>
      </c>
      <c r="AB115" s="7">
        <v>26994000000</v>
      </c>
      <c r="AC115" s="9">
        <v>35992000000</v>
      </c>
      <c r="AD115" s="10">
        <v>4498997362</v>
      </c>
      <c r="AE115" s="10">
        <v>4498997362</v>
      </c>
      <c r="AF115" s="10">
        <v>4498997362</v>
      </c>
      <c r="AG115" s="10">
        <v>4498997362</v>
      </c>
      <c r="AH115" s="10">
        <v>4498997362</v>
      </c>
    </row>
    <row r="116" spans="1:34" x14ac:dyDescent="0.25">
      <c r="A116" s="5">
        <v>112</v>
      </c>
      <c r="B116" s="5" t="s">
        <v>318</v>
      </c>
      <c r="C116" s="5" t="s">
        <v>319</v>
      </c>
      <c r="D116" s="6">
        <v>43088</v>
      </c>
      <c r="E116" s="7">
        <v>1004275813783</v>
      </c>
      <c r="F116" s="7">
        <v>1057529235986</v>
      </c>
      <c r="G116" s="7">
        <v>1086873666641</v>
      </c>
      <c r="H116" s="8">
        <v>1146235578463</v>
      </c>
      <c r="I116" s="8">
        <v>1074777460412</v>
      </c>
      <c r="J116" s="7">
        <v>61947295689</v>
      </c>
      <c r="K116" s="7">
        <v>76758829457</v>
      </c>
      <c r="L116" s="7">
        <v>44045828312</v>
      </c>
      <c r="M116" s="8">
        <v>99278807290</v>
      </c>
      <c r="N116" s="8">
        <v>121257336904</v>
      </c>
      <c r="Y116" s="7">
        <v>17665000000</v>
      </c>
      <c r="Z116" s="7">
        <v>25011250011</v>
      </c>
      <c r="AA116" s="38"/>
      <c r="AB116" s="9">
        <v>41195000000</v>
      </c>
      <c r="AC116" s="9">
        <v>205975000000</v>
      </c>
      <c r="AD116" s="10">
        <v>5885000000</v>
      </c>
      <c r="AE116" s="10">
        <v>5885000000</v>
      </c>
      <c r="AF116" s="10">
        <v>5885000000</v>
      </c>
      <c r="AG116" s="10">
        <v>5885000000</v>
      </c>
      <c r="AH116" s="10">
        <v>5885000000</v>
      </c>
    </row>
    <row r="117" spans="1:34" x14ac:dyDescent="0.25">
      <c r="A117" s="5">
        <v>113</v>
      </c>
      <c r="B117" s="5" t="s">
        <v>320</v>
      </c>
      <c r="C117" s="5" t="s">
        <v>321</v>
      </c>
      <c r="D117" s="6">
        <v>35255</v>
      </c>
      <c r="E117" s="7">
        <v>1168956042706</v>
      </c>
      <c r="F117" s="7">
        <v>1393079542074</v>
      </c>
      <c r="G117" s="7">
        <v>1566673828068</v>
      </c>
      <c r="H117" s="8">
        <v>1697387196209</v>
      </c>
      <c r="I117" s="8">
        <v>1718287453575</v>
      </c>
      <c r="J117" s="7">
        <v>92649656775</v>
      </c>
      <c r="K117" s="7">
        <v>215459200242</v>
      </c>
      <c r="L117" s="7">
        <v>181812593992</v>
      </c>
      <c r="M117" s="8">
        <v>187066990085</v>
      </c>
      <c r="N117" s="8">
        <v>220704543072</v>
      </c>
      <c r="Y117" s="7">
        <v>26775000000</v>
      </c>
      <c r="Z117" s="7">
        <v>59500000000</v>
      </c>
      <c r="AA117" s="7">
        <v>59500000000</v>
      </c>
      <c r="AB117" s="9">
        <v>59500000000</v>
      </c>
      <c r="AC117" s="8">
        <v>59500000000</v>
      </c>
      <c r="AD117" s="9">
        <v>595000000</v>
      </c>
      <c r="AE117" s="9">
        <v>595000000</v>
      </c>
      <c r="AF117" s="9">
        <v>595000000</v>
      </c>
      <c r="AG117" s="9">
        <v>595000000</v>
      </c>
      <c r="AH117" s="8">
        <v>595000000</v>
      </c>
    </row>
    <row r="118" spans="1:34" x14ac:dyDescent="0.25">
      <c r="A118" s="5">
        <v>114</v>
      </c>
      <c r="B118" s="5" t="s">
        <v>322</v>
      </c>
      <c r="C118" s="5" t="s">
        <v>323</v>
      </c>
      <c r="D118" s="6">
        <v>42860</v>
      </c>
      <c r="E118" s="7">
        <v>833933861594</v>
      </c>
      <c r="F118" s="7">
        <v>1245144303719</v>
      </c>
      <c r="G118" s="7">
        <v>1310940121622</v>
      </c>
      <c r="H118" s="8">
        <v>1348181576913</v>
      </c>
      <c r="I118" s="8">
        <v>1693523611414</v>
      </c>
      <c r="J118" s="7">
        <v>63261752474</v>
      </c>
      <c r="K118" s="7">
        <v>130756461708</v>
      </c>
      <c r="L118" s="7">
        <v>132772234495</v>
      </c>
      <c r="M118" s="8">
        <v>180711667020</v>
      </c>
      <c r="N118" s="8">
        <v>195598848689</v>
      </c>
      <c r="Y118" s="38"/>
      <c r="Z118" s="38"/>
      <c r="AA118" s="38"/>
      <c r="AB118" s="9">
        <v>59883719000</v>
      </c>
      <c r="AC118" s="9">
        <v>11959987600</v>
      </c>
      <c r="AD118" s="10">
        <v>12000000000</v>
      </c>
      <c r="AE118" s="10">
        <v>12000000000</v>
      </c>
      <c r="AF118" s="10">
        <v>12000000000</v>
      </c>
      <c r="AG118" s="10">
        <v>12000000000</v>
      </c>
      <c r="AH118" s="8">
        <v>12000000000</v>
      </c>
    </row>
    <row r="119" spans="1:34" x14ac:dyDescent="0.25">
      <c r="A119" s="5">
        <v>115</v>
      </c>
      <c r="B119" s="5" t="s">
        <v>330</v>
      </c>
      <c r="C119" s="5" t="s">
        <v>331</v>
      </c>
      <c r="D119" s="6">
        <v>30724</v>
      </c>
      <c r="E119" s="7">
        <v>1523517170000</v>
      </c>
      <c r="F119" s="7">
        <v>1425983722000</v>
      </c>
      <c r="G119" s="7">
        <v>1225580913000</v>
      </c>
      <c r="H119" s="7">
        <v>1308722065000</v>
      </c>
      <c r="I119" s="7">
        <v>1307186367000</v>
      </c>
      <c r="J119" s="7">
        <v>338129985000</v>
      </c>
      <c r="K119" s="7">
        <v>317815177000</v>
      </c>
      <c r="L119" s="7">
        <v>123465762000</v>
      </c>
      <c r="M119" s="7">
        <v>187992998000</v>
      </c>
      <c r="N119" s="7">
        <v>230065807000</v>
      </c>
      <c r="Y119" s="52">
        <v>208171353000</v>
      </c>
      <c r="Z119" s="7">
        <v>382715026000</v>
      </c>
      <c r="AA119" s="7">
        <v>312257030000</v>
      </c>
      <c r="AB119" s="9">
        <v>200164763000</v>
      </c>
      <c r="AC119" s="9">
        <v>240197715000</v>
      </c>
      <c r="AD119" s="9">
        <v>800659050</v>
      </c>
      <c r="AE119" s="9">
        <v>800659050</v>
      </c>
      <c r="AF119" s="9">
        <v>800659050</v>
      </c>
      <c r="AG119" s="10">
        <v>800659050</v>
      </c>
      <c r="AH119" s="10">
        <v>800659050</v>
      </c>
    </row>
    <row r="120" spans="1:34" x14ac:dyDescent="0.25">
      <c r="A120" s="5">
        <v>116</v>
      </c>
      <c r="B120" s="5" t="s">
        <v>338</v>
      </c>
      <c r="C120" s="5" t="s">
        <v>339</v>
      </c>
      <c r="D120" s="6">
        <v>43383</v>
      </c>
      <c r="E120" s="9">
        <v>4212408305683</v>
      </c>
      <c r="F120" s="7">
        <v>5063067672414</v>
      </c>
      <c r="G120" s="9">
        <v>6570969641033</v>
      </c>
      <c r="H120" s="17">
        <v>6766602280143</v>
      </c>
      <c r="I120" s="17">
        <v>7327371934290</v>
      </c>
      <c r="J120" s="9">
        <v>425481597110</v>
      </c>
      <c r="K120" s="7">
        <v>435766359480</v>
      </c>
      <c r="L120" s="9">
        <v>245103761907</v>
      </c>
      <c r="M120" s="8">
        <v>492637672186</v>
      </c>
      <c r="N120" s="8">
        <v>521714035585</v>
      </c>
      <c r="Y120" s="9">
        <v>183082141237</v>
      </c>
      <c r="Z120" s="7">
        <v>132379748022</v>
      </c>
      <c r="AA120" s="9">
        <v>213786027326</v>
      </c>
      <c r="AB120" s="9">
        <v>131923972638</v>
      </c>
      <c r="AC120" s="17">
        <v>221508548952</v>
      </c>
      <c r="AD120" s="10">
        <v>7379580291</v>
      </c>
      <c r="AE120" s="10">
        <v>7379580291</v>
      </c>
      <c r="AF120" s="10">
        <v>7379580291</v>
      </c>
      <c r="AG120" s="10">
        <v>36897901455</v>
      </c>
      <c r="AH120" s="17">
        <v>36897901455</v>
      </c>
    </row>
    <row r="121" spans="1:34" x14ac:dyDescent="0.25">
      <c r="A121" s="5">
        <v>117</v>
      </c>
      <c r="B121" s="5" t="s">
        <v>340</v>
      </c>
      <c r="C121" s="5" t="s">
        <v>341</v>
      </c>
      <c r="D121" s="6">
        <v>42908</v>
      </c>
      <c r="E121" s="7">
        <v>758846556031</v>
      </c>
      <c r="F121" s="7">
        <v>848676035300</v>
      </c>
      <c r="G121" s="7">
        <v>906924214166</v>
      </c>
      <c r="H121" s="8">
        <v>987563580363</v>
      </c>
      <c r="I121" s="8">
        <v>811603660216</v>
      </c>
      <c r="J121" s="7">
        <v>90195136265</v>
      </c>
      <c r="K121" s="7">
        <v>103723133972</v>
      </c>
      <c r="L121" s="7">
        <v>38038419405</v>
      </c>
      <c r="M121" s="8">
        <v>11844682161</v>
      </c>
      <c r="N121" s="8">
        <v>90572477</v>
      </c>
      <c r="Y121" s="7">
        <v>14200138260</v>
      </c>
      <c r="Z121" s="7">
        <v>26140929100</v>
      </c>
      <c r="AA121" s="7">
        <v>28635668400</v>
      </c>
      <c r="AB121" s="9">
        <v>9677752680</v>
      </c>
      <c r="AC121" s="17">
        <v>9677752680</v>
      </c>
      <c r="AD121" s="10">
        <v>2374834620</v>
      </c>
      <c r="AE121" s="10">
        <v>2378405500</v>
      </c>
      <c r="AF121" s="10">
        <v>2419438170</v>
      </c>
      <c r="AG121" s="10">
        <v>9677752680</v>
      </c>
      <c r="AH121" s="17">
        <v>9677752680</v>
      </c>
    </row>
    <row r="122" spans="1:34" x14ac:dyDescent="0.25">
      <c r="A122" s="5">
        <v>118</v>
      </c>
      <c r="B122" s="5" t="s">
        <v>344</v>
      </c>
      <c r="C122" s="5" t="s">
        <v>345</v>
      </c>
      <c r="D122" s="6">
        <v>40458</v>
      </c>
      <c r="E122" s="7">
        <v>34367153000000</v>
      </c>
      <c r="F122" s="7">
        <v>38709314000000</v>
      </c>
      <c r="G122" s="9">
        <v>103588325000000</v>
      </c>
      <c r="H122" s="8">
        <v>118015311000000</v>
      </c>
      <c r="I122" s="8">
        <v>115305536000000</v>
      </c>
      <c r="J122" s="7">
        <v>4658781000000</v>
      </c>
      <c r="K122" s="7">
        <v>5360029000000</v>
      </c>
      <c r="L122" s="9">
        <v>7418574000000</v>
      </c>
      <c r="M122" s="8">
        <v>7911943000000</v>
      </c>
      <c r="N122" s="8">
        <v>5722194000000</v>
      </c>
      <c r="Y122" s="7">
        <v>2689873000000</v>
      </c>
      <c r="Z122" s="7">
        <v>1682890000000</v>
      </c>
      <c r="AA122" s="9">
        <v>2915985000000</v>
      </c>
      <c r="AB122" s="9">
        <v>3629968000000</v>
      </c>
      <c r="AC122" s="9">
        <v>3532886000000</v>
      </c>
      <c r="AD122" s="9">
        <v>11661908000</v>
      </c>
      <c r="AE122" s="9">
        <v>11661908000</v>
      </c>
      <c r="AF122" s="9">
        <v>11661908000</v>
      </c>
      <c r="AG122" s="9">
        <v>11661908000</v>
      </c>
      <c r="AH122" s="9">
        <v>11661908000</v>
      </c>
    </row>
    <row r="123" spans="1:34" x14ac:dyDescent="0.25">
      <c r="A123" s="5">
        <v>119</v>
      </c>
      <c r="B123" s="53" t="s">
        <v>346</v>
      </c>
      <c r="C123" s="54" t="s">
        <v>347</v>
      </c>
      <c r="D123" s="6">
        <v>37543</v>
      </c>
      <c r="E123" s="9">
        <v>298090648072</v>
      </c>
      <c r="F123" s="7">
        <v>384481206140</v>
      </c>
      <c r="G123" s="9">
        <v>343139482249</v>
      </c>
      <c r="H123" s="8">
        <v>299295229177</v>
      </c>
      <c r="I123" s="8">
        <v>251669253000</v>
      </c>
      <c r="J123" s="22">
        <v>-15074081977</v>
      </c>
      <c r="K123" s="7">
        <v>85544158340</v>
      </c>
      <c r="L123" s="22">
        <v>-41519336887</v>
      </c>
      <c r="M123" s="8">
        <v>-43537325070</v>
      </c>
      <c r="N123" s="8">
        <v>-47999640044</v>
      </c>
      <c r="Y123" s="39"/>
      <c r="Z123" s="38"/>
      <c r="AA123" s="39"/>
      <c r="AB123" s="29"/>
      <c r="AC123" s="39"/>
      <c r="AD123" s="9">
        <v>33600000000</v>
      </c>
      <c r="AE123" s="9">
        <v>33600000000</v>
      </c>
      <c r="AF123" s="9">
        <v>33600000000</v>
      </c>
      <c r="AG123" s="9">
        <v>33600000000</v>
      </c>
      <c r="AH123" s="9">
        <v>33600000000</v>
      </c>
    </row>
    <row r="124" spans="1:34" x14ac:dyDescent="0.25">
      <c r="A124" s="5">
        <v>120</v>
      </c>
      <c r="B124" s="5" t="s">
        <v>350</v>
      </c>
      <c r="C124" s="5" t="s">
        <v>351</v>
      </c>
      <c r="D124" s="6">
        <v>34529</v>
      </c>
      <c r="E124" s="9">
        <v>96537796000000</v>
      </c>
      <c r="F124" s="7">
        <v>96198559000000</v>
      </c>
      <c r="G124" s="9">
        <v>163136516000000</v>
      </c>
      <c r="H124" s="8">
        <v>179271840000000</v>
      </c>
      <c r="I124" s="8">
        <v>180433300000000</v>
      </c>
      <c r="J124" s="9">
        <v>4961851000000</v>
      </c>
      <c r="K124" s="7">
        <v>5902729000000</v>
      </c>
      <c r="L124" s="9">
        <v>8752066000000</v>
      </c>
      <c r="M124" s="8">
        <v>11229695000000</v>
      </c>
      <c r="N124" s="8">
        <v>9192569000000</v>
      </c>
      <c r="Y124" s="9">
        <v>3484931000000</v>
      </c>
      <c r="Z124" s="7">
        <v>1974386000000</v>
      </c>
      <c r="AA124" s="9">
        <v>3371943000000</v>
      </c>
      <c r="AB124" s="9">
        <v>4126638000000</v>
      </c>
      <c r="AC124" s="9">
        <v>4201345000000</v>
      </c>
      <c r="AD124" s="9">
        <v>8780426500</v>
      </c>
      <c r="AE124" s="9">
        <v>8780426500</v>
      </c>
      <c r="AF124" s="9">
        <v>8780426500</v>
      </c>
      <c r="AG124" s="9">
        <v>8780426500</v>
      </c>
      <c r="AH124" s="9">
        <v>8780426500</v>
      </c>
    </row>
    <row r="125" spans="1:34" x14ac:dyDescent="0.25">
      <c r="A125" s="5">
        <v>121</v>
      </c>
      <c r="B125" s="5" t="s">
        <v>356</v>
      </c>
      <c r="C125" s="5" t="s">
        <v>357</v>
      </c>
      <c r="D125" s="6">
        <v>41828</v>
      </c>
      <c r="E125" s="7">
        <v>204476568540</v>
      </c>
      <c r="F125" s="7">
        <v>88838496383</v>
      </c>
      <c r="G125" s="7">
        <v>6805984418</v>
      </c>
      <c r="H125" s="8">
        <v>139772224977</v>
      </c>
      <c r="I125" s="8">
        <v>136631700935</v>
      </c>
      <c r="J125" s="16">
        <v>-36887821525</v>
      </c>
      <c r="K125" s="16">
        <v>-121648352901</v>
      </c>
      <c r="L125" s="7">
        <v>56505757661</v>
      </c>
      <c r="M125" s="8">
        <v>-25934090712</v>
      </c>
      <c r="N125" s="23">
        <v>-11779760852</v>
      </c>
      <c r="Y125" s="38"/>
      <c r="Z125" s="38"/>
      <c r="AA125" s="38"/>
      <c r="AB125" s="29"/>
      <c r="AC125" s="39"/>
      <c r="AD125" s="9">
        <v>1003080977</v>
      </c>
      <c r="AE125" s="9">
        <v>1003080977</v>
      </c>
      <c r="AF125" s="9">
        <v>1003080977</v>
      </c>
      <c r="AG125" s="9">
        <v>1003080977</v>
      </c>
      <c r="AH125" s="9">
        <v>3410475322</v>
      </c>
    </row>
    <row r="126" spans="1:34" x14ac:dyDescent="0.25">
      <c r="A126" s="5">
        <v>122</v>
      </c>
      <c r="B126" s="5" t="s">
        <v>358</v>
      </c>
      <c r="C126" s="5" t="s">
        <v>359</v>
      </c>
      <c r="D126" s="6">
        <v>34351</v>
      </c>
      <c r="E126" s="7">
        <v>2889501000000</v>
      </c>
      <c r="F126" s="7">
        <v>2896950000000</v>
      </c>
      <c r="G126" s="9">
        <v>2907425000000</v>
      </c>
      <c r="H126" s="17">
        <v>2922017000000</v>
      </c>
      <c r="I126" s="17">
        <v>3374502000000</v>
      </c>
      <c r="J126" s="7">
        <v>1224807000000</v>
      </c>
      <c r="K126" s="7">
        <v>1206059000000</v>
      </c>
      <c r="L126" s="9">
        <v>285617000000</v>
      </c>
      <c r="M126" s="17">
        <v>665850000000</v>
      </c>
      <c r="N126" s="17">
        <v>924906000000</v>
      </c>
      <c r="Y126" s="7">
        <f>1125138000000+272000000</f>
        <v>1125410000000</v>
      </c>
      <c r="Z126" s="7">
        <v>1228603000000</v>
      </c>
      <c r="AA126" s="39"/>
      <c r="AB126" s="9">
        <v>1000913000000</v>
      </c>
      <c r="AC126" s="9">
        <f>951205000000+27000000</f>
        <v>951232000000</v>
      </c>
      <c r="AD126" s="9">
        <v>2107000000</v>
      </c>
      <c r="AE126" s="9">
        <v>2107000000</v>
      </c>
      <c r="AF126" s="9">
        <v>2107000000</v>
      </c>
      <c r="AG126" s="9">
        <v>2107000000</v>
      </c>
      <c r="AH126" s="17">
        <v>2107000000</v>
      </c>
    </row>
    <row r="127" spans="1:34" x14ac:dyDescent="0.25">
      <c r="A127" s="5">
        <v>123</v>
      </c>
      <c r="B127" s="5" t="s">
        <v>360</v>
      </c>
      <c r="C127" s="5" t="s">
        <v>361</v>
      </c>
      <c r="D127" s="6">
        <v>33058</v>
      </c>
      <c r="E127" s="7">
        <v>17591706426634</v>
      </c>
      <c r="F127" s="7">
        <v>19037918806473</v>
      </c>
      <c r="G127" s="7">
        <v>19777500514550</v>
      </c>
      <c r="H127" s="8">
        <v>19917653265528</v>
      </c>
      <c r="I127" s="8">
        <v>22276160695411</v>
      </c>
      <c r="J127" s="7">
        <v>1760434280304</v>
      </c>
      <c r="K127" s="7">
        <v>2051404206764</v>
      </c>
      <c r="L127" s="7">
        <v>2098168514645</v>
      </c>
      <c r="M127" s="17">
        <v>1211052647953</v>
      </c>
      <c r="N127" s="8">
        <v>1970064538149</v>
      </c>
      <c r="Y127" s="7">
        <f>603684892575+12865125000</f>
        <v>616550017575</v>
      </c>
      <c r="Z127" s="7">
        <v>662654792025</v>
      </c>
      <c r="AA127" s="7">
        <v>685013491750</v>
      </c>
      <c r="AB127" s="9">
        <f>1162652385700+44109000000</f>
        <v>1206761385700</v>
      </c>
      <c r="AC127" s="9">
        <f>469532694225+63568812500</f>
        <v>533101506725</v>
      </c>
      <c r="AD127" s="9">
        <v>22358699725</v>
      </c>
      <c r="AE127" s="9">
        <v>22358699725</v>
      </c>
      <c r="AF127" s="9">
        <v>22358699725</v>
      </c>
      <c r="AG127" s="9">
        <v>22358699725</v>
      </c>
      <c r="AH127" s="9">
        <v>22358699725</v>
      </c>
    </row>
    <row r="128" spans="1:34" x14ac:dyDescent="0.25">
      <c r="A128" s="5">
        <v>124</v>
      </c>
      <c r="B128" s="5" t="s">
        <v>364</v>
      </c>
      <c r="C128" s="5" t="s">
        <v>365</v>
      </c>
      <c r="D128" s="6">
        <v>43361</v>
      </c>
      <c r="E128" s="7">
        <v>149593161546</v>
      </c>
      <c r="F128" s="7">
        <v>119708955785</v>
      </c>
      <c r="G128" s="7">
        <v>112591210595</v>
      </c>
      <c r="H128" s="7">
        <v>13296259876000</v>
      </c>
      <c r="I128" s="7">
        <v>15938444031000</v>
      </c>
      <c r="J128" s="7">
        <v>1175166829</v>
      </c>
      <c r="K128" s="16">
        <v>-727591568</v>
      </c>
      <c r="L128" s="16">
        <v>-539926618</v>
      </c>
      <c r="M128" s="7">
        <v>1680076000</v>
      </c>
      <c r="N128" s="7">
        <v>288311135000</v>
      </c>
      <c r="Y128" s="21"/>
      <c r="Z128" s="21"/>
      <c r="AA128" s="21"/>
      <c r="AB128" s="39"/>
      <c r="AC128" s="39"/>
      <c r="AD128" s="10">
        <v>410000000</v>
      </c>
      <c r="AE128" s="10">
        <v>410000000</v>
      </c>
      <c r="AF128" s="10">
        <v>410000000</v>
      </c>
      <c r="AG128" s="10">
        <v>410000000</v>
      </c>
      <c r="AH128" s="17">
        <v>13530000000</v>
      </c>
    </row>
    <row r="129" spans="1:34" x14ac:dyDescent="0.25">
      <c r="A129" s="5">
        <v>125</v>
      </c>
      <c r="B129" s="5" t="s">
        <v>366</v>
      </c>
      <c r="C129" s="5" t="s">
        <v>367</v>
      </c>
      <c r="D129" s="6">
        <v>43098</v>
      </c>
      <c r="E129" s="7">
        <v>117423511774</v>
      </c>
      <c r="F129" s="7">
        <v>124735506556</v>
      </c>
      <c r="G129" s="7">
        <v>103351122210</v>
      </c>
      <c r="H129" s="7">
        <v>100382982900</v>
      </c>
      <c r="I129" s="7">
        <v>102809758188</v>
      </c>
      <c r="J129" s="16">
        <v>-8385167515</v>
      </c>
      <c r="K129" s="16">
        <v>-10257599104</v>
      </c>
      <c r="L129" s="16">
        <v>-15957991606</v>
      </c>
      <c r="M129" s="7">
        <v>1278943528</v>
      </c>
      <c r="N129" s="7">
        <v>4932754628</v>
      </c>
      <c r="Y129" s="21"/>
      <c r="Z129" s="21"/>
      <c r="AA129" s="21"/>
      <c r="AB129" s="39"/>
      <c r="AC129" s="39"/>
      <c r="AD129" s="10">
        <v>1166666700</v>
      </c>
      <c r="AE129" s="10">
        <v>1166666700</v>
      </c>
      <c r="AF129" s="10">
        <v>1166666700</v>
      </c>
      <c r="AG129" s="10">
        <v>1166666700</v>
      </c>
      <c r="AH129" s="10">
        <v>1166666700</v>
      </c>
    </row>
    <row r="130" spans="1:34" x14ac:dyDescent="0.25">
      <c r="A130" s="5">
        <v>126</v>
      </c>
      <c r="B130" s="5" t="s">
        <v>370</v>
      </c>
      <c r="C130" s="5" t="s">
        <v>371</v>
      </c>
      <c r="D130" s="6">
        <v>34625</v>
      </c>
      <c r="E130" s="7">
        <v>697657400651</v>
      </c>
      <c r="F130" s="7">
        <v>763492320252</v>
      </c>
      <c r="G130" s="7">
        <v>765375539783</v>
      </c>
      <c r="H130" s="8">
        <v>707396790275</v>
      </c>
      <c r="I130" s="8">
        <v>705620167464</v>
      </c>
      <c r="J130" s="16">
        <v>-46599426588</v>
      </c>
      <c r="K130" s="16">
        <v>-25762573884</v>
      </c>
      <c r="L130" s="16">
        <v>-52304824027</v>
      </c>
      <c r="M130" s="18">
        <v>-82495584993</v>
      </c>
      <c r="N130" s="18">
        <v>-25834965122</v>
      </c>
      <c r="Y130" s="7">
        <v>15358564525</v>
      </c>
      <c r="Z130" s="7">
        <v>38561559075</v>
      </c>
      <c r="AA130" s="21"/>
      <c r="AB130" s="39"/>
      <c r="AC130" s="39"/>
      <c r="AD130" s="9">
        <v>1440000000</v>
      </c>
      <c r="AE130" s="9">
        <v>1440000000</v>
      </c>
      <c r="AF130" s="9">
        <v>1440000000</v>
      </c>
      <c r="AG130" s="9">
        <v>1440000000</v>
      </c>
      <c r="AH130" s="9">
        <v>1440000000</v>
      </c>
    </row>
    <row r="131" spans="1:34" x14ac:dyDescent="0.25">
      <c r="A131" s="5">
        <v>127</v>
      </c>
      <c r="B131" s="5" t="s">
        <v>374</v>
      </c>
      <c r="C131" s="5" t="s">
        <v>375</v>
      </c>
      <c r="D131" s="6">
        <v>40357</v>
      </c>
      <c r="E131" s="7">
        <v>4393810380883</v>
      </c>
      <c r="F131" s="7">
        <v>4682083844951</v>
      </c>
      <c r="G131" s="9">
        <v>4452166671985</v>
      </c>
      <c r="H131" s="17">
        <v>4191284422677</v>
      </c>
      <c r="I131" s="17">
        <v>4130321616083</v>
      </c>
      <c r="J131" s="7">
        <v>127171436363</v>
      </c>
      <c r="K131" s="7">
        <v>236518557420</v>
      </c>
      <c r="L131" s="9">
        <v>168610282478</v>
      </c>
      <c r="M131" s="17">
        <v>283602993676</v>
      </c>
      <c r="N131" s="8">
        <v>432247722254</v>
      </c>
      <c r="Y131" s="7">
        <v>36005365328</v>
      </c>
      <c r="Z131" s="7">
        <v>59724779679</v>
      </c>
      <c r="AA131" s="9">
        <v>149528741987</v>
      </c>
      <c r="AB131" s="9">
        <v>297289648543</v>
      </c>
      <c r="AC131" s="9">
        <v>346139578657</v>
      </c>
      <c r="AD131" s="9">
        <v>6186488888</v>
      </c>
      <c r="AE131" s="9">
        <v>6186488888</v>
      </c>
      <c r="AF131" s="9">
        <v>6186488888</v>
      </c>
      <c r="AG131" s="10">
        <v>6186488888</v>
      </c>
      <c r="AH131" s="10">
        <v>6186488888</v>
      </c>
    </row>
    <row r="132" spans="1:34" x14ac:dyDescent="0.25">
      <c r="A132" s="5">
        <v>128</v>
      </c>
      <c r="B132" s="5" t="s">
        <v>376</v>
      </c>
      <c r="C132" s="5" t="s">
        <v>377</v>
      </c>
      <c r="D132" s="6">
        <v>41180</v>
      </c>
      <c r="E132" s="7">
        <v>1771365972009</v>
      </c>
      <c r="F132" s="7">
        <v>1820383352811</v>
      </c>
      <c r="G132" s="7">
        <v>1768660546754</v>
      </c>
      <c r="H132" s="8">
        <v>1970428120056</v>
      </c>
      <c r="I132" s="8">
        <v>2042199577083</v>
      </c>
      <c r="J132" s="7">
        <v>15954632472</v>
      </c>
      <c r="K132" s="7">
        <v>957169058</v>
      </c>
      <c r="L132" s="7">
        <v>5415741808</v>
      </c>
      <c r="M132" s="8">
        <v>29707421605</v>
      </c>
      <c r="N132" s="8">
        <v>86635603936</v>
      </c>
      <c r="Y132" s="38"/>
      <c r="Z132" s="38"/>
      <c r="AA132" s="38"/>
      <c r="AB132" s="9">
        <v>2076123860</v>
      </c>
      <c r="AC132" s="8">
        <v>2076123860</v>
      </c>
      <c r="AD132" s="9">
        <v>1726003217</v>
      </c>
      <c r="AE132" s="9">
        <v>1726003217</v>
      </c>
      <c r="AF132" s="9">
        <v>1726003217</v>
      </c>
      <c r="AG132" s="10">
        <v>1726003217</v>
      </c>
      <c r="AH132" s="8">
        <v>1730103217</v>
      </c>
    </row>
    <row r="133" spans="1:34" x14ac:dyDescent="0.25">
      <c r="A133" s="5">
        <v>129</v>
      </c>
      <c r="B133" s="5" t="s">
        <v>378</v>
      </c>
      <c r="C133" s="5" t="s">
        <v>379</v>
      </c>
      <c r="D133" s="6">
        <v>34220</v>
      </c>
      <c r="E133" s="7">
        <v>747293725435</v>
      </c>
      <c r="F133" s="7">
        <v>790845543826</v>
      </c>
      <c r="G133" s="7">
        <v>773863042440</v>
      </c>
      <c r="H133" s="17">
        <v>889125250792</v>
      </c>
      <c r="I133" s="17">
        <v>1033289474829</v>
      </c>
      <c r="J133" s="7">
        <v>31954131252</v>
      </c>
      <c r="K133" s="7">
        <v>44943627900</v>
      </c>
      <c r="L133" s="7">
        <v>42520246722</v>
      </c>
      <c r="M133" s="17">
        <v>84524160228</v>
      </c>
      <c r="N133" s="17">
        <v>74865302076</v>
      </c>
      <c r="Y133" s="7">
        <v>4351665150</v>
      </c>
      <c r="Z133" s="7">
        <v>5594998050</v>
      </c>
      <c r="AA133" s="7">
        <v>9324996750</v>
      </c>
      <c r="AB133" s="9">
        <v>9324996750</v>
      </c>
      <c r="AC133" s="17">
        <v>29841405600</v>
      </c>
      <c r="AD133" s="9">
        <v>690740500</v>
      </c>
      <c r="AE133" s="9">
        <v>690740500</v>
      </c>
      <c r="AF133" s="17">
        <v>690740500</v>
      </c>
      <c r="AG133" s="9">
        <v>690740500</v>
      </c>
      <c r="AH133" s="9">
        <v>690740500</v>
      </c>
    </row>
    <row r="134" spans="1:34" x14ac:dyDescent="0.25">
      <c r="A134" s="5">
        <v>130</v>
      </c>
      <c r="B134" s="5" t="s">
        <v>380</v>
      </c>
      <c r="C134" s="5" t="s">
        <v>381</v>
      </c>
      <c r="D134" s="6">
        <v>35415</v>
      </c>
      <c r="E134" s="7">
        <v>2631189810030</v>
      </c>
      <c r="F134" s="7">
        <v>2881563083954</v>
      </c>
      <c r="G134" s="7">
        <v>3448995059882</v>
      </c>
      <c r="H134" s="7">
        <v>3919243683748</v>
      </c>
      <c r="I134" s="7">
        <v>4590737849889</v>
      </c>
      <c r="J134" s="7">
        <v>255088886019</v>
      </c>
      <c r="K134" s="7">
        <v>482590522840</v>
      </c>
      <c r="L134" s="7">
        <v>628628879549</v>
      </c>
      <c r="M134" s="7">
        <v>617573766863</v>
      </c>
      <c r="N134" s="7">
        <v>624524005786</v>
      </c>
      <c r="Y134" s="38"/>
      <c r="Z134" s="38"/>
      <c r="AA134" s="7">
        <v>100005400000</v>
      </c>
      <c r="AB134" s="39"/>
      <c r="AC134" s="39"/>
      <c r="AD134" s="9">
        <v>1310000000</v>
      </c>
      <c r="AE134" s="9">
        <v>1310000000</v>
      </c>
      <c r="AF134" s="9">
        <v>1310000000</v>
      </c>
      <c r="AG134" s="9">
        <v>1310000000</v>
      </c>
      <c r="AH134" s="9">
        <v>1310000000</v>
      </c>
    </row>
    <row r="135" spans="1:34" x14ac:dyDescent="0.25">
      <c r="A135" s="5">
        <v>131</v>
      </c>
      <c r="B135" s="5" t="s">
        <v>386</v>
      </c>
      <c r="C135" s="5" t="s">
        <v>387</v>
      </c>
      <c r="D135" s="6">
        <v>33056</v>
      </c>
      <c r="E135" s="7">
        <v>5555871000000</v>
      </c>
      <c r="F135" s="7">
        <v>6608422000000</v>
      </c>
      <c r="G135" s="9">
        <v>8754116000000</v>
      </c>
      <c r="H135" s="17">
        <v>7406856000000</v>
      </c>
      <c r="I135" s="8">
        <v>7376375000000</v>
      </c>
      <c r="J135" s="7">
        <v>701607000000</v>
      </c>
      <c r="K135" s="7">
        <v>1035865000000</v>
      </c>
      <c r="L135" s="9">
        <v>1109666000000</v>
      </c>
      <c r="M135" s="17">
        <v>1276793000000</v>
      </c>
      <c r="N135" s="8">
        <v>965486000000</v>
      </c>
      <c r="Y135" s="7">
        <v>1251000000</v>
      </c>
      <c r="Z135" s="7">
        <v>150042000000</v>
      </c>
      <c r="AA135" s="7">
        <v>136678000000</v>
      </c>
      <c r="AB135" s="9">
        <v>894810000000</v>
      </c>
      <c r="AC135" s="8">
        <v>271804000000</v>
      </c>
      <c r="AD135" s="9">
        <v>11553528000</v>
      </c>
      <c r="AE135" s="9">
        <v>11553528000</v>
      </c>
      <c r="AF135" s="9">
        <v>11553528000</v>
      </c>
      <c r="AG135" s="9">
        <v>11553528000</v>
      </c>
      <c r="AH135" s="9">
        <v>11553528000</v>
      </c>
    </row>
    <row r="136" spans="1:34" x14ac:dyDescent="0.25">
      <c r="A136" s="5">
        <v>132</v>
      </c>
      <c r="B136" s="5" t="s">
        <v>392</v>
      </c>
      <c r="C136" s="5" t="s">
        <v>393</v>
      </c>
      <c r="D136" s="6">
        <v>33112</v>
      </c>
      <c r="E136" s="7">
        <v>69097219000000</v>
      </c>
      <c r="F136" s="7">
        <v>78647274000000</v>
      </c>
      <c r="G136" s="7">
        <v>78191409000000</v>
      </c>
      <c r="H136" s="8">
        <v>89964369000000</v>
      </c>
      <c r="I136" s="8">
        <v>88562617000000</v>
      </c>
      <c r="J136" s="7">
        <v>7793068000000</v>
      </c>
      <c r="K136" s="7">
        <v>10880704000000</v>
      </c>
      <c r="L136" s="7">
        <v>7647729000000</v>
      </c>
      <c r="M136" s="8">
        <v>5605321000000</v>
      </c>
      <c r="N136" s="8">
        <v>2779742000000</v>
      </c>
      <c r="Y136" s="7">
        <v>5015990000000</v>
      </c>
      <c r="Z136" s="7">
        <v>5002629000000</v>
      </c>
      <c r="AA136" s="38"/>
      <c r="AB136" s="7">
        <v>5002629000000</v>
      </c>
      <c r="AC136" s="9">
        <v>4329198000000</v>
      </c>
      <c r="AD136" s="9">
        <v>1924088000</v>
      </c>
      <c r="AE136" s="9">
        <v>1924088000</v>
      </c>
      <c r="AF136" s="9">
        <v>1924088000</v>
      </c>
      <c r="AG136" s="9">
        <v>1924088000</v>
      </c>
      <c r="AH136" s="9">
        <v>1924088000</v>
      </c>
    </row>
    <row r="137" spans="1:34" x14ac:dyDescent="0.25">
      <c r="A137" s="5">
        <v>133</v>
      </c>
      <c r="B137" s="5" t="s">
        <v>394</v>
      </c>
      <c r="C137" s="5" t="s">
        <v>395</v>
      </c>
      <c r="D137" s="6">
        <v>33100</v>
      </c>
      <c r="E137" s="7">
        <v>46602420000000</v>
      </c>
      <c r="F137" s="7">
        <v>50902806000000</v>
      </c>
      <c r="G137" s="9">
        <v>49674030000000</v>
      </c>
      <c r="H137" s="17">
        <v>53090428000000</v>
      </c>
      <c r="I137" s="17">
        <v>54786992000000</v>
      </c>
      <c r="J137" s="7">
        <v>13538418000000</v>
      </c>
      <c r="K137" s="7">
        <v>13721513000000</v>
      </c>
      <c r="L137" s="9">
        <v>8581378000000</v>
      </c>
      <c r="M137" s="17">
        <v>7137097000000</v>
      </c>
      <c r="N137" s="17">
        <v>6323744000000</v>
      </c>
      <c r="Y137" s="7">
        <v>12480930000000</v>
      </c>
      <c r="Z137" s="7">
        <v>13632478000000</v>
      </c>
      <c r="AA137" s="9">
        <v>13934906000000</v>
      </c>
      <c r="AB137" s="9">
        <v>8467956000000</v>
      </c>
      <c r="AC137" s="9">
        <v>7362934000000</v>
      </c>
      <c r="AD137" s="9">
        <v>116318076900</v>
      </c>
      <c r="AE137" s="9">
        <v>116318076900</v>
      </c>
      <c r="AF137" s="9">
        <v>116318076900</v>
      </c>
      <c r="AG137" s="10">
        <v>116318076900</v>
      </c>
      <c r="AH137" s="17">
        <v>116318076900</v>
      </c>
    </row>
    <row r="138" spans="1:34" x14ac:dyDescent="0.25">
      <c r="A138" s="5">
        <v>134</v>
      </c>
      <c r="B138" s="5" t="s">
        <v>398</v>
      </c>
      <c r="C138" s="5" t="s">
        <v>399</v>
      </c>
      <c r="D138" s="6">
        <v>41261</v>
      </c>
      <c r="E138" s="7">
        <v>1255573914558</v>
      </c>
      <c r="F138" s="7">
        <v>1299521608556</v>
      </c>
      <c r="G138" s="7">
        <v>1614442007528</v>
      </c>
      <c r="H138" s="8">
        <v>1891169731202</v>
      </c>
      <c r="I138" s="8">
        <v>2168793843296</v>
      </c>
      <c r="J138" s="7">
        <v>51142850919</v>
      </c>
      <c r="K138" s="7">
        <v>27328091481</v>
      </c>
      <c r="L138" s="7">
        <v>172506562986</v>
      </c>
      <c r="M138" s="8">
        <v>176877010231</v>
      </c>
      <c r="N138" s="8">
        <v>249644129079</v>
      </c>
      <c r="Y138" s="21"/>
      <c r="Z138" s="7">
        <v>5262051350</v>
      </c>
      <c r="AA138" s="7">
        <v>7396640460</v>
      </c>
      <c r="AB138" s="9">
        <v>43107835060</v>
      </c>
      <c r="AC138" s="8">
        <v>45442956384</v>
      </c>
      <c r="AD138" s="9">
        <v>2099873760</v>
      </c>
      <c r="AE138" s="9">
        <v>2099873760</v>
      </c>
      <c r="AF138" s="9">
        <v>2099873760</v>
      </c>
      <c r="AG138" s="10">
        <v>2099873760</v>
      </c>
      <c r="AH138" s="8">
        <v>2099873760</v>
      </c>
    </row>
    <row r="139" spans="1:34" x14ac:dyDescent="0.25">
      <c r="A139" s="5">
        <v>135</v>
      </c>
      <c r="B139" s="5" t="s">
        <v>400</v>
      </c>
      <c r="C139" s="5" t="s">
        <v>401</v>
      </c>
      <c r="D139" s="6">
        <v>34649</v>
      </c>
      <c r="E139" s="7">
        <v>1682821739000</v>
      </c>
      <c r="F139" s="7">
        <v>1829960714000</v>
      </c>
      <c r="G139" s="9">
        <v>1986711872000</v>
      </c>
      <c r="H139" s="8">
        <v>2082911322000</v>
      </c>
      <c r="I139" s="8">
        <v>2009139485000</v>
      </c>
      <c r="J139" s="7">
        <v>200651968000</v>
      </c>
      <c r="K139" s="7">
        <v>221783249000</v>
      </c>
      <c r="L139" s="9">
        <v>162072984000</v>
      </c>
      <c r="M139" s="8">
        <v>146505337000</v>
      </c>
      <c r="N139" s="8">
        <v>149375011000</v>
      </c>
      <c r="Y139" s="7">
        <v>119406233000</v>
      </c>
      <c r="Z139" s="7">
        <v>119618582000</v>
      </c>
      <c r="AA139" s="9">
        <v>119840000000</v>
      </c>
      <c r="AB139" s="9">
        <v>125440000000</v>
      </c>
      <c r="AC139" s="9">
        <v>125440000000</v>
      </c>
      <c r="AD139" s="9">
        <v>1120000000</v>
      </c>
      <c r="AE139" s="9">
        <v>1120000000</v>
      </c>
      <c r="AF139" s="9">
        <v>1120000000</v>
      </c>
      <c r="AG139" s="10">
        <v>1120000000</v>
      </c>
      <c r="AH139" s="8">
        <v>1120000000</v>
      </c>
    </row>
    <row r="140" spans="1:34" x14ac:dyDescent="0.25">
      <c r="A140" s="5">
        <v>136</v>
      </c>
      <c r="B140" s="5" t="s">
        <v>402</v>
      </c>
      <c r="C140" s="5" t="s">
        <v>403</v>
      </c>
      <c r="D140" s="6">
        <v>36998</v>
      </c>
      <c r="E140" s="7">
        <v>1442350608575</v>
      </c>
      <c r="F140" s="7">
        <v>1383935194386</v>
      </c>
      <c r="G140" s="7">
        <v>1713334658849</v>
      </c>
      <c r="H140" s="8">
        <v>2011879396142</v>
      </c>
      <c r="I140" s="8">
        <v>1534000446508</v>
      </c>
      <c r="J140" s="16">
        <v>-32736482313</v>
      </c>
      <c r="K140" s="7">
        <v>7961966026</v>
      </c>
      <c r="L140" s="7">
        <v>30020709</v>
      </c>
      <c r="M140" s="18">
        <v>-37571241226</v>
      </c>
      <c r="N140" s="18">
        <v>-428487671595</v>
      </c>
      <c r="Y140" s="21"/>
      <c r="Z140" s="21"/>
      <c r="AA140" s="21"/>
      <c r="AB140" s="39"/>
      <c r="AC140" s="39"/>
      <c r="AD140" s="9">
        <v>3099267500</v>
      </c>
      <c r="AE140" s="9">
        <v>3099267500</v>
      </c>
      <c r="AF140" s="9">
        <v>3099267500</v>
      </c>
      <c r="AG140" s="10">
        <v>3099267500</v>
      </c>
      <c r="AH140" s="10">
        <v>3099267500</v>
      </c>
    </row>
    <row r="141" spans="1:34" x14ac:dyDescent="0.25">
      <c r="A141" s="5">
        <v>137</v>
      </c>
      <c r="B141" s="5" t="s">
        <v>404</v>
      </c>
      <c r="C141" s="5" t="s">
        <v>405</v>
      </c>
      <c r="D141" s="6">
        <v>37076</v>
      </c>
      <c r="E141" s="7">
        <v>9460427317681</v>
      </c>
      <c r="F141" s="7">
        <v>18352877132000</v>
      </c>
      <c r="G141" s="7">
        <v>17562816674000</v>
      </c>
      <c r="H141" s="8">
        <v>17760195040000</v>
      </c>
      <c r="I141" s="8">
        <v>20353992893000</v>
      </c>
      <c r="J141" s="7">
        <v>401792808948</v>
      </c>
      <c r="K141" s="7">
        <v>15890439000</v>
      </c>
      <c r="L141" s="7">
        <v>20425756000</v>
      </c>
      <c r="M141" s="8">
        <v>289888789000</v>
      </c>
      <c r="N141" s="18">
        <v>-109782957000</v>
      </c>
      <c r="Y141" s="7">
        <v>98083640000</v>
      </c>
      <c r="Z141" s="7">
        <v>83198920000</v>
      </c>
      <c r="AA141" s="7">
        <v>32322987000</v>
      </c>
      <c r="AB141" s="9">
        <v>17528119000</v>
      </c>
      <c r="AC141" s="9">
        <v>90682089000</v>
      </c>
      <c r="AD141" s="9">
        <v>5554000000</v>
      </c>
      <c r="AE141" s="9">
        <v>5554000000</v>
      </c>
      <c r="AF141" s="9">
        <v>5554000000</v>
      </c>
      <c r="AG141" s="9">
        <v>5554000000</v>
      </c>
      <c r="AH141" s="9">
        <v>5554000000</v>
      </c>
    </row>
    <row r="142" spans="1:34" x14ac:dyDescent="0.25">
      <c r="A142" s="5">
        <v>138</v>
      </c>
      <c r="B142" s="5" t="s">
        <v>406</v>
      </c>
      <c r="C142" s="5" t="s">
        <v>407</v>
      </c>
      <c r="D142" s="6">
        <v>33449</v>
      </c>
      <c r="E142" s="7">
        <v>18146206145369</v>
      </c>
      <c r="F142" s="7">
        <v>20264726862584</v>
      </c>
      <c r="G142" s="9">
        <v>22564300317374</v>
      </c>
      <c r="H142" s="8">
        <v>25666635156271</v>
      </c>
      <c r="I142" s="8">
        <v>27241313025674</v>
      </c>
      <c r="J142" s="7">
        <v>2497261964757</v>
      </c>
      <c r="K142" s="7">
        <v>2537601823645</v>
      </c>
      <c r="L142" s="9">
        <v>2799622515814</v>
      </c>
      <c r="M142" s="8">
        <v>3232007683281</v>
      </c>
      <c r="N142" s="8">
        <v>3450083412291</v>
      </c>
      <c r="Y142" s="7">
        <v>1190617265850</v>
      </c>
      <c r="Z142" s="9">
        <v>1252864180779</v>
      </c>
      <c r="AA142" s="9">
        <v>1252278191746</v>
      </c>
      <c r="AB142" s="9">
        <v>1372742724917</v>
      </c>
      <c r="AC142" s="9">
        <v>1696987952180</v>
      </c>
      <c r="AD142" s="9">
        <v>46875122110</v>
      </c>
      <c r="AE142" s="9">
        <v>46875122110</v>
      </c>
      <c r="AF142" s="9">
        <v>46875122110</v>
      </c>
      <c r="AG142" s="9">
        <v>46875122110</v>
      </c>
      <c r="AH142" s="9">
        <v>46875122110</v>
      </c>
    </row>
    <row r="143" spans="1:34" x14ac:dyDescent="0.25">
      <c r="A143" s="5">
        <v>139</v>
      </c>
      <c r="B143" s="5" t="s">
        <v>408</v>
      </c>
      <c r="C143" s="5" t="s">
        <v>409</v>
      </c>
      <c r="D143" s="6">
        <v>29790</v>
      </c>
      <c r="E143" s="7">
        <v>1263113689000</v>
      </c>
      <c r="F143" s="7">
        <v>901060986000</v>
      </c>
      <c r="G143" s="9">
        <v>929901046000</v>
      </c>
      <c r="H143" s="8">
        <v>1026266866000</v>
      </c>
      <c r="I143" s="8">
        <v>1037647240000</v>
      </c>
      <c r="J143" s="7">
        <v>1163324165000</v>
      </c>
      <c r="K143" s="7">
        <v>78256797000</v>
      </c>
      <c r="L143" s="9">
        <v>71902263000</v>
      </c>
      <c r="M143" s="8">
        <v>131660834000</v>
      </c>
      <c r="N143" s="8">
        <v>179837759000</v>
      </c>
      <c r="Y143" s="7">
        <v>1265600000000</v>
      </c>
      <c r="Z143" s="21"/>
      <c r="AA143" s="9">
        <v>58240000000</v>
      </c>
      <c r="AB143" s="39"/>
      <c r="AC143" s="39"/>
      <c r="AD143" s="9">
        <v>448000000</v>
      </c>
      <c r="AE143" s="9">
        <v>448000000</v>
      </c>
      <c r="AF143" s="9">
        <v>448000000</v>
      </c>
      <c r="AG143" s="9">
        <v>448000000</v>
      </c>
      <c r="AH143" s="9">
        <v>448000000</v>
      </c>
    </row>
    <row r="144" spans="1:34" x14ac:dyDescent="0.25">
      <c r="A144" s="5">
        <v>140</v>
      </c>
      <c r="B144" s="5" t="s">
        <v>410</v>
      </c>
      <c r="C144" s="5" t="s">
        <v>411</v>
      </c>
      <c r="D144" s="6">
        <v>43460</v>
      </c>
      <c r="E144" s="7">
        <v>1868663546000</v>
      </c>
      <c r="F144" s="7">
        <v>2096719180000</v>
      </c>
      <c r="G144" s="7">
        <v>1915989375000</v>
      </c>
      <c r="H144" s="8">
        <v>1838539299000</v>
      </c>
      <c r="I144" s="8">
        <v>1806280965000</v>
      </c>
      <c r="J144" s="7">
        <v>133292514000</v>
      </c>
      <c r="K144" s="7">
        <v>102310124000</v>
      </c>
      <c r="L144" s="7">
        <v>48665149000</v>
      </c>
      <c r="M144" s="8">
        <v>11296951000</v>
      </c>
      <c r="N144" s="8">
        <v>27395254000</v>
      </c>
      <c r="Y144" s="7">
        <v>87686243000</v>
      </c>
      <c r="Z144" s="7">
        <v>92716852000</v>
      </c>
      <c r="AA144" s="7">
        <v>71447083000</v>
      </c>
      <c r="AB144" s="9">
        <v>19395150000</v>
      </c>
      <c r="AC144" s="8">
        <v>6644400000</v>
      </c>
      <c r="AD144" s="10">
        <v>840000000</v>
      </c>
      <c r="AE144" s="10">
        <v>840000000</v>
      </c>
      <c r="AF144" s="9">
        <v>840000000</v>
      </c>
      <c r="AG144" s="9">
        <v>840000000</v>
      </c>
      <c r="AH144" s="9">
        <v>840000000</v>
      </c>
    </row>
    <row r="145" spans="1:34" x14ac:dyDescent="0.25">
      <c r="A145" s="5">
        <v>141</v>
      </c>
      <c r="B145" s="5" t="s">
        <v>412</v>
      </c>
      <c r="C145" s="5" t="s">
        <v>413</v>
      </c>
      <c r="D145" s="6">
        <v>37180</v>
      </c>
      <c r="E145" s="7">
        <v>187057163854</v>
      </c>
      <c r="F145" s="7">
        <v>190786208250</v>
      </c>
      <c r="G145" s="9">
        <v>228575380866</v>
      </c>
      <c r="H145" s="17">
        <v>806221575272</v>
      </c>
      <c r="I145" s="17">
        <v>1520568653644</v>
      </c>
      <c r="J145" s="7">
        <v>8447447988</v>
      </c>
      <c r="K145" s="7">
        <v>9342718039</v>
      </c>
      <c r="L145" s="9">
        <v>22104364267</v>
      </c>
      <c r="M145" s="17">
        <v>5478952440</v>
      </c>
      <c r="N145" s="17">
        <v>275472011358</v>
      </c>
      <c r="Y145" s="21"/>
      <c r="Z145" s="7">
        <v>2140320000</v>
      </c>
      <c r="AA145" s="15"/>
      <c r="AB145" s="39"/>
      <c r="AC145" s="39"/>
      <c r="AD145" s="10">
        <v>535080000</v>
      </c>
      <c r="AE145" s="10">
        <v>535080000</v>
      </c>
      <c r="AF145" s="9">
        <v>535080000</v>
      </c>
      <c r="AG145" s="9">
        <v>535080000</v>
      </c>
      <c r="AH145" s="9">
        <v>535080000</v>
      </c>
    </row>
    <row r="146" spans="1:34" x14ac:dyDescent="0.25">
      <c r="A146" s="5">
        <v>142</v>
      </c>
      <c r="B146" s="5" t="s">
        <v>414</v>
      </c>
      <c r="C146" s="5" t="s">
        <v>415</v>
      </c>
      <c r="D146" s="6">
        <v>33032</v>
      </c>
      <c r="E146" s="7">
        <v>1635702779000</v>
      </c>
      <c r="F146" s="7">
        <v>1417704185000</v>
      </c>
      <c r="G146" s="7">
        <v>1598281523000</v>
      </c>
      <c r="H146" s="17">
        <v>1212160543000</v>
      </c>
      <c r="I146" s="17">
        <v>1361427269000</v>
      </c>
      <c r="J146" s="7">
        <v>127091642000</v>
      </c>
      <c r="K146" s="7">
        <v>112652526000</v>
      </c>
      <c r="L146" s="7">
        <v>218362874000</v>
      </c>
      <c r="M146" s="17">
        <v>118691582000</v>
      </c>
      <c r="N146" s="17">
        <v>174782102000</v>
      </c>
      <c r="Y146" s="21"/>
      <c r="Z146" s="21"/>
      <c r="AA146" s="21"/>
      <c r="AB146" s="39"/>
      <c r="AC146" s="9">
        <v>162000000</v>
      </c>
      <c r="AD146" s="10">
        <v>3600000</v>
      </c>
      <c r="AE146" s="10">
        <v>3600000</v>
      </c>
      <c r="AF146" s="9">
        <v>3600000</v>
      </c>
      <c r="AG146" s="9">
        <v>3600000</v>
      </c>
      <c r="AH146" s="9">
        <v>3600000</v>
      </c>
    </row>
    <row r="147" spans="1:34" x14ac:dyDescent="0.25">
      <c r="A147" s="5">
        <v>143</v>
      </c>
      <c r="B147" s="5" t="s">
        <v>416</v>
      </c>
      <c r="C147" s="5" t="s">
        <v>417</v>
      </c>
      <c r="D147" s="6">
        <v>41626</v>
      </c>
      <c r="E147" s="7">
        <v>3337628000000</v>
      </c>
      <c r="F147" s="7">
        <v>3529557000000</v>
      </c>
      <c r="G147" s="7">
        <v>3849516000000</v>
      </c>
      <c r="H147" s="17">
        <v>4068970000000</v>
      </c>
      <c r="I147" s="17">
        <v>4081442000000</v>
      </c>
      <c r="J147" s="7">
        <v>663849000000</v>
      </c>
      <c r="K147" s="7">
        <v>807689000000</v>
      </c>
      <c r="L147" s="7">
        <v>934016000000</v>
      </c>
      <c r="M147" s="17">
        <v>1260898000000</v>
      </c>
      <c r="N147" s="17">
        <v>1104714000000</v>
      </c>
      <c r="Y147" s="7">
        <v>654882000000</v>
      </c>
      <c r="Z147" s="7">
        <v>640028000000</v>
      </c>
      <c r="AA147" s="7">
        <v>773988000000</v>
      </c>
      <c r="AB147" s="9">
        <v>1018142000000</v>
      </c>
      <c r="AC147" s="9">
        <v>1086000000000</v>
      </c>
      <c r="AD147" s="10">
        <v>15000000000</v>
      </c>
      <c r="AE147" s="10">
        <v>15000000000</v>
      </c>
      <c r="AF147" s="9">
        <v>30000000000</v>
      </c>
      <c r="AG147" s="9">
        <v>30000000000</v>
      </c>
      <c r="AH147" s="9">
        <v>30000000000</v>
      </c>
    </row>
    <row r="148" spans="1:34" x14ac:dyDescent="0.25">
      <c r="A148" s="5">
        <v>144</v>
      </c>
      <c r="B148" s="5" t="s">
        <v>420</v>
      </c>
      <c r="C148" s="5" t="s">
        <v>421</v>
      </c>
      <c r="D148" s="6">
        <v>34351</v>
      </c>
      <c r="E148" s="7">
        <v>7869975060326</v>
      </c>
      <c r="F148" s="7">
        <v>8372769580743</v>
      </c>
      <c r="G148" s="7">
        <v>9104657533366</v>
      </c>
      <c r="H148" s="17">
        <v>9644326662784</v>
      </c>
      <c r="I148" s="17">
        <v>11328974079150</v>
      </c>
      <c r="J148" s="7">
        <v>540378145887</v>
      </c>
      <c r="K148" s="7">
        <v>595154912874</v>
      </c>
      <c r="L148" s="7">
        <v>834369751682</v>
      </c>
      <c r="M148" s="17">
        <v>877817637643</v>
      </c>
      <c r="N148" s="17">
        <v>1037527882044</v>
      </c>
      <c r="Y148" s="7">
        <v>180000000000</v>
      </c>
      <c r="Z148" s="7">
        <v>180000000000</v>
      </c>
      <c r="AA148" s="7">
        <v>225000000000</v>
      </c>
      <c r="AB148" s="9">
        <v>360197286000</v>
      </c>
      <c r="AC148" s="9">
        <v>338239822500</v>
      </c>
      <c r="AD148" s="10">
        <v>4500000000</v>
      </c>
      <c r="AE148" s="10">
        <v>4500000000</v>
      </c>
      <c r="AF148" s="9">
        <v>4500000000</v>
      </c>
      <c r="AG148" s="9">
        <v>4509864300</v>
      </c>
      <c r="AH148" s="9">
        <v>4509864300</v>
      </c>
    </row>
    <row r="149" spans="1:34" x14ac:dyDescent="0.25">
      <c r="A149" s="5">
        <v>145</v>
      </c>
      <c r="B149" s="19" t="s">
        <v>424</v>
      </c>
      <c r="C149" s="19" t="s">
        <v>425</v>
      </c>
      <c r="D149" s="6">
        <v>43003</v>
      </c>
      <c r="E149" s="7">
        <v>914065000000</v>
      </c>
      <c r="F149" s="7">
        <v>923795000000</v>
      </c>
      <c r="G149" s="7">
        <v>973684000000</v>
      </c>
      <c r="H149" s="8">
        <v>985400000000</v>
      </c>
      <c r="I149" s="8">
        <v>1045929000000</v>
      </c>
      <c r="J149" s="7">
        <v>914065000000</v>
      </c>
      <c r="K149" s="7">
        <v>923795000000</v>
      </c>
      <c r="L149" s="7">
        <v>40085000000</v>
      </c>
      <c r="M149" s="8">
        <v>38851000000</v>
      </c>
      <c r="N149" s="8">
        <v>38417000000</v>
      </c>
      <c r="Y149" s="52">
        <v>30723000000</v>
      </c>
      <c r="Z149" s="52">
        <v>30362000000</v>
      </c>
      <c r="AA149" s="52">
        <v>22771000000</v>
      </c>
      <c r="AB149" s="52">
        <v>30362000000</v>
      </c>
      <c r="AC149" s="9">
        <v>25302000000</v>
      </c>
      <c r="AD149" s="10">
        <v>2131776780</v>
      </c>
      <c r="AE149" s="10">
        <v>2530150002</v>
      </c>
      <c r="AF149" s="10">
        <v>2530150002</v>
      </c>
      <c r="AG149" s="10">
        <v>2530150002</v>
      </c>
      <c r="AH149" s="10">
        <v>2530150002</v>
      </c>
    </row>
    <row r="150" spans="1:34" x14ac:dyDescent="0.25">
      <c r="A150" s="5">
        <v>146</v>
      </c>
      <c r="B150" s="5" t="s">
        <v>426</v>
      </c>
      <c r="C150" s="5" t="s">
        <v>427</v>
      </c>
      <c r="D150" s="6">
        <v>42349</v>
      </c>
      <c r="E150" s="7">
        <v>3592164205408</v>
      </c>
      <c r="F150" s="7">
        <v>4695764958883</v>
      </c>
      <c r="G150" s="7">
        <v>5255359155031</v>
      </c>
      <c r="H150" s="8">
        <v>5346062152770</v>
      </c>
      <c r="I150" s="8">
        <v>4676372045095</v>
      </c>
      <c r="J150" s="7">
        <v>150116045042</v>
      </c>
      <c r="K150" s="7">
        <v>515603339649</v>
      </c>
      <c r="L150" s="7">
        <v>113665219638</v>
      </c>
      <c r="M150" s="8">
        <v>97819911970</v>
      </c>
      <c r="N150" s="18">
        <v>-950288973938</v>
      </c>
      <c r="Y150" s="7">
        <v>38571430500</v>
      </c>
      <c r="Z150" s="7">
        <v>81428575500</v>
      </c>
      <c r="AA150" s="7">
        <v>147142864500</v>
      </c>
      <c r="AB150" s="39"/>
      <c r="AC150" s="9">
        <v>14452611445</v>
      </c>
      <c r="AD150" s="10">
        <v>1428571500</v>
      </c>
      <c r="AE150" s="10">
        <v>1428571500</v>
      </c>
      <c r="AF150" s="9">
        <v>1428571500</v>
      </c>
      <c r="AG150" s="9">
        <v>1428571500</v>
      </c>
      <c r="AH150" s="9">
        <v>1378818900</v>
      </c>
    </row>
    <row r="151" spans="1:34" x14ac:dyDescent="0.25">
      <c r="A151" s="5">
        <v>147</v>
      </c>
      <c r="B151" s="5" t="s">
        <v>430</v>
      </c>
      <c r="C151" s="5" t="s">
        <v>431</v>
      </c>
      <c r="D151" s="6">
        <v>40556</v>
      </c>
      <c r="E151" s="7">
        <v>648016880325</v>
      </c>
      <c r="F151" s="7">
        <v>591063928037</v>
      </c>
      <c r="G151" s="7">
        <v>982882686217</v>
      </c>
      <c r="H151" s="8">
        <v>713520658807</v>
      </c>
      <c r="I151" s="8">
        <v>721703608823</v>
      </c>
      <c r="J151" s="16">
        <v>-114131026847</v>
      </c>
      <c r="K151" s="16">
        <v>-66945894110</v>
      </c>
      <c r="L151" s="16">
        <v>-203214931752</v>
      </c>
      <c r="M151" s="18">
        <v>-149735541904</v>
      </c>
      <c r="N151" s="18">
        <v>-42426805953</v>
      </c>
      <c r="Y151" s="21"/>
      <c r="Z151" s="21"/>
      <c r="AA151" s="21"/>
      <c r="AB151" s="39"/>
      <c r="AC151" s="39"/>
      <c r="AD151" s="10">
        <v>107000000</v>
      </c>
      <c r="AE151" s="10">
        <v>1070000000</v>
      </c>
      <c r="AF151" s="9">
        <v>1070000000</v>
      </c>
      <c r="AG151" s="9">
        <v>1070000000</v>
      </c>
      <c r="AH151" s="9">
        <v>1070000000</v>
      </c>
    </row>
    <row r="152" spans="1:34" x14ac:dyDescent="0.25">
      <c r="A152" s="5">
        <v>148</v>
      </c>
      <c r="B152" s="5" t="s">
        <v>432</v>
      </c>
      <c r="C152" s="5" t="s">
        <v>433</v>
      </c>
      <c r="D152" s="6">
        <v>34907</v>
      </c>
      <c r="E152" s="7">
        <v>511887783867</v>
      </c>
      <c r="F152" s="7">
        <v>532762947995</v>
      </c>
      <c r="G152" s="7">
        <v>559795937451</v>
      </c>
      <c r="H152" s="7">
        <v>578260975588</v>
      </c>
      <c r="I152" s="7">
        <v>694780597799</v>
      </c>
      <c r="J152" s="16">
        <v>-2256476497</v>
      </c>
      <c r="K152" s="7">
        <v>131836668</v>
      </c>
      <c r="L152" s="16">
        <v>-6766719891</v>
      </c>
      <c r="M152" s="7">
        <v>357509551</v>
      </c>
      <c r="N152" s="7">
        <v>67812034137</v>
      </c>
      <c r="Y152" s="21"/>
      <c r="Z152" s="21"/>
      <c r="AA152" s="21"/>
      <c r="AB152" s="39"/>
      <c r="AC152" s="39"/>
      <c r="AD152" s="10">
        <v>428000000</v>
      </c>
      <c r="AE152" s="10">
        <v>428000000</v>
      </c>
      <c r="AF152" s="9">
        <v>428000000</v>
      </c>
      <c r="AG152" s="9">
        <v>428000000</v>
      </c>
      <c r="AH152" s="9">
        <v>428000000</v>
      </c>
    </row>
    <row r="153" spans="1:34" x14ac:dyDescent="0.25">
      <c r="A153" s="5">
        <v>149</v>
      </c>
      <c r="B153" s="5" t="s">
        <v>436</v>
      </c>
      <c r="C153" s="5" t="s">
        <v>437</v>
      </c>
      <c r="D153" s="6">
        <v>34235</v>
      </c>
      <c r="E153" s="7">
        <v>2445143511801</v>
      </c>
      <c r="F153" s="7">
        <v>2551192620939</v>
      </c>
      <c r="G153" s="7">
        <v>2314790056002</v>
      </c>
      <c r="H153" s="8">
        <v>2300804864960</v>
      </c>
      <c r="I153" s="17">
        <v>2380657918106</v>
      </c>
      <c r="J153" s="7">
        <v>173049442756</v>
      </c>
      <c r="K153" s="7">
        <v>145149344561</v>
      </c>
      <c r="L153" s="16">
        <v>-54776587213</v>
      </c>
      <c r="M153" s="18">
        <v>-76507618777</v>
      </c>
      <c r="N153" s="17">
        <v>18109470352</v>
      </c>
      <c r="Y153" s="7">
        <v>82437333470</v>
      </c>
      <c r="Z153" s="7">
        <v>84448000140</v>
      </c>
      <c r="AA153" s="7">
        <v>84448000140</v>
      </c>
      <c r="AB153" s="39"/>
      <c r="AC153" s="39"/>
      <c r="AD153" s="10">
        <v>201066667</v>
      </c>
      <c r="AE153" s="10">
        <v>201066667</v>
      </c>
      <c r="AF153" s="9">
        <v>201066667</v>
      </c>
      <c r="AG153" s="9">
        <v>201066667</v>
      </c>
      <c r="AH153" s="9">
        <v>201066667</v>
      </c>
    </row>
    <row r="154" spans="1:34" x14ac:dyDescent="0.25">
      <c r="A154" s="5">
        <v>150</v>
      </c>
      <c r="B154" s="5" t="s">
        <v>438</v>
      </c>
      <c r="C154" s="5" t="s">
        <v>439</v>
      </c>
      <c r="D154" s="6">
        <v>29962</v>
      </c>
      <c r="E154" s="7">
        <v>19522970000000</v>
      </c>
      <c r="F154" s="7">
        <v>20649371000000</v>
      </c>
      <c r="G154" s="9">
        <v>20534632000000</v>
      </c>
      <c r="H154" s="17">
        <v>19068532000000</v>
      </c>
      <c r="I154" s="17">
        <v>18318114000000</v>
      </c>
      <c r="J154" s="7">
        <v>9109445000000</v>
      </c>
      <c r="K154" s="7">
        <v>7392837000000</v>
      </c>
      <c r="L154" s="9">
        <v>7163536000000</v>
      </c>
      <c r="M154" s="17">
        <v>5758148000000</v>
      </c>
      <c r="N154" s="17">
        <v>5364761000000</v>
      </c>
      <c r="Y154" s="7">
        <v>6981450000000</v>
      </c>
      <c r="Z154" s="7">
        <v>9191962000000</v>
      </c>
      <c r="AA154" s="9">
        <v>7401100000000</v>
      </c>
      <c r="AB154" s="9">
        <v>6332900000000</v>
      </c>
      <c r="AC154" s="9">
        <v>5836950000000</v>
      </c>
      <c r="AD154" s="10">
        <v>7630000000</v>
      </c>
      <c r="AE154" s="10">
        <v>7630000000</v>
      </c>
      <c r="AF154" s="9">
        <v>38150000000</v>
      </c>
      <c r="AG154" s="9">
        <v>38150000000</v>
      </c>
      <c r="AH154" s="9">
        <v>38150000000</v>
      </c>
    </row>
    <row r="155" spans="1:34" x14ac:dyDescent="0.25">
      <c r="A155" s="5">
        <v>151</v>
      </c>
      <c r="B155" s="5" t="s">
        <v>444</v>
      </c>
      <c r="C155" s="5" t="s">
        <v>445</v>
      </c>
      <c r="D155" s="6">
        <v>41817</v>
      </c>
      <c r="E155" s="7">
        <v>491382035136</v>
      </c>
      <c r="F155" s="7">
        <v>521493784876</v>
      </c>
      <c r="G155" s="7">
        <v>498020612974</v>
      </c>
      <c r="H155" s="8">
        <v>492697209711</v>
      </c>
      <c r="I155" s="8">
        <v>492056440058</v>
      </c>
      <c r="J155" s="7">
        <v>13554152161</v>
      </c>
      <c r="K155" s="7">
        <v>7221065916</v>
      </c>
      <c r="L155" s="7">
        <v>249076655</v>
      </c>
      <c r="M155" s="23">
        <v>-98210943293</v>
      </c>
      <c r="N155" s="23">
        <v>-7529603579</v>
      </c>
      <c r="Y155" s="7">
        <v>8768550000</v>
      </c>
      <c r="Z155" s="7">
        <v>3870200000</v>
      </c>
      <c r="AA155" s="7">
        <v>2900000000</v>
      </c>
      <c r="AB155" s="39"/>
      <c r="AC155" s="9">
        <v>1000000000</v>
      </c>
      <c r="AD155" s="10">
        <v>1000000000</v>
      </c>
      <c r="AE155" s="10">
        <v>1000000000</v>
      </c>
      <c r="AF155" s="9">
        <v>1000000000</v>
      </c>
      <c r="AG155" s="9">
        <v>1000000000</v>
      </c>
      <c r="AH155" s="9">
        <v>1000000000</v>
      </c>
    </row>
    <row r="156" spans="1:34" x14ac:dyDescent="0.25">
      <c r="A156" s="5">
        <v>152</v>
      </c>
      <c r="B156" s="5" t="s">
        <v>448</v>
      </c>
      <c r="C156" s="5" t="s">
        <v>449</v>
      </c>
      <c r="D156" s="6">
        <v>34270</v>
      </c>
      <c r="E156" s="7">
        <v>154088747766</v>
      </c>
      <c r="F156" s="7">
        <v>152818996760</v>
      </c>
      <c r="G156" s="7">
        <v>157023139112</v>
      </c>
      <c r="H156" s="8">
        <v>185698138869</v>
      </c>
      <c r="I156" s="8">
        <v>181667554919</v>
      </c>
      <c r="J156" s="16">
        <v>-873742659</v>
      </c>
      <c r="K156" s="16">
        <v>-3172619509</v>
      </c>
      <c r="L156" s="16">
        <v>-10658558</v>
      </c>
      <c r="M156" s="8">
        <v>21701439355</v>
      </c>
      <c r="N156" s="8">
        <v>431268042</v>
      </c>
      <c r="Y156" s="21"/>
      <c r="Z156" s="21"/>
      <c r="AA156" s="21"/>
      <c r="AB156" s="39"/>
      <c r="AC156" s="39"/>
      <c r="AD156" s="10">
        <v>276000000</v>
      </c>
      <c r="AE156" s="10">
        <v>276000000</v>
      </c>
      <c r="AF156" s="9">
        <v>276000000</v>
      </c>
      <c r="AG156" s="9">
        <v>276000000</v>
      </c>
      <c r="AH156" s="9">
        <v>276000000</v>
      </c>
    </row>
    <row r="157" spans="1:34" x14ac:dyDescent="0.25">
      <c r="A157" s="5">
        <v>153</v>
      </c>
      <c r="B157" s="5" t="s">
        <v>450</v>
      </c>
      <c r="C157" s="5" t="s">
        <v>451</v>
      </c>
      <c r="D157" s="6">
        <v>34624</v>
      </c>
      <c r="E157" s="7">
        <v>786704752983</v>
      </c>
      <c r="F157" s="7">
        <v>737642257697</v>
      </c>
      <c r="G157" s="7">
        <v>698252022979</v>
      </c>
      <c r="H157" s="17">
        <v>704070618412</v>
      </c>
      <c r="I157" s="17">
        <v>694287670534</v>
      </c>
      <c r="J157" s="16">
        <v>-46390704290</v>
      </c>
      <c r="K157" s="16">
        <v>-41669593909</v>
      </c>
      <c r="L157" s="16">
        <v>-41331271519</v>
      </c>
      <c r="M157" s="18">
        <v>-14362302768</v>
      </c>
      <c r="N157" s="17">
        <v>-24611113410</v>
      </c>
      <c r="Y157" s="21"/>
      <c r="Z157" s="21"/>
      <c r="AA157" s="21"/>
      <c r="AB157" s="39"/>
      <c r="AC157" s="39"/>
      <c r="AD157" s="10">
        <v>1008517669</v>
      </c>
      <c r="AE157" s="10">
        <v>1008517669</v>
      </c>
      <c r="AF157" s="9">
        <v>1008517669</v>
      </c>
      <c r="AG157" s="9">
        <v>1008517669</v>
      </c>
      <c r="AH157" s="9">
        <v>1008517669</v>
      </c>
    </row>
    <row r="158" spans="1:34" ht="30" x14ac:dyDescent="0.25">
      <c r="A158" s="5">
        <v>154</v>
      </c>
      <c r="B158" s="5" t="s">
        <v>456</v>
      </c>
      <c r="C158" s="5" t="s">
        <v>457</v>
      </c>
      <c r="D158" s="6">
        <v>42907</v>
      </c>
      <c r="E158" s="7">
        <v>4588497407410</v>
      </c>
      <c r="F158" s="7">
        <v>5518890225060</v>
      </c>
      <c r="G158" s="7">
        <v>5949006786510</v>
      </c>
      <c r="H158" s="17">
        <v>6801034778630</v>
      </c>
      <c r="I158" s="17">
        <v>6956345266754</v>
      </c>
      <c r="J158" s="7">
        <v>242010106249</v>
      </c>
      <c r="K158" s="7">
        <v>218064313042</v>
      </c>
      <c r="L158" s="7">
        <v>314373402229</v>
      </c>
      <c r="M158" s="17">
        <v>535295612635</v>
      </c>
      <c r="N158" s="17">
        <v>177124125126</v>
      </c>
      <c r="Y158" s="21"/>
      <c r="Z158" s="21"/>
      <c r="AA158" s="21"/>
      <c r="AB158" s="9">
        <v>15906250000</v>
      </c>
      <c r="AC158" s="9">
        <v>15906250000</v>
      </c>
      <c r="AD158" s="10">
        <v>6306250000</v>
      </c>
      <c r="AE158" s="10">
        <v>6306250000</v>
      </c>
      <c r="AF158" s="9">
        <v>6306250000</v>
      </c>
      <c r="AG158" s="9">
        <v>6362500000</v>
      </c>
      <c r="AH158" s="9">
        <v>6437500000</v>
      </c>
    </row>
    <row r="159" spans="1:34" x14ac:dyDescent="0.25">
      <c r="A159" s="5">
        <v>155</v>
      </c>
      <c r="B159" s="5" t="s">
        <v>462</v>
      </c>
      <c r="C159" s="5" t="s">
        <v>463</v>
      </c>
      <c r="D159" s="6">
        <v>42907</v>
      </c>
      <c r="E159" s="7">
        <v>1537031552479</v>
      </c>
      <c r="F159" s="7">
        <v>2311190054987</v>
      </c>
      <c r="G159" s="7">
        <v>2830686417461</v>
      </c>
      <c r="H159" s="17">
        <v>3478074220547</v>
      </c>
      <c r="I159" s="17">
        <v>3849086552639</v>
      </c>
      <c r="J159" s="7">
        <v>123393863438</v>
      </c>
      <c r="K159" s="7">
        <v>149990636633</v>
      </c>
      <c r="L159" s="7">
        <v>170679197734</v>
      </c>
      <c r="M159" s="17">
        <v>194432397219</v>
      </c>
      <c r="N159" s="17">
        <v>254127589783</v>
      </c>
      <c r="Y159" s="7">
        <v>27631574400</v>
      </c>
      <c r="Z159" s="21"/>
      <c r="AA159" s="21"/>
      <c r="AB159" s="9">
        <v>36842099200</v>
      </c>
      <c r="AC159" s="9">
        <v>46252624000</v>
      </c>
      <c r="AD159" s="10">
        <v>4605262400</v>
      </c>
      <c r="AE159" s="10">
        <v>4605262400</v>
      </c>
      <c r="AF159" s="9">
        <v>4605262400</v>
      </c>
      <c r="AG159" s="9">
        <v>4605262400</v>
      </c>
      <c r="AH159" s="9">
        <v>4605262400</v>
      </c>
    </row>
    <row r="161" spans="1:34" x14ac:dyDescent="0.25">
      <c r="A161" t="s">
        <v>485</v>
      </c>
    </row>
    <row r="162" spans="1:34" x14ac:dyDescent="0.25">
      <c r="A162" s="5">
        <v>1</v>
      </c>
      <c r="B162" s="5" t="s">
        <v>176</v>
      </c>
      <c r="C162" s="5" t="s">
        <v>177</v>
      </c>
      <c r="D162" s="6">
        <v>39640</v>
      </c>
      <c r="E162" s="7">
        <v>1058927511760</v>
      </c>
      <c r="F162" s="29"/>
      <c r="G162" s="29"/>
      <c r="H162" s="29"/>
      <c r="I162" s="29"/>
      <c r="J162" s="7">
        <v>-124767897543</v>
      </c>
      <c r="K162" s="29"/>
      <c r="L162" s="29"/>
      <c r="M162" s="29"/>
      <c r="N162" s="29"/>
      <c r="Y162" s="38"/>
      <c r="Z162" s="29"/>
      <c r="AA162" s="29"/>
      <c r="AB162" s="29"/>
      <c r="AC162" s="27"/>
      <c r="AD162" s="9">
        <v>8687995734</v>
      </c>
      <c r="AE162" s="41"/>
      <c r="AF162" s="41"/>
      <c r="AG162" s="30"/>
      <c r="AH162" s="27"/>
    </row>
    <row r="163" spans="1:34" x14ac:dyDescent="0.25">
      <c r="A163" s="5">
        <v>2</v>
      </c>
      <c r="B163" s="5" t="s">
        <v>194</v>
      </c>
      <c r="C163" s="5" t="s">
        <v>195</v>
      </c>
      <c r="D163" s="6">
        <v>42348</v>
      </c>
      <c r="E163" s="43">
        <v>404722056954</v>
      </c>
      <c r="F163" s="43">
        <v>420680923158</v>
      </c>
      <c r="G163" s="7">
        <v>350375482319</v>
      </c>
      <c r="H163" s="29"/>
      <c r="I163" s="29"/>
      <c r="J163" s="43">
        <v>32352159254</v>
      </c>
      <c r="K163" s="7">
        <v>10231229929</v>
      </c>
      <c r="L163" s="16">
        <v>-57108102152</v>
      </c>
      <c r="M163" s="29"/>
      <c r="N163" s="29"/>
      <c r="Y163" s="43">
        <v>8640000000</v>
      </c>
      <c r="Z163" s="7">
        <v>8640000000</v>
      </c>
      <c r="AA163" s="38"/>
      <c r="AB163" s="29"/>
      <c r="AC163" s="27"/>
      <c r="AD163" s="44">
        <v>1080000000</v>
      </c>
      <c r="AE163" s="9">
        <v>1080000000</v>
      </c>
      <c r="AF163" s="9">
        <v>1080000000</v>
      </c>
      <c r="AG163" s="27"/>
      <c r="AH163" s="27"/>
    </row>
    <row r="164" spans="1:34" x14ac:dyDescent="0.25">
      <c r="A164" s="5">
        <v>3</v>
      </c>
      <c r="B164" s="5" t="s">
        <v>202</v>
      </c>
      <c r="C164" s="5" t="s">
        <v>203</v>
      </c>
      <c r="D164" s="6">
        <v>43259</v>
      </c>
      <c r="E164" s="7">
        <v>753736481783</v>
      </c>
      <c r="F164" s="7">
        <v>756289935459</v>
      </c>
      <c r="G164" s="29"/>
      <c r="H164" s="29"/>
      <c r="I164" s="29"/>
      <c r="J164" s="7">
        <v>1394824804</v>
      </c>
      <c r="K164" s="16">
        <v>-3149481211</v>
      </c>
      <c r="L164" s="29"/>
      <c r="M164" s="29"/>
      <c r="N164" s="29"/>
      <c r="Y164" s="21"/>
      <c r="Z164" s="21"/>
      <c r="AA164" s="29"/>
      <c r="AB164" s="29"/>
      <c r="AC164" s="27"/>
      <c r="AD164" s="10">
        <v>992362650</v>
      </c>
      <c r="AE164" s="10">
        <v>1069009400</v>
      </c>
      <c r="AF164" s="30"/>
      <c r="AG164" s="30"/>
      <c r="AH164" s="27"/>
    </row>
    <row r="165" spans="1:34" x14ac:dyDescent="0.25">
      <c r="A165" s="5">
        <v>4</v>
      </c>
      <c r="B165" s="5" t="s">
        <v>204</v>
      </c>
      <c r="C165" s="5" t="s">
        <v>205</v>
      </c>
      <c r="D165" s="6">
        <v>41586</v>
      </c>
      <c r="E165" s="7">
        <v>606055631089</v>
      </c>
      <c r="F165" s="29"/>
      <c r="G165" s="29"/>
      <c r="H165" s="29"/>
      <c r="I165" s="29"/>
      <c r="J165" s="16">
        <v>-66731357187</v>
      </c>
      <c r="K165" s="29"/>
      <c r="L165" s="29"/>
      <c r="M165" s="29"/>
      <c r="N165" s="29"/>
      <c r="Y165" s="21"/>
      <c r="Z165" s="29"/>
      <c r="AA165" s="29"/>
      <c r="AB165" s="29"/>
      <c r="AC165" s="27"/>
      <c r="AD165" s="9">
        <v>971190000</v>
      </c>
      <c r="AE165" s="30"/>
      <c r="AF165" s="30"/>
      <c r="AG165" s="30"/>
      <c r="AH165" s="27"/>
    </row>
    <row r="166" spans="1:34" x14ac:dyDescent="0.25">
      <c r="A166" s="5">
        <v>5</v>
      </c>
      <c r="B166" s="5" t="s">
        <v>232</v>
      </c>
      <c r="C166" s="5" t="s">
        <v>233</v>
      </c>
      <c r="D166" s="6">
        <v>33443</v>
      </c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Y166" s="29"/>
      <c r="Z166" s="47"/>
      <c r="AA166" s="47"/>
      <c r="AB166" s="29"/>
      <c r="AC166" s="27"/>
      <c r="AD166" s="30"/>
      <c r="AE166" s="41"/>
      <c r="AF166" s="41"/>
      <c r="AG166" s="30"/>
      <c r="AH166" s="27"/>
    </row>
    <row r="167" spans="1:34" x14ac:dyDescent="0.25">
      <c r="A167" s="5">
        <v>6</v>
      </c>
      <c r="B167" s="5" t="s">
        <v>244</v>
      </c>
      <c r="C167" s="5" t="s">
        <v>245</v>
      </c>
      <c r="D167" s="6">
        <v>28997</v>
      </c>
      <c r="E167" s="14">
        <v>47492460</v>
      </c>
      <c r="F167" s="43"/>
      <c r="G167" s="43"/>
      <c r="H167" s="43"/>
      <c r="I167" s="27"/>
      <c r="J167" s="22">
        <v>-205434</v>
      </c>
      <c r="K167" s="43"/>
      <c r="L167" s="43"/>
      <c r="M167" s="43"/>
      <c r="N167" s="27"/>
      <c r="Y167" s="39"/>
      <c r="Z167" s="38"/>
      <c r="AA167" s="38"/>
      <c r="AB167" s="38"/>
      <c r="AC167" s="27"/>
      <c r="AD167" s="9">
        <v>200000000</v>
      </c>
      <c r="AE167" s="44"/>
      <c r="AF167" s="29"/>
      <c r="AG167" s="30"/>
      <c r="AH167" s="27"/>
    </row>
    <row r="168" spans="1:34" x14ac:dyDescent="0.25">
      <c r="A168" s="5">
        <v>7</v>
      </c>
      <c r="B168" s="5" t="s">
        <v>278</v>
      </c>
      <c r="C168" s="5" t="s">
        <v>279</v>
      </c>
      <c r="D168" s="6">
        <v>37364</v>
      </c>
      <c r="E168" s="7">
        <v>116281017000000</v>
      </c>
      <c r="F168" s="7">
        <v>111713375000000</v>
      </c>
      <c r="G168" s="29"/>
      <c r="H168" s="29"/>
      <c r="I168" s="29"/>
      <c r="J168" s="7">
        <v>11498409000000</v>
      </c>
      <c r="K168" s="7">
        <v>11134641000000</v>
      </c>
      <c r="L168" s="29"/>
      <c r="M168" s="29"/>
      <c r="N168" s="29"/>
      <c r="Y168" s="7">
        <v>3883845000000</v>
      </c>
      <c r="Z168" s="7">
        <v>4900419000000</v>
      </c>
      <c r="AA168" s="7">
        <v>3838759000000</v>
      </c>
      <c r="AB168" s="39"/>
      <c r="AC168" s="27"/>
      <c r="AD168" s="9">
        <v>3730135136</v>
      </c>
      <c r="AE168" s="9">
        <v>3730135136</v>
      </c>
      <c r="AF168" s="27"/>
      <c r="AG168" s="27"/>
      <c r="AH168" s="27"/>
    </row>
    <row r="169" spans="1:34" x14ac:dyDescent="0.25">
      <c r="A169" s="5">
        <v>8</v>
      </c>
      <c r="B169" s="5" t="s">
        <v>288</v>
      </c>
      <c r="C169" s="5" t="s">
        <v>289</v>
      </c>
      <c r="D169" s="6">
        <v>33259</v>
      </c>
      <c r="E169" s="13">
        <v>81407029</v>
      </c>
      <c r="F169" s="43">
        <v>91730054</v>
      </c>
      <c r="G169" s="43">
        <v>94808906</v>
      </c>
      <c r="H169" s="29"/>
      <c r="I169" s="27"/>
      <c r="J169" s="7">
        <v>1233587</v>
      </c>
      <c r="K169" s="43">
        <v>2346766</v>
      </c>
      <c r="L169" s="16">
        <v>-1299041</v>
      </c>
      <c r="M169" s="29"/>
      <c r="N169" s="27"/>
      <c r="Y169" s="7">
        <v>411264</v>
      </c>
      <c r="Z169" s="43">
        <v>773568</v>
      </c>
      <c r="AA169" s="43">
        <v>87516</v>
      </c>
      <c r="AB169" s="29"/>
      <c r="AC169" s="27"/>
      <c r="AD169" s="9">
        <v>1224000000</v>
      </c>
      <c r="AE169" s="9">
        <v>1224000000</v>
      </c>
      <c r="AF169" s="9">
        <v>1224000000</v>
      </c>
      <c r="AG169" s="30"/>
      <c r="AH169" s="27"/>
    </row>
    <row r="170" spans="1:34" x14ac:dyDescent="0.25">
      <c r="A170" s="5">
        <v>9</v>
      </c>
      <c r="B170" s="5" t="s">
        <v>302</v>
      </c>
      <c r="C170" s="5" t="s">
        <v>303</v>
      </c>
      <c r="D170" s="6">
        <v>43187</v>
      </c>
      <c r="E170" s="7">
        <v>567956245715</v>
      </c>
      <c r="F170" s="7">
        <v>542056619997</v>
      </c>
      <c r="G170" s="9">
        <v>495492401031</v>
      </c>
      <c r="H170" s="41"/>
      <c r="I170" s="41"/>
      <c r="J170" s="7">
        <v>23702405812</v>
      </c>
      <c r="K170" s="7">
        <v>17348754579</v>
      </c>
      <c r="L170" s="9">
        <v>6975576464</v>
      </c>
      <c r="M170" s="41"/>
      <c r="N170" s="41"/>
      <c r="Y170" s="21"/>
      <c r="Z170" s="21"/>
      <c r="AA170" s="15"/>
      <c r="AB170" s="29"/>
      <c r="AC170" s="27"/>
      <c r="AD170" s="10">
        <v>1016270000</v>
      </c>
      <c r="AE170" s="10">
        <v>2032540000</v>
      </c>
      <c r="AF170" s="10">
        <v>2032540000</v>
      </c>
      <c r="AG170" s="41"/>
      <c r="AH170" s="27"/>
    </row>
    <row r="171" spans="1:34" x14ac:dyDescent="0.25">
      <c r="A171" s="5">
        <v>10</v>
      </c>
      <c r="B171" s="5" t="s">
        <v>428</v>
      </c>
      <c r="C171" s="5" t="s">
        <v>429</v>
      </c>
      <c r="D171" s="6">
        <v>43378</v>
      </c>
      <c r="E171" s="7">
        <v>230724365283</v>
      </c>
      <c r="F171" s="7">
        <v>255330406694</v>
      </c>
      <c r="G171" s="7">
        <v>254725484771</v>
      </c>
      <c r="H171" s="29"/>
      <c r="I171" s="29"/>
      <c r="J171" s="7">
        <v>800146691</v>
      </c>
      <c r="K171" s="7">
        <v>556268538</v>
      </c>
      <c r="L171" s="16">
        <v>-4925365603</v>
      </c>
      <c r="M171" s="29"/>
      <c r="N171" s="29"/>
      <c r="Y171" s="21"/>
      <c r="Z171" s="21"/>
      <c r="AA171" s="21"/>
      <c r="AB171" s="29"/>
      <c r="AC171" s="27"/>
      <c r="AD171" s="10">
        <v>768000000</v>
      </c>
      <c r="AE171" s="10">
        <v>768042882</v>
      </c>
      <c r="AF171" s="10">
        <v>768042882</v>
      </c>
      <c r="AG171" s="30"/>
      <c r="AH171" s="27"/>
    </row>
  </sheetData>
  <mergeCells count="7">
    <mergeCell ref="AD3:AH3"/>
    <mergeCell ref="E3:I3"/>
    <mergeCell ref="J3:N3"/>
    <mergeCell ref="O3:Q3"/>
    <mergeCell ref="R3:T3"/>
    <mergeCell ref="U3:W3"/>
    <mergeCell ref="Y3:A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41D8C-DAF3-4E45-A727-A9299F2FAC28}">
  <dimension ref="A1:X161"/>
  <sheetViews>
    <sheetView topLeftCell="A46" workbookViewId="0">
      <selection activeCell="E3" sqref="E3:I53"/>
    </sheetView>
  </sheetViews>
  <sheetFormatPr defaultRowHeight="15" x14ac:dyDescent="0.25"/>
  <cols>
    <col min="1" max="1" width="3.85546875" bestFit="1" customWidth="1"/>
    <col min="2" max="2" width="6.85546875" bestFit="1" customWidth="1"/>
    <col min="3" max="3" width="46.42578125" hidden="1" customWidth="1"/>
    <col min="4" max="4" width="14" customWidth="1"/>
    <col min="5" max="6" width="18.5703125" bestFit="1" customWidth="1"/>
    <col min="7" max="11" width="18.140625" customWidth="1"/>
    <col min="12" max="14" width="17.140625" customWidth="1"/>
    <col min="15" max="16" width="16" customWidth="1"/>
    <col min="17" max="17" width="17.140625" bestFit="1" customWidth="1"/>
    <col min="18" max="18" width="16" customWidth="1"/>
    <col min="19" max="19" width="17.140625" customWidth="1"/>
    <col min="20" max="24" width="14.42578125" customWidth="1"/>
  </cols>
  <sheetData>
    <row r="1" spans="1:24" x14ac:dyDescent="0.25">
      <c r="A1" t="s">
        <v>486</v>
      </c>
    </row>
    <row r="3" spans="1:24" x14ac:dyDescent="0.25">
      <c r="A3" s="1" t="s">
        <v>0</v>
      </c>
      <c r="B3" s="1" t="s">
        <v>1</v>
      </c>
      <c r="C3" s="2" t="s">
        <v>2</v>
      </c>
      <c r="D3" s="2" t="s">
        <v>3</v>
      </c>
      <c r="E3" s="95" t="s">
        <v>4</v>
      </c>
      <c r="F3" s="95"/>
      <c r="G3" s="95"/>
      <c r="H3" s="95"/>
      <c r="I3" s="95"/>
      <c r="J3" s="93" t="s">
        <v>5</v>
      </c>
      <c r="K3" s="93"/>
      <c r="L3" s="93"/>
      <c r="M3" s="93"/>
      <c r="N3" s="94"/>
      <c r="O3" s="93" t="s">
        <v>9</v>
      </c>
      <c r="P3" s="93"/>
      <c r="Q3" s="93"/>
      <c r="R3" s="93"/>
      <c r="S3" s="94"/>
      <c r="T3" s="93" t="s">
        <v>8</v>
      </c>
      <c r="U3" s="93"/>
      <c r="V3" s="93"/>
      <c r="W3" s="93"/>
      <c r="X3" s="94"/>
    </row>
    <row r="4" spans="1:24" x14ac:dyDescent="0.25">
      <c r="A4" s="3"/>
      <c r="B4" s="3"/>
      <c r="C4" s="3"/>
      <c r="D4" s="3"/>
      <c r="E4" s="3">
        <v>2018</v>
      </c>
      <c r="F4" s="3">
        <v>2019</v>
      </c>
      <c r="G4" s="4">
        <v>2020</v>
      </c>
      <c r="H4" s="4">
        <v>2021</v>
      </c>
      <c r="I4" s="4">
        <v>2022</v>
      </c>
      <c r="J4" s="3">
        <v>2018</v>
      </c>
      <c r="K4" s="3">
        <v>2019</v>
      </c>
      <c r="L4" s="4">
        <v>2020</v>
      </c>
      <c r="M4" s="4">
        <v>2021</v>
      </c>
      <c r="N4" s="4">
        <v>2022</v>
      </c>
      <c r="O4" s="3">
        <v>2018</v>
      </c>
      <c r="P4" s="3">
        <v>2019</v>
      </c>
      <c r="Q4" s="4">
        <v>2020</v>
      </c>
      <c r="R4" s="4">
        <v>2021</v>
      </c>
      <c r="S4" s="4">
        <v>2022</v>
      </c>
      <c r="T4" s="3">
        <v>2018</v>
      </c>
      <c r="U4" s="3">
        <v>2019</v>
      </c>
      <c r="V4" s="4">
        <v>2020</v>
      </c>
      <c r="W4" s="4">
        <v>2021</v>
      </c>
      <c r="X4" s="4">
        <v>2022</v>
      </c>
    </row>
    <row r="5" spans="1:24" x14ac:dyDescent="0.25">
      <c r="A5" s="5">
        <v>1</v>
      </c>
      <c r="B5" s="5" t="s">
        <v>10</v>
      </c>
      <c r="C5" s="5" t="s">
        <v>11</v>
      </c>
      <c r="D5" s="6">
        <v>32847</v>
      </c>
      <c r="E5" s="7">
        <v>27788562000000</v>
      </c>
      <c r="F5" s="7">
        <v>27707749000000</v>
      </c>
      <c r="G5" s="7">
        <v>27344672000000</v>
      </c>
      <c r="H5" s="7">
        <v>26136114000000</v>
      </c>
      <c r="I5" s="8">
        <v>25706169000000</v>
      </c>
      <c r="J5" s="7">
        <v>1145937000000</v>
      </c>
      <c r="K5" s="7">
        <v>1835305000000</v>
      </c>
      <c r="L5" s="7">
        <v>1806337000000</v>
      </c>
      <c r="M5" s="9">
        <v>1788496000000</v>
      </c>
      <c r="N5" s="8">
        <v>1842434000000</v>
      </c>
      <c r="O5" s="9">
        <v>2576862000000</v>
      </c>
      <c r="P5" s="9">
        <v>2024677000000</v>
      </c>
      <c r="Q5" s="9">
        <v>2668893000000</v>
      </c>
      <c r="R5" s="9">
        <v>1840616000000</v>
      </c>
      <c r="S5" s="9">
        <v>1740821000000</v>
      </c>
      <c r="T5" s="10">
        <v>3681231699</v>
      </c>
      <c r="U5" s="10">
        <v>3681231699</v>
      </c>
      <c r="V5" s="9">
        <v>3681231699</v>
      </c>
      <c r="W5" s="9">
        <v>3549811099</v>
      </c>
      <c r="X5" s="8">
        <v>3431073399</v>
      </c>
    </row>
    <row r="6" spans="1:24" x14ac:dyDescent="0.25">
      <c r="A6" s="5">
        <v>2</v>
      </c>
      <c r="B6" s="5" t="s">
        <v>18</v>
      </c>
      <c r="C6" s="5" t="s">
        <v>19</v>
      </c>
      <c r="D6" s="6">
        <v>33427</v>
      </c>
      <c r="E6" s="7">
        <v>51155890227000</v>
      </c>
      <c r="F6" s="7">
        <v>79807067000000</v>
      </c>
      <c r="G6" s="7">
        <v>78006244000000</v>
      </c>
      <c r="H6" s="8">
        <v>81766327000000</v>
      </c>
      <c r="I6" s="8">
        <v>82960012000000</v>
      </c>
      <c r="J6" s="7">
        <v>3085704236000</v>
      </c>
      <c r="K6" s="7">
        <v>2371233000000</v>
      </c>
      <c r="L6" s="7">
        <v>2674343000000</v>
      </c>
      <c r="M6" s="9">
        <v>2082347000000</v>
      </c>
      <c r="N6" s="17">
        <v>2499083000000</v>
      </c>
      <c r="O6" s="9">
        <v>82711000000</v>
      </c>
      <c r="P6" s="9">
        <v>1244948000000</v>
      </c>
      <c r="Q6" s="9">
        <v>254472000000</v>
      </c>
      <c r="R6" s="7">
        <v>1132829000000</v>
      </c>
      <c r="S6" s="8">
        <v>1064311000000</v>
      </c>
      <c r="T6" s="9">
        <v>5931520000</v>
      </c>
      <c r="U6" s="9">
        <v>5931520000</v>
      </c>
      <c r="V6" s="9">
        <v>5931520000</v>
      </c>
      <c r="W6" s="9">
        <v>5931520000</v>
      </c>
      <c r="X6" s="9">
        <v>6751540089</v>
      </c>
    </row>
    <row r="7" spans="1:24" x14ac:dyDescent="0.25">
      <c r="A7" s="5">
        <v>3</v>
      </c>
      <c r="B7" s="5" t="s">
        <v>24</v>
      </c>
      <c r="C7" s="5" t="s">
        <v>25</v>
      </c>
      <c r="D7" s="6">
        <v>42633</v>
      </c>
      <c r="E7" s="7">
        <v>8881778299672</v>
      </c>
      <c r="F7" s="7">
        <v>10337895087207</v>
      </c>
      <c r="G7" s="7">
        <v>8509017299594</v>
      </c>
      <c r="H7" s="8">
        <v>9082511044439</v>
      </c>
      <c r="I7" s="17">
        <v>9447528704261</v>
      </c>
      <c r="J7" s="7">
        <v>486640174453</v>
      </c>
      <c r="K7" s="7">
        <v>510711733403</v>
      </c>
      <c r="L7" s="7">
        <v>123147079420</v>
      </c>
      <c r="M7" s="8">
        <v>81433957569</v>
      </c>
      <c r="N7" s="17">
        <v>171060047099</v>
      </c>
      <c r="O7" s="9">
        <v>101143683915</v>
      </c>
      <c r="P7" s="9">
        <v>145937796276</v>
      </c>
      <c r="Q7" s="9">
        <v>128103935065</v>
      </c>
      <c r="R7" s="7">
        <v>25633343020</v>
      </c>
      <c r="S7" s="17">
        <v>16559386540</v>
      </c>
      <c r="T7" s="9">
        <v>8715466600</v>
      </c>
      <c r="U7" s="9">
        <v>8715466600</v>
      </c>
      <c r="V7" s="9">
        <v>8715466600</v>
      </c>
      <c r="W7" s="9">
        <v>8715466600</v>
      </c>
      <c r="X7" s="9">
        <v>8715466600</v>
      </c>
    </row>
    <row r="8" spans="1:24" x14ac:dyDescent="0.25">
      <c r="A8" s="5">
        <v>4</v>
      </c>
      <c r="B8" s="5" t="s">
        <v>30</v>
      </c>
      <c r="C8" s="5" t="s">
        <v>31</v>
      </c>
      <c r="D8" s="6">
        <v>37089</v>
      </c>
      <c r="E8" s="7">
        <v>1652905985730</v>
      </c>
      <c r="F8" s="7">
        <v>1799137069343</v>
      </c>
      <c r="G8" s="7">
        <v>1970340289520</v>
      </c>
      <c r="H8" s="8">
        <v>2243523072803</v>
      </c>
      <c r="I8" s="8">
        <v>2578868615545</v>
      </c>
      <c r="J8" s="7">
        <v>158207798602</v>
      </c>
      <c r="K8" s="7">
        <v>217675239509</v>
      </c>
      <c r="L8" s="7">
        <v>326241511507</v>
      </c>
      <c r="M8" s="17">
        <v>475983374390</v>
      </c>
      <c r="N8" s="8">
        <v>581557410601</v>
      </c>
      <c r="O8" s="9">
        <v>88406601712</v>
      </c>
      <c r="P8" s="9">
        <v>117715525216</v>
      </c>
      <c r="Q8" s="9">
        <v>161786542872</v>
      </c>
      <c r="R8" s="9">
        <v>219203851280</v>
      </c>
      <c r="S8" s="9">
        <v>328519240420</v>
      </c>
      <c r="T8" s="10">
        <v>7341430976</v>
      </c>
      <c r="U8" s="10">
        <v>7341430976</v>
      </c>
      <c r="V8" s="8">
        <v>7271198676</v>
      </c>
      <c r="W8" s="8">
        <v>7271198676</v>
      </c>
      <c r="X8" s="8">
        <v>7271198676</v>
      </c>
    </row>
    <row r="9" spans="1:24" x14ac:dyDescent="0.25">
      <c r="A9" s="5">
        <v>5</v>
      </c>
      <c r="B9" s="5" t="s">
        <v>36</v>
      </c>
      <c r="C9" s="5" t="s">
        <v>37</v>
      </c>
      <c r="D9" s="6">
        <v>42928</v>
      </c>
      <c r="E9" s="7">
        <v>318080326465</v>
      </c>
      <c r="F9" s="7">
        <v>441254067741</v>
      </c>
      <c r="G9" s="7">
        <v>719726855599</v>
      </c>
      <c r="H9" s="8">
        <v>1078458868349</v>
      </c>
      <c r="I9" s="8">
        <v>1005368365991</v>
      </c>
      <c r="J9" s="7">
        <v>81905439662</v>
      </c>
      <c r="K9" s="7">
        <v>88002544535</v>
      </c>
      <c r="L9" s="7">
        <v>144194690952</v>
      </c>
      <c r="M9" s="8">
        <v>392149133254</v>
      </c>
      <c r="N9" s="8">
        <v>243093147629</v>
      </c>
      <c r="O9" s="7">
        <v>11400000930</v>
      </c>
      <c r="P9" s="7">
        <v>26600002170</v>
      </c>
      <c r="Q9" s="7">
        <v>26600002170</v>
      </c>
      <c r="R9" s="9">
        <v>57000004650</v>
      </c>
      <c r="S9" s="8">
        <v>190000015500</v>
      </c>
      <c r="T9" s="10">
        <v>760000062</v>
      </c>
      <c r="U9" s="10">
        <v>3800000310</v>
      </c>
      <c r="V9" s="9">
        <v>3800000310</v>
      </c>
      <c r="W9" s="9">
        <v>3800000310</v>
      </c>
      <c r="X9" s="8">
        <v>3800000310</v>
      </c>
    </row>
    <row r="10" spans="1:24" x14ac:dyDescent="0.25">
      <c r="A10" s="5">
        <v>6</v>
      </c>
      <c r="B10" s="5" t="s">
        <v>40</v>
      </c>
      <c r="C10" s="5" t="s">
        <v>41</v>
      </c>
      <c r="D10" s="6">
        <v>33176</v>
      </c>
      <c r="E10" s="7">
        <v>1558071752917</v>
      </c>
      <c r="F10" s="7">
        <v>2918467252139</v>
      </c>
      <c r="G10" s="7">
        <v>3107410113178</v>
      </c>
      <c r="H10" s="17">
        <v>3236330922409</v>
      </c>
      <c r="I10" s="8">
        <v>3304972191991</v>
      </c>
      <c r="J10" s="7">
        <v>346692796102</v>
      </c>
      <c r="K10" s="7">
        <v>140597500915</v>
      </c>
      <c r="L10" s="16">
        <v>-30689667468</v>
      </c>
      <c r="M10" s="8">
        <v>156736391742</v>
      </c>
      <c r="N10" s="8">
        <v>313410762339</v>
      </c>
      <c r="O10" s="7">
        <f>82560000000+103200000000</f>
        <v>185760000000</v>
      </c>
      <c r="P10" s="7">
        <v>113520000000</v>
      </c>
      <c r="Q10" s="7">
        <v>30960000000</v>
      </c>
      <c r="R10" s="9">
        <f>51600000000*2</f>
        <v>103200000000</v>
      </c>
      <c r="S10" s="9">
        <f>103200000000+72240000000</f>
        <v>175440000000</v>
      </c>
      <c r="T10" s="10">
        <v>10320000000</v>
      </c>
      <c r="U10" s="10">
        <v>10320000000</v>
      </c>
      <c r="V10" s="9">
        <v>10320000000</v>
      </c>
      <c r="W10" s="9">
        <v>10320000000</v>
      </c>
      <c r="X10" s="9">
        <v>10320000000</v>
      </c>
    </row>
    <row r="11" spans="1:24" x14ac:dyDescent="0.25">
      <c r="A11" s="5">
        <v>7</v>
      </c>
      <c r="B11" s="5" t="s">
        <v>82</v>
      </c>
      <c r="C11" s="5" t="s">
        <v>83</v>
      </c>
      <c r="D11" s="6">
        <v>34243</v>
      </c>
      <c r="E11" s="13">
        <v>7042491000</v>
      </c>
      <c r="F11" s="13">
        <v>7182435000</v>
      </c>
      <c r="G11" s="13">
        <v>7683159000</v>
      </c>
      <c r="H11" s="24">
        <v>9241551000</v>
      </c>
      <c r="I11" s="24">
        <v>9248254000</v>
      </c>
      <c r="J11" s="7">
        <v>242066000</v>
      </c>
      <c r="K11" s="13">
        <v>137380000</v>
      </c>
      <c r="L11" s="13">
        <v>141383000</v>
      </c>
      <c r="M11" s="24">
        <v>296007000</v>
      </c>
      <c r="N11" s="24">
        <v>3221000</v>
      </c>
      <c r="O11" s="7">
        <v>47233000</v>
      </c>
      <c r="P11" s="7">
        <v>24207000</v>
      </c>
      <c r="Q11" s="7">
        <v>105529000</v>
      </c>
      <c r="R11" s="9">
        <f>18000000+69793000</f>
        <v>87793000</v>
      </c>
      <c r="S11" s="8">
        <f>20000000+848000</f>
        <v>20848000</v>
      </c>
      <c r="T11" s="10">
        <v>17791586878</v>
      </c>
      <c r="U11" s="10">
        <v>89015998170</v>
      </c>
      <c r="V11" s="9">
        <v>93388796190</v>
      </c>
      <c r="W11" s="9">
        <v>93747018044</v>
      </c>
      <c r="X11" s="9">
        <v>93747018044</v>
      </c>
    </row>
    <row r="12" spans="1:24" x14ac:dyDescent="0.25">
      <c r="A12" s="5">
        <v>8</v>
      </c>
      <c r="B12" s="5" t="s">
        <v>89</v>
      </c>
      <c r="C12" s="5" t="s">
        <v>90</v>
      </c>
      <c r="D12" s="6">
        <v>33099</v>
      </c>
      <c r="E12" s="7">
        <v>853267454400</v>
      </c>
      <c r="F12" s="7">
        <v>968234349565</v>
      </c>
      <c r="G12" s="7">
        <v>1081979820386</v>
      </c>
      <c r="H12" s="8">
        <v>1165564745263</v>
      </c>
      <c r="I12" s="8">
        <v>1221291885832</v>
      </c>
      <c r="J12" s="7">
        <v>74045187763</v>
      </c>
      <c r="K12" s="7">
        <v>77402572552</v>
      </c>
      <c r="L12" s="7">
        <v>95929070814</v>
      </c>
      <c r="M12" s="8">
        <v>108490477354</v>
      </c>
      <c r="N12" s="8">
        <v>78079793270</v>
      </c>
      <c r="O12" s="7">
        <v>12577950000</v>
      </c>
      <c r="P12" s="7">
        <v>20963250000</v>
      </c>
      <c r="Q12" s="7">
        <v>24457125000</v>
      </c>
      <c r="R12" s="9">
        <f>31444875000+1199075472</f>
        <v>32643950472</v>
      </c>
      <c r="S12" s="9">
        <f>34938750000+1571851081</f>
        <v>36510601081</v>
      </c>
      <c r="T12" s="10">
        <v>698775000</v>
      </c>
      <c r="U12" s="10">
        <v>698775000</v>
      </c>
      <c r="V12" s="9">
        <v>698775000</v>
      </c>
      <c r="W12" s="9">
        <v>698775000</v>
      </c>
      <c r="X12" s="8">
        <v>3493875000</v>
      </c>
    </row>
    <row r="13" spans="1:24" x14ac:dyDescent="0.25">
      <c r="A13" s="5">
        <v>9</v>
      </c>
      <c r="B13" s="5" t="s">
        <v>99</v>
      </c>
      <c r="C13" s="5" t="s">
        <v>100</v>
      </c>
      <c r="D13" s="6">
        <v>43342</v>
      </c>
      <c r="E13" s="33">
        <v>1868245599000</v>
      </c>
      <c r="F13" s="7">
        <v>1872712715000</v>
      </c>
      <c r="G13" s="7">
        <v>2279580714000</v>
      </c>
      <c r="H13" s="8">
        <v>2275216679000</v>
      </c>
      <c r="I13" s="8">
        <v>2182945756000</v>
      </c>
      <c r="J13" s="33">
        <v>94243997000</v>
      </c>
      <c r="K13" s="7">
        <v>60910956000</v>
      </c>
      <c r="L13" s="7">
        <v>79288256000</v>
      </c>
      <c r="M13" s="8">
        <v>38800766000</v>
      </c>
      <c r="N13" s="8">
        <v>11310348000</v>
      </c>
      <c r="O13" s="33">
        <v>203486706000</v>
      </c>
      <c r="P13" s="7">
        <v>38637633000</v>
      </c>
      <c r="Q13" s="7">
        <v>13665358000</v>
      </c>
      <c r="R13" s="7">
        <v>1292570807</v>
      </c>
      <c r="S13" s="7">
        <v>1292570807</v>
      </c>
      <c r="T13" s="34">
        <v>1983888498</v>
      </c>
      <c r="U13" s="10">
        <v>2334888498</v>
      </c>
      <c r="V13" s="10">
        <v>2334888498</v>
      </c>
      <c r="W13" s="10">
        <v>2724036581</v>
      </c>
      <c r="X13" s="10">
        <v>2724036581</v>
      </c>
    </row>
    <row r="14" spans="1:24" x14ac:dyDescent="0.25">
      <c r="A14" s="5">
        <v>10</v>
      </c>
      <c r="B14" s="11" t="s">
        <v>111</v>
      </c>
      <c r="C14" s="11" t="s">
        <v>112</v>
      </c>
      <c r="D14" s="6">
        <v>43199</v>
      </c>
      <c r="E14" s="24">
        <v>304204072</v>
      </c>
      <c r="F14" s="24">
        <v>356285764</v>
      </c>
      <c r="G14" s="13">
        <v>349209327</v>
      </c>
      <c r="H14" s="13">
        <v>210575452</v>
      </c>
      <c r="I14" s="13">
        <v>146631100</v>
      </c>
      <c r="J14" s="24">
        <v>12932499</v>
      </c>
      <c r="K14" s="24">
        <v>16052289</v>
      </c>
      <c r="L14" s="13">
        <v>-3454919</v>
      </c>
      <c r="M14" s="13">
        <v>-78616128</v>
      </c>
      <c r="N14" s="16">
        <v>-52497945</v>
      </c>
      <c r="O14" s="13">
        <v>200000</v>
      </c>
      <c r="P14" s="13">
        <v>300000</v>
      </c>
      <c r="Q14" s="13">
        <v>160000</v>
      </c>
      <c r="R14" s="13">
        <v>660000</v>
      </c>
      <c r="S14" s="13">
        <v>800000</v>
      </c>
      <c r="T14" s="8">
        <v>10485050500</v>
      </c>
      <c r="U14" s="8">
        <v>10485050500</v>
      </c>
      <c r="V14" s="8">
        <v>10485050500</v>
      </c>
      <c r="W14" s="8">
        <v>10485050500</v>
      </c>
      <c r="X14" s="8">
        <v>10485050500</v>
      </c>
    </row>
    <row r="15" spans="1:24" x14ac:dyDescent="0.25">
      <c r="A15" s="5">
        <v>11</v>
      </c>
      <c r="B15" s="5" t="s">
        <v>113</v>
      </c>
      <c r="C15" s="5" t="s">
        <v>114</v>
      </c>
      <c r="D15" s="6">
        <v>39594</v>
      </c>
      <c r="E15" s="13">
        <v>3173486000</v>
      </c>
      <c r="F15" s="13">
        <v>3451211000</v>
      </c>
      <c r="G15" s="13">
        <v>3593747000</v>
      </c>
      <c r="H15" s="24">
        <v>4993060000</v>
      </c>
      <c r="I15" s="24">
        <v>4929871000</v>
      </c>
      <c r="J15" s="7">
        <v>182316000</v>
      </c>
      <c r="K15" s="13">
        <v>23647000</v>
      </c>
      <c r="L15" s="13">
        <v>51542000</v>
      </c>
      <c r="M15" s="24">
        <v>151869000</v>
      </c>
      <c r="N15" s="18">
        <v>-149399000</v>
      </c>
      <c r="O15" s="7">
        <f>80924000+735000</f>
        <v>81659000</v>
      </c>
      <c r="P15" s="7">
        <v>33262000</v>
      </c>
      <c r="Q15" s="7">
        <v>1280000</v>
      </c>
      <c r="R15" s="9">
        <v>103514000</v>
      </c>
      <c r="S15" s="8">
        <v>11000000</v>
      </c>
      <c r="T15" s="10">
        <v>17833520260</v>
      </c>
      <c r="U15" s="10">
        <v>17833520260</v>
      </c>
      <c r="V15" s="10">
        <v>17833520260</v>
      </c>
      <c r="W15" s="10">
        <v>21627886273</v>
      </c>
      <c r="X15" s="8">
        <v>86511545092</v>
      </c>
    </row>
    <row r="16" spans="1:24" x14ac:dyDescent="0.25">
      <c r="A16" s="5">
        <v>12</v>
      </c>
      <c r="B16" s="5" t="s">
        <v>115</v>
      </c>
      <c r="C16" s="5" t="s">
        <v>116</v>
      </c>
      <c r="D16" s="6">
        <v>32818</v>
      </c>
      <c r="E16" s="13">
        <v>236410388</v>
      </c>
      <c r="F16" s="13">
        <v>219757421</v>
      </c>
      <c r="G16" s="13">
        <v>242256371</v>
      </c>
      <c r="H16" s="13">
        <v>292723782</v>
      </c>
      <c r="I16" s="24">
        <v>317577675</v>
      </c>
      <c r="J16" s="7">
        <v>17280630</v>
      </c>
      <c r="K16" s="13">
        <v>11388329</v>
      </c>
      <c r="L16" s="13">
        <v>27294821</v>
      </c>
      <c r="M16" s="13">
        <v>58052717</v>
      </c>
      <c r="N16" s="13">
        <v>37901615</v>
      </c>
      <c r="O16" s="13">
        <v>11567189</v>
      </c>
      <c r="P16" s="13">
        <v>2435568</v>
      </c>
      <c r="Q16" s="13">
        <v>6021620</v>
      </c>
      <c r="R16" s="13">
        <v>15982321</v>
      </c>
      <c r="S16" s="13">
        <v>2583966</v>
      </c>
      <c r="T16" s="10">
        <v>383331363</v>
      </c>
      <c r="U16" s="10">
        <v>383331363</v>
      </c>
      <c r="V16" s="10">
        <v>383331363</v>
      </c>
      <c r="W16" s="10">
        <v>383331363</v>
      </c>
      <c r="X16" s="10">
        <v>383331363</v>
      </c>
    </row>
    <row r="17" spans="1:24" x14ac:dyDescent="0.25">
      <c r="A17" s="5">
        <v>13</v>
      </c>
      <c r="B17" s="5" t="s">
        <v>129</v>
      </c>
      <c r="C17" s="5" t="s">
        <v>130</v>
      </c>
      <c r="D17" s="6">
        <v>33182</v>
      </c>
      <c r="E17" s="7">
        <v>570197810698</v>
      </c>
      <c r="F17" s="7">
        <v>617594780669</v>
      </c>
      <c r="G17" s="7">
        <v>665863417235</v>
      </c>
      <c r="H17" s="8">
        <v>809371584010</v>
      </c>
      <c r="I17" s="8">
        <v>863638556466</v>
      </c>
      <c r="J17" s="7">
        <v>44672438405</v>
      </c>
      <c r="K17" s="7">
        <v>60836752751</v>
      </c>
      <c r="L17" s="7">
        <v>60770710445</v>
      </c>
      <c r="M17" s="8">
        <v>104034299846</v>
      </c>
      <c r="N17" s="8">
        <v>102314374301</v>
      </c>
      <c r="O17" s="7">
        <v>4858213700</v>
      </c>
      <c r="P17" s="7">
        <v>6638247950</v>
      </c>
      <c r="Q17" s="7">
        <v>6638247950</v>
      </c>
      <c r="R17" s="9">
        <v>6638247950</v>
      </c>
      <c r="S17" s="9">
        <v>8506860675</v>
      </c>
      <c r="T17" s="10">
        <v>972204500</v>
      </c>
      <c r="U17" s="10">
        <v>972204500</v>
      </c>
      <c r="V17" s="10">
        <v>972204500</v>
      </c>
      <c r="W17" s="10">
        <v>972204500</v>
      </c>
      <c r="X17" s="10">
        <v>972204500</v>
      </c>
    </row>
    <row r="18" spans="1:24" x14ac:dyDescent="0.25">
      <c r="A18" s="5">
        <v>14</v>
      </c>
      <c r="B18" s="5" t="s">
        <v>131</v>
      </c>
      <c r="C18" s="5" t="s">
        <v>132</v>
      </c>
      <c r="D18" s="6">
        <v>41990</v>
      </c>
      <c r="E18" s="7">
        <v>2370198817803</v>
      </c>
      <c r="F18" s="7">
        <v>2501132856219</v>
      </c>
      <c r="G18" s="7">
        <v>2697100062756</v>
      </c>
      <c r="H18" s="8">
        <v>1383431547987</v>
      </c>
      <c r="I18" s="17">
        <v>3435475875401</v>
      </c>
      <c r="J18" s="7">
        <v>105523929164</v>
      </c>
      <c r="K18" s="7">
        <v>93145200039</v>
      </c>
      <c r="L18" s="7">
        <v>115805324362</v>
      </c>
      <c r="M18" s="8">
        <v>206588977295</v>
      </c>
      <c r="N18" s="8">
        <v>312502049594</v>
      </c>
      <c r="O18" s="7">
        <f>38668000000+4930000000</f>
        <v>43598000000</v>
      </c>
      <c r="P18" s="7">
        <v>77790000000</v>
      </c>
      <c r="Q18" s="7">
        <v>53280000000</v>
      </c>
      <c r="R18" s="17">
        <v>29001000000</v>
      </c>
      <c r="S18" s="17">
        <v>106337000000</v>
      </c>
      <c r="T18" s="10">
        <v>4833500000</v>
      </c>
      <c r="U18" s="10">
        <v>4833500000</v>
      </c>
      <c r="V18" s="10">
        <v>4833500000</v>
      </c>
      <c r="W18" s="10">
        <v>4833500000</v>
      </c>
      <c r="X18" s="17">
        <v>4933500000</v>
      </c>
    </row>
    <row r="19" spans="1:24" x14ac:dyDescent="0.25">
      <c r="A19" s="5">
        <v>15</v>
      </c>
      <c r="B19" s="36" t="s">
        <v>135</v>
      </c>
      <c r="C19" s="5" t="s">
        <v>136</v>
      </c>
      <c r="D19" s="6">
        <v>43082</v>
      </c>
      <c r="E19" s="7">
        <v>2295734967000</v>
      </c>
      <c r="F19" s="7">
        <v>2338919728000</v>
      </c>
      <c r="G19" s="7">
        <v>2421301079000</v>
      </c>
      <c r="H19" s="8">
        <v>2795959663000</v>
      </c>
      <c r="I19" s="8">
        <v>3040363137000</v>
      </c>
      <c r="J19" s="7">
        <v>297628915000</v>
      </c>
      <c r="K19" s="7">
        <v>223626619000</v>
      </c>
      <c r="L19" s="7">
        <v>373653845000</v>
      </c>
      <c r="M19" s="8">
        <v>416209347000</v>
      </c>
      <c r="N19" s="8">
        <v>354901190000</v>
      </c>
      <c r="O19" s="7">
        <v>81867571000</v>
      </c>
      <c r="P19" s="7">
        <v>94992476000</v>
      </c>
      <c r="Q19" s="7">
        <v>112236000000</v>
      </c>
      <c r="R19" s="9">
        <v>189773757000</v>
      </c>
      <c r="S19" s="9">
        <v>207632399000</v>
      </c>
      <c r="T19" s="10">
        <v>1875000000</v>
      </c>
      <c r="U19" s="10">
        <v>1875000000</v>
      </c>
      <c r="V19" s="10">
        <v>1875000000</v>
      </c>
      <c r="W19" s="10">
        <v>1875000000</v>
      </c>
      <c r="X19" s="10">
        <v>1875000000</v>
      </c>
    </row>
    <row r="20" spans="1:24" x14ac:dyDescent="0.25">
      <c r="A20" s="5">
        <v>16</v>
      </c>
      <c r="B20" s="36" t="s">
        <v>147</v>
      </c>
      <c r="C20" s="5" t="s">
        <v>148</v>
      </c>
      <c r="D20" s="6">
        <v>33315</v>
      </c>
      <c r="E20" s="7">
        <v>27645118000000</v>
      </c>
      <c r="F20" s="7">
        <v>29109408000000</v>
      </c>
      <c r="G20" s="7">
        <v>31159291000000</v>
      </c>
      <c r="H20" s="17">
        <v>35446051000000</v>
      </c>
      <c r="I20" s="17">
        <v>39847545000000</v>
      </c>
      <c r="J20" s="7">
        <v>4551485000000</v>
      </c>
      <c r="K20" s="7">
        <v>3642226000000</v>
      </c>
      <c r="L20" s="7">
        <v>3845833000000</v>
      </c>
      <c r="M20" s="17">
        <v>3619010000000</v>
      </c>
      <c r="N20" s="17">
        <v>2930357000000</v>
      </c>
      <c r="O20" s="7">
        <v>918288000000</v>
      </c>
      <c r="P20" s="7">
        <v>1934964000000</v>
      </c>
      <c r="Q20" s="9">
        <v>1328238000000</v>
      </c>
      <c r="R20" s="9">
        <v>1836576000000</v>
      </c>
      <c r="S20" s="9">
        <v>1770984000000</v>
      </c>
      <c r="T20" s="10">
        <v>16398000000</v>
      </c>
      <c r="U20" s="10">
        <v>16398000000</v>
      </c>
      <c r="V20" s="10">
        <v>16398000000</v>
      </c>
      <c r="W20" s="10">
        <v>16398000000</v>
      </c>
      <c r="X20" s="10">
        <v>16398000000</v>
      </c>
    </row>
    <row r="21" spans="1:24" x14ac:dyDescent="0.25">
      <c r="A21" s="5">
        <v>17</v>
      </c>
      <c r="B21" s="5" t="s">
        <v>168</v>
      </c>
      <c r="C21" s="5" t="s">
        <v>169</v>
      </c>
      <c r="D21" s="6">
        <v>40736</v>
      </c>
      <c r="E21" s="7">
        <v>526129315163</v>
      </c>
      <c r="F21" s="7">
        <v>925114449507</v>
      </c>
      <c r="G21" s="7">
        <v>953551967212</v>
      </c>
      <c r="H21" s="8">
        <v>1210809442028</v>
      </c>
      <c r="I21" s="8">
        <v>1568806950187</v>
      </c>
      <c r="J21" s="7">
        <v>42506275523</v>
      </c>
      <c r="K21" s="7">
        <v>78421735355</v>
      </c>
      <c r="L21" s="7">
        <v>65331041553</v>
      </c>
      <c r="M21" s="8">
        <v>100771009640</v>
      </c>
      <c r="N21" s="35">
        <v>65764485236</v>
      </c>
      <c r="O21" s="7">
        <v>880000000</v>
      </c>
      <c r="P21" s="7">
        <v>1210000000</v>
      </c>
      <c r="Q21" s="7">
        <v>1204787320</v>
      </c>
      <c r="R21" s="8">
        <v>1626420150</v>
      </c>
      <c r="S21" s="8">
        <v>2081817792</v>
      </c>
      <c r="T21" s="9">
        <v>550000000</v>
      </c>
      <c r="U21" s="9">
        <v>1100000000</v>
      </c>
      <c r="V21" s="9">
        <v>1100000000</v>
      </c>
      <c r="W21" s="9">
        <v>1316856020</v>
      </c>
      <c r="X21" s="8">
        <v>1316856309</v>
      </c>
    </row>
    <row r="22" spans="1:24" x14ac:dyDescent="0.25">
      <c r="A22" s="5">
        <v>18</v>
      </c>
      <c r="B22" s="5" t="s">
        <v>170</v>
      </c>
      <c r="C22" s="5" t="s">
        <v>171</v>
      </c>
      <c r="D22" s="6">
        <v>34669</v>
      </c>
      <c r="E22" s="7">
        <v>10965118708784</v>
      </c>
      <c r="F22" s="7">
        <v>10751992944302</v>
      </c>
      <c r="G22" s="9">
        <v>11513044288721</v>
      </c>
      <c r="H22" s="8">
        <v>13302224000000</v>
      </c>
      <c r="I22" s="8">
        <v>12877846000000</v>
      </c>
      <c r="J22" s="7">
        <v>1405367771073</v>
      </c>
      <c r="K22" s="7">
        <v>968833390696</v>
      </c>
      <c r="L22" s="9">
        <v>353299343980</v>
      </c>
      <c r="M22" s="8">
        <v>617427000000</v>
      </c>
      <c r="N22" s="8">
        <v>119926000000</v>
      </c>
      <c r="O22" s="7">
        <v>401417983494</v>
      </c>
      <c r="P22" s="7">
        <v>569914421010</v>
      </c>
      <c r="Q22" s="9">
        <v>455931536808</v>
      </c>
      <c r="R22" s="9">
        <v>173452000000</v>
      </c>
      <c r="S22" s="9">
        <v>294869000000</v>
      </c>
      <c r="T22" s="9">
        <v>2477888787</v>
      </c>
      <c r="U22" s="9">
        <v>2477888787</v>
      </c>
      <c r="V22" s="9">
        <v>2477888787</v>
      </c>
      <c r="W22" s="9">
        <v>2477888787</v>
      </c>
      <c r="X22" s="9">
        <v>2477888787</v>
      </c>
    </row>
    <row r="23" spans="1:24" x14ac:dyDescent="0.25">
      <c r="A23" s="5">
        <v>19</v>
      </c>
      <c r="B23" s="5" t="s">
        <v>172</v>
      </c>
      <c r="C23" s="5" t="s">
        <v>173</v>
      </c>
      <c r="D23" s="6">
        <v>33070</v>
      </c>
      <c r="E23" s="13">
        <v>8751013000</v>
      </c>
      <c r="F23" s="13">
        <v>8502050000</v>
      </c>
      <c r="G23" s="14">
        <v>8496277000</v>
      </c>
      <c r="H23" s="40">
        <v>13302224</v>
      </c>
      <c r="I23" s="40">
        <v>9640721000</v>
      </c>
      <c r="J23" s="7">
        <v>274390000</v>
      </c>
      <c r="K23" s="14">
        <v>294041000</v>
      </c>
      <c r="L23" s="9">
        <v>593101000</v>
      </c>
      <c r="M23" s="40">
        <v>527039000</v>
      </c>
      <c r="N23" s="40">
        <v>857462000</v>
      </c>
      <c r="O23" s="7">
        <v>39216000</v>
      </c>
      <c r="P23" s="7">
        <v>38033000</v>
      </c>
      <c r="Q23" s="9">
        <v>18691000</v>
      </c>
      <c r="R23" s="13">
        <v>18691000</v>
      </c>
      <c r="S23" s="13">
        <v>18877000</v>
      </c>
      <c r="T23" s="9">
        <v>5470982941</v>
      </c>
      <c r="U23" s="9">
        <v>5470982941</v>
      </c>
      <c r="V23" s="9">
        <v>5470982941</v>
      </c>
      <c r="W23" s="9">
        <v>5470982941</v>
      </c>
      <c r="X23" s="9">
        <v>5470982941</v>
      </c>
    </row>
    <row r="24" spans="1:24" x14ac:dyDescent="0.25">
      <c r="A24" s="5">
        <v>20</v>
      </c>
      <c r="B24" s="5" t="s">
        <v>184</v>
      </c>
      <c r="C24" s="5" t="s">
        <v>185</v>
      </c>
      <c r="D24" s="6">
        <v>32966</v>
      </c>
      <c r="E24" s="7">
        <v>2965136000</v>
      </c>
      <c r="F24" s="13">
        <v>3062331000</v>
      </c>
      <c r="G24" s="14">
        <v>3073164000</v>
      </c>
      <c r="H24" s="40">
        <v>3161834000</v>
      </c>
      <c r="I24" s="40">
        <v>3545180000</v>
      </c>
      <c r="J24" s="7">
        <v>245709000</v>
      </c>
      <c r="K24" s="13">
        <v>166516000</v>
      </c>
      <c r="L24" s="14">
        <v>148334000</v>
      </c>
      <c r="M24" s="40">
        <v>248362000</v>
      </c>
      <c r="N24" s="8">
        <v>463345000</v>
      </c>
      <c r="O24" s="7">
        <v>6695000</v>
      </c>
      <c r="P24" s="7">
        <v>10821000</v>
      </c>
      <c r="Q24" s="9">
        <v>5318000</v>
      </c>
      <c r="R24" s="9">
        <v>5371000</v>
      </c>
      <c r="S24" s="9">
        <v>5351000</v>
      </c>
      <c r="T24" s="9">
        <v>3113223570</v>
      </c>
      <c r="U24" s="9">
        <v>3113223570</v>
      </c>
      <c r="V24" s="9">
        <v>3113223570</v>
      </c>
      <c r="W24" s="9">
        <v>3113223570</v>
      </c>
      <c r="X24" s="9">
        <v>3113223570</v>
      </c>
    </row>
    <row r="25" spans="1:24" x14ac:dyDescent="0.25">
      <c r="A25" s="5">
        <v>21</v>
      </c>
      <c r="B25" s="5" t="s">
        <v>208</v>
      </c>
      <c r="C25" s="5" t="s">
        <v>209</v>
      </c>
      <c r="D25" s="6">
        <v>32967</v>
      </c>
      <c r="E25" s="7">
        <v>344711000000000</v>
      </c>
      <c r="F25" s="7">
        <v>351958000000000</v>
      </c>
      <c r="G25" s="9">
        <v>338203000000000</v>
      </c>
      <c r="H25" s="8">
        <v>367311000000000</v>
      </c>
      <c r="I25" s="8">
        <v>413297000000000</v>
      </c>
      <c r="J25" s="7">
        <v>27372000000000</v>
      </c>
      <c r="K25" s="7">
        <v>26621000000000</v>
      </c>
      <c r="L25" s="9">
        <v>18571000000000</v>
      </c>
      <c r="M25" s="8">
        <v>25586000000000</v>
      </c>
      <c r="N25" s="8">
        <v>40420000000000</v>
      </c>
      <c r="O25" s="7">
        <v>10202000000000</v>
      </c>
      <c r="P25" s="7">
        <v>11235000000000</v>
      </c>
      <c r="Q25" s="9">
        <v>9423000000000</v>
      </c>
      <c r="R25" s="9">
        <v>7123000000000</v>
      </c>
      <c r="S25" s="9">
        <v>15302000000000</v>
      </c>
      <c r="T25" s="9">
        <v>40483553140</v>
      </c>
      <c r="U25" s="9">
        <v>40483553140</v>
      </c>
      <c r="V25" s="9">
        <v>40483553140</v>
      </c>
      <c r="W25" s="9">
        <v>40483553140</v>
      </c>
      <c r="X25" s="9">
        <v>40483553140</v>
      </c>
    </row>
    <row r="26" spans="1:24" x14ac:dyDescent="0.25">
      <c r="A26" s="5">
        <v>22</v>
      </c>
      <c r="B26" s="5" t="s">
        <v>210</v>
      </c>
      <c r="C26" s="5" t="s">
        <v>211</v>
      </c>
      <c r="D26" s="6">
        <v>35961</v>
      </c>
      <c r="E26" s="7">
        <v>15889648000000</v>
      </c>
      <c r="F26" s="7">
        <v>16015709000000</v>
      </c>
      <c r="G26" s="7">
        <v>15180094000000</v>
      </c>
      <c r="H26" s="8">
        <v>16947148000000</v>
      </c>
      <c r="I26" s="17">
        <v>18521261000000</v>
      </c>
      <c r="J26" s="7">
        <v>680801000000</v>
      </c>
      <c r="K26" s="7">
        <v>816971000000</v>
      </c>
      <c r="L26" s="16">
        <v>-37864000000</v>
      </c>
      <c r="M26" s="8">
        <v>634931000000</v>
      </c>
      <c r="N26" s="17">
        <v>1474280000000</v>
      </c>
      <c r="O26" s="7">
        <v>265965000000</v>
      </c>
      <c r="P26" s="7">
        <v>300103000000</v>
      </c>
      <c r="Q26" s="7">
        <v>241359000000</v>
      </c>
      <c r="R26" s="9">
        <f>82951000000+53017000000</f>
        <v>135968000000</v>
      </c>
      <c r="S26" s="9">
        <f>220926000000+106034000000</f>
        <v>326960000000</v>
      </c>
      <c r="T26" s="9">
        <v>4819733000</v>
      </c>
      <c r="U26" s="9">
        <v>4819733000</v>
      </c>
      <c r="V26" s="9">
        <v>4819733000</v>
      </c>
      <c r="W26" s="9">
        <v>4819733000</v>
      </c>
      <c r="X26" s="9">
        <v>4819733000</v>
      </c>
    </row>
    <row r="27" spans="1:24" x14ac:dyDescent="0.25">
      <c r="A27" s="5">
        <v>23</v>
      </c>
      <c r="B27" s="5" t="s">
        <v>214</v>
      </c>
      <c r="C27" s="5" t="s">
        <v>215</v>
      </c>
      <c r="D27" s="6">
        <v>33121</v>
      </c>
      <c r="E27" s="13">
        <v>296400018</v>
      </c>
      <c r="F27" s="13">
        <v>279484828</v>
      </c>
      <c r="G27" s="14">
        <v>263740526</v>
      </c>
      <c r="H27" s="40">
        <v>289992314</v>
      </c>
      <c r="I27" s="40">
        <v>290896966</v>
      </c>
      <c r="J27" s="13">
        <v>19377050</v>
      </c>
      <c r="K27" s="13">
        <v>14582693</v>
      </c>
      <c r="L27" s="22">
        <v>-4045417</v>
      </c>
      <c r="M27" s="40">
        <v>26438801</v>
      </c>
      <c r="N27" s="40">
        <v>34919701</v>
      </c>
      <c r="O27" s="7">
        <f>18937583+3308448</f>
        <v>22246031</v>
      </c>
      <c r="P27" s="7">
        <v>17678347</v>
      </c>
      <c r="Q27" s="9">
        <v>7707082</v>
      </c>
      <c r="R27" s="13">
        <v>18942505</v>
      </c>
      <c r="S27" s="13">
        <v>14926122</v>
      </c>
      <c r="T27" s="9">
        <v>450000000</v>
      </c>
      <c r="U27" s="9">
        <v>450000000</v>
      </c>
      <c r="V27" s="9">
        <v>450000000</v>
      </c>
      <c r="W27" s="9">
        <v>450000000</v>
      </c>
      <c r="X27" s="9">
        <v>450000000</v>
      </c>
    </row>
    <row r="28" spans="1:24" x14ac:dyDescent="0.25">
      <c r="A28" s="5">
        <v>24</v>
      </c>
      <c r="B28" s="5" t="s">
        <v>222</v>
      </c>
      <c r="C28" s="5" t="s">
        <v>223</v>
      </c>
      <c r="D28" s="6">
        <v>34227</v>
      </c>
      <c r="E28" s="7">
        <v>40955996273862</v>
      </c>
      <c r="F28" s="7">
        <v>44697971458665</v>
      </c>
      <c r="G28" s="9">
        <v>48408700495082</v>
      </c>
      <c r="H28" s="17">
        <v>51023608000000</v>
      </c>
      <c r="I28" s="8">
        <v>57445068000000</v>
      </c>
      <c r="J28" s="7">
        <v>98774620340</v>
      </c>
      <c r="K28" s="7">
        <v>121769771786</v>
      </c>
      <c r="L28" s="22">
        <v>-675710445502</v>
      </c>
      <c r="M28" s="23">
        <v>-255340000000</v>
      </c>
      <c r="N28" s="8">
        <v>562551000000</v>
      </c>
      <c r="O28" s="7">
        <v>78647403077</v>
      </c>
      <c r="P28" s="7">
        <v>34773260147</v>
      </c>
      <c r="Q28" s="9">
        <v>35520332061</v>
      </c>
      <c r="R28" s="9">
        <v>179002000000</v>
      </c>
      <c r="S28" s="9">
        <v>32931000000</v>
      </c>
      <c r="T28" s="9">
        <v>2765278412</v>
      </c>
      <c r="U28" s="9">
        <v>2765278412</v>
      </c>
      <c r="V28" s="9">
        <v>3994291039</v>
      </c>
      <c r="W28" s="9">
        <v>3994291039</v>
      </c>
      <c r="X28" s="9">
        <v>3994291039</v>
      </c>
    </row>
    <row r="29" spans="1:24" x14ac:dyDescent="0.25">
      <c r="A29" s="5">
        <v>25</v>
      </c>
      <c r="B29" s="5" t="s">
        <v>224</v>
      </c>
      <c r="C29" s="5" t="s">
        <v>225</v>
      </c>
      <c r="D29" s="6">
        <v>33095</v>
      </c>
      <c r="E29" s="7">
        <v>2482337567967</v>
      </c>
      <c r="F29" s="7">
        <v>2834422741208</v>
      </c>
      <c r="G29" s="7">
        <v>2826260084696</v>
      </c>
      <c r="H29" s="8">
        <v>3538818568392</v>
      </c>
      <c r="I29" s="8">
        <v>3882465049707</v>
      </c>
      <c r="J29" s="7">
        <v>110686883366</v>
      </c>
      <c r="K29" s="7">
        <v>101465560351</v>
      </c>
      <c r="L29" s="7">
        <v>58751009229</v>
      </c>
      <c r="M29" s="8">
        <v>180680527603</v>
      </c>
      <c r="N29" s="8">
        <v>228542263599</v>
      </c>
      <c r="O29" s="7">
        <v>65624971000</v>
      </c>
      <c r="P29" s="7">
        <v>65624971000</v>
      </c>
      <c r="Q29" s="7">
        <v>65624971000</v>
      </c>
      <c r="R29" s="9">
        <v>55781225350</v>
      </c>
      <c r="S29" s="9">
        <v>49218728250</v>
      </c>
      <c r="T29" s="9">
        <v>656249710</v>
      </c>
      <c r="U29" s="9">
        <v>656249710</v>
      </c>
      <c r="V29" s="9">
        <v>656249710</v>
      </c>
      <c r="W29" s="9">
        <v>656249710</v>
      </c>
      <c r="X29" s="9">
        <v>656249710</v>
      </c>
    </row>
    <row r="30" spans="1:24" x14ac:dyDescent="0.25">
      <c r="A30" s="5">
        <v>26</v>
      </c>
      <c r="B30" s="5" t="s">
        <v>236</v>
      </c>
      <c r="C30" s="5" t="s">
        <v>237</v>
      </c>
      <c r="D30" s="6">
        <v>35317</v>
      </c>
      <c r="E30" s="7">
        <v>2801203000000</v>
      </c>
      <c r="F30" s="7">
        <v>3106981000000</v>
      </c>
      <c r="G30" s="7">
        <v>3375526000000</v>
      </c>
      <c r="H30" s="17">
        <v>3868862000000</v>
      </c>
      <c r="I30" s="17">
        <v>4379577000000</v>
      </c>
      <c r="J30" s="7">
        <v>63355000000</v>
      </c>
      <c r="K30" s="7">
        <v>638676000000</v>
      </c>
      <c r="L30" s="7">
        <v>539116000000</v>
      </c>
      <c r="M30" s="17">
        <v>728263000000</v>
      </c>
      <c r="N30" s="17">
        <v>935944000000</v>
      </c>
      <c r="O30" s="7">
        <v>329205000000</v>
      </c>
      <c r="P30" s="7">
        <v>365724000000</v>
      </c>
      <c r="Q30" s="7">
        <v>375417000000</v>
      </c>
      <c r="R30" s="9">
        <v>375417000000</v>
      </c>
      <c r="S30" s="17">
        <f>115174000000+57586000000+115174000000+115174000000+43517000000</f>
        <v>446625000000</v>
      </c>
      <c r="T30" s="9">
        <v>5758675440</v>
      </c>
      <c r="U30" s="9">
        <v>5758675440</v>
      </c>
      <c r="V30" s="9">
        <v>5758675440</v>
      </c>
      <c r="W30" s="9">
        <v>5758675440</v>
      </c>
      <c r="X30" s="9">
        <v>5758675440</v>
      </c>
    </row>
    <row r="31" spans="1:24" x14ac:dyDescent="0.25">
      <c r="A31" s="5">
        <v>27</v>
      </c>
      <c r="B31" s="5" t="s">
        <v>242</v>
      </c>
      <c r="C31" s="5" t="s">
        <v>243</v>
      </c>
      <c r="D31" s="6">
        <v>43017</v>
      </c>
      <c r="E31" s="7">
        <v>514962171773</v>
      </c>
      <c r="F31" s="7">
        <v>590884444113</v>
      </c>
      <c r="G31" s="7">
        <v>554235931111</v>
      </c>
      <c r="H31" s="17">
        <v>524473606697</v>
      </c>
      <c r="I31" s="17">
        <v>525780962665</v>
      </c>
      <c r="J31" s="7">
        <v>24022782725</v>
      </c>
      <c r="K31" s="16">
        <v>23213651840</v>
      </c>
      <c r="L31" s="16">
        <v>-16558668514</v>
      </c>
      <c r="M31" s="17">
        <v>4172725902</v>
      </c>
      <c r="N31" s="17">
        <v>4462174046</v>
      </c>
      <c r="O31" s="7">
        <v>4350000000</v>
      </c>
      <c r="P31" s="7">
        <v>5075000000</v>
      </c>
      <c r="Q31" s="7">
        <v>782636476</v>
      </c>
      <c r="R31" s="9">
        <v>507500000</v>
      </c>
      <c r="S31" s="9">
        <f>2030000000+545000000</f>
        <v>2575000000</v>
      </c>
      <c r="T31" s="10">
        <v>1450000000</v>
      </c>
      <c r="U31" s="10">
        <v>1450000000</v>
      </c>
      <c r="V31" s="9">
        <v>7250000000</v>
      </c>
      <c r="W31" s="9">
        <v>7250000000</v>
      </c>
      <c r="X31" s="9">
        <v>7250000000</v>
      </c>
    </row>
    <row r="32" spans="1:24" x14ac:dyDescent="0.25">
      <c r="A32" s="5">
        <v>28</v>
      </c>
      <c r="B32" s="5" t="s">
        <v>274</v>
      </c>
      <c r="C32" s="5" t="s">
        <v>275</v>
      </c>
      <c r="D32" s="6">
        <v>41088</v>
      </c>
      <c r="E32" s="7">
        <v>633014281325</v>
      </c>
      <c r="F32" s="7">
        <v>1147246311331</v>
      </c>
      <c r="G32" s="7">
        <v>1068940700530</v>
      </c>
      <c r="H32" s="17">
        <v>1060742742644</v>
      </c>
      <c r="I32" s="17">
        <v>1177807599498</v>
      </c>
      <c r="J32" s="7">
        <v>19665074694</v>
      </c>
      <c r="K32" s="7">
        <v>41484677098</v>
      </c>
      <c r="L32" s="16">
        <v>-3987303838</v>
      </c>
      <c r="M32" s="17">
        <v>18024581177</v>
      </c>
      <c r="N32" s="17">
        <v>64521509302</v>
      </c>
      <c r="O32" s="7">
        <v>5234640010</v>
      </c>
      <c r="P32" s="7">
        <v>5838086004</v>
      </c>
      <c r="Q32" s="7">
        <v>11397562481</v>
      </c>
      <c r="R32" s="9">
        <v>4904062114</v>
      </c>
      <c r="S32" s="9">
        <v>5490705161</v>
      </c>
      <c r="T32" s="9">
        <v>1047587802</v>
      </c>
      <c r="U32" s="9">
        <v>3141443806</v>
      </c>
      <c r="V32" s="9">
        <v>3141443806</v>
      </c>
      <c r="W32" s="10">
        <v>3141443806</v>
      </c>
      <c r="X32" s="17">
        <v>3141443831</v>
      </c>
    </row>
    <row r="33" spans="1:24" x14ac:dyDescent="0.25">
      <c r="A33" s="5">
        <v>29</v>
      </c>
      <c r="B33" s="5" t="s">
        <v>296</v>
      </c>
      <c r="C33" s="5" t="s">
        <v>297</v>
      </c>
      <c r="D33" s="6">
        <v>30152</v>
      </c>
      <c r="E33" s="7">
        <v>4165196478857</v>
      </c>
      <c r="F33" s="7">
        <v>4400655628146</v>
      </c>
      <c r="G33" s="7">
        <v>3743659818718</v>
      </c>
      <c r="H33" s="8">
        <v>4698864127234</v>
      </c>
      <c r="I33" s="8">
        <v>5128133329237</v>
      </c>
      <c r="J33" s="7">
        <v>253995332656</v>
      </c>
      <c r="K33" s="7">
        <v>303593922331</v>
      </c>
      <c r="L33" s="7">
        <v>238152486485</v>
      </c>
      <c r="M33" s="8">
        <v>140694706122</v>
      </c>
      <c r="N33" s="8">
        <v>106708261439</v>
      </c>
      <c r="O33" s="7">
        <v>72038190000</v>
      </c>
      <c r="P33" s="7">
        <v>72374190000</v>
      </c>
      <c r="Q33" s="7">
        <v>102861700000</v>
      </c>
      <c r="R33" s="9">
        <v>61755020000</v>
      </c>
      <c r="S33" s="9">
        <v>41165680000</v>
      </c>
      <c r="T33" s="9">
        <v>205583400</v>
      </c>
      <c r="U33" s="9">
        <v>205583400</v>
      </c>
      <c r="V33" s="9">
        <v>205583400</v>
      </c>
      <c r="W33" s="9">
        <v>205583400</v>
      </c>
      <c r="X33" s="9">
        <v>205583400</v>
      </c>
    </row>
    <row r="34" spans="1:24" x14ac:dyDescent="0.25">
      <c r="A34" s="5">
        <v>30</v>
      </c>
      <c r="B34" s="5" t="s">
        <v>316</v>
      </c>
      <c r="C34" s="50" t="s">
        <v>317</v>
      </c>
      <c r="D34" s="6">
        <v>34827</v>
      </c>
      <c r="E34" s="7">
        <v>3392980000000</v>
      </c>
      <c r="F34" s="7">
        <v>2999767000000</v>
      </c>
      <c r="G34" s="7">
        <v>2963007000000</v>
      </c>
      <c r="H34" s="17">
        <v>2993218000000</v>
      </c>
      <c r="I34" s="17">
        <v>3173651000000</v>
      </c>
      <c r="J34" s="7">
        <v>50467000000</v>
      </c>
      <c r="K34" s="7">
        <v>64021000000</v>
      </c>
      <c r="L34" s="7">
        <v>67093000000</v>
      </c>
      <c r="M34" s="17">
        <v>91723000000</v>
      </c>
      <c r="N34" s="17">
        <v>93065000000</v>
      </c>
      <c r="O34" s="7">
        <v>17996000000</v>
      </c>
      <c r="P34" s="7">
        <v>22495000000</v>
      </c>
      <c r="Q34" s="7">
        <v>26994000000</v>
      </c>
      <c r="R34" s="7">
        <v>26994000000</v>
      </c>
      <c r="S34" s="9">
        <v>35992000000</v>
      </c>
      <c r="T34" s="10">
        <v>4498997362</v>
      </c>
      <c r="U34" s="10">
        <v>4498997362</v>
      </c>
      <c r="V34" s="10">
        <v>4498997362</v>
      </c>
      <c r="W34" s="10">
        <v>4498997362</v>
      </c>
      <c r="X34" s="10">
        <v>4498997362</v>
      </c>
    </row>
    <row r="35" spans="1:24" x14ac:dyDescent="0.25">
      <c r="A35" s="5">
        <v>31</v>
      </c>
      <c r="B35" s="5" t="s">
        <v>320</v>
      </c>
      <c r="C35" s="5" t="s">
        <v>321</v>
      </c>
      <c r="D35" s="6">
        <v>35255</v>
      </c>
      <c r="E35" s="7">
        <v>1168956042706</v>
      </c>
      <c r="F35" s="7">
        <v>1393079542074</v>
      </c>
      <c r="G35" s="7">
        <v>1566673828068</v>
      </c>
      <c r="H35" s="8">
        <v>1697387196209</v>
      </c>
      <c r="I35" s="8">
        <v>1718287453575</v>
      </c>
      <c r="J35" s="7">
        <v>92649656775</v>
      </c>
      <c r="K35" s="7">
        <v>215459200242</v>
      </c>
      <c r="L35" s="7">
        <v>181812593992</v>
      </c>
      <c r="M35" s="8">
        <v>187066990085</v>
      </c>
      <c r="N35" s="8">
        <v>220704543072</v>
      </c>
      <c r="O35" s="7">
        <v>26775000000</v>
      </c>
      <c r="P35" s="7">
        <v>59500000000</v>
      </c>
      <c r="Q35" s="7">
        <v>59500000000</v>
      </c>
      <c r="R35" s="9">
        <v>59500000000</v>
      </c>
      <c r="S35" s="8">
        <v>59500000000</v>
      </c>
      <c r="T35" s="9">
        <v>595000000</v>
      </c>
      <c r="U35" s="9">
        <v>595000000</v>
      </c>
      <c r="V35" s="9">
        <v>595000000</v>
      </c>
      <c r="W35" s="9">
        <v>595000000</v>
      </c>
      <c r="X35" s="8">
        <v>595000000</v>
      </c>
    </row>
    <row r="36" spans="1:24" x14ac:dyDescent="0.25">
      <c r="A36" s="5">
        <v>32</v>
      </c>
      <c r="B36" s="5" t="s">
        <v>330</v>
      </c>
      <c r="C36" s="5" t="s">
        <v>331</v>
      </c>
      <c r="D36" s="6">
        <v>30724</v>
      </c>
      <c r="E36" s="7">
        <v>1523517170000</v>
      </c>
      <c r="F36" s="7">
        <v>1425983722000</v>
      </c>
      <c r="G36" s="7">
        <v>1225580913000</v>
      </c>
      <c r="H36" s="7">
        <v>1308722065000</v>
      </c>
      <c r="I36" s="7">
        <v>1307186367000</v>
      </c>
      <c r="J36" s="7">
        <v>338129985000</v>
      </c>
      <c r="K36" s="7">
        <v>317815177000</v>
      </c>
      <c r="L36" s="7">
        <v>123465762000</v>
      </c>
      <c r="M36" s="7">
        <v>187992998000</v>
      </c>
      <c r="N36" s="7">
        <v>230065807000</v>
      </c>
      <c r="O36" s="52">
        <v>208171353000</v>
      </c>
      <c r="P36" s="7">
        <v>382715026000</v>
      </c>
      <c r="Q36" s="7">
        <v>312257030000</v>
      </c>
      <c r="R36" s="9">
        <v>200164763000</v>
      </c>
      <c r="S36" s="9">
        <v>240197715000</v>
      </c>
      <c r="T36" s="9">
        <v>800659050</v>
      </c>
      <c r="U36" s="9">
        <v>800659050</v>
      </c>
      <c r="V36" s="9">
        <v>800659050</v>
      </c>
      <c r="W36" s="10">
        <v>800659050</v>
      </c>
      <c r="X36" s="10">
        <v>800659050</v>
      </c>
    </row>
    <row r="37" spans="1:24" x14ac:dyDescent="0.25">
      <c r="A37" s="5">
        <v>33</v>
      </c>
      <c r="B37" s="5" t="s">
        <v>338</v>
      </c>
      <c r="C37" s="5" t="s">
        <v>339</v>
      </c>
      <c r="D37" s="6">
        <v>43383</v>
      </c>
      <c r="E37" s="9">
        <v>4212408305683</v>
      </c>
      <c r="F37" s="7">
        <v>5063067672414</v>
      </c>
      <c r="G37" s="9">
        <v>6570969641033</v>
      </c>
      <c r="H37" s="17">
        <v>6766602280143</v>
      </c>
      <c r="I37" s="17">
        <v>7327371934290</v>
      </c>
      <c r="J37" s="9">
        <v>425481597110</v>
      </c>
      <c r="K37" s="7">
        <v>435766359480</v>
      </c>
      <c r="L37" s="9">
        <v>245103761907</v>
      </c>
      <c r="M37" s="8">
        <v>492637672186</v>
      </c>
      <c r="N37" s="8">
        <v>521714035585</v>
      </c>
      <c r="O37" s="9">
        <v>183082141237</v>
      </c>
      <c r="P37" s="7">
        <v>132379748022</v>
      </c>
      <c r="Q37" s="9">
        <v>213786027326</v>
      </c>
      <c r="R37" s="9">
        <v>131923972638</v>
      </c>
      <c r="S37" s="17">
        <v>221508548952</v>
      </c>
      <c r="T37" s="10">
        <v>7379580291</v>
      </c>
      <c r="U37" s="10">
        <v>7379580291</v>
      </c>
      <c r="V37" s="10">
        <v>7379580291</v>
      </c>
      <c r="W37" s="10">
        <v>36897901455</v>
      </c>
      <c r="X37" s="17">
        <v>36897901455</v>
      </c>
    </row>
    <row r="38" spans="1:24" x14ac:dyDescent="0.25">
      <c r="A38" s="5">
        <v>34</v>
      </c>
      <c r="B38" s="5" t="s">
        <v>340</v>
      </c>
      <c r="C38" s="5" t="s">
        <v>341</v>
      </c>
      <c r="D38" s="6">
        <v>42908</v>
      </c>
      <c r="E38" s="7">
        <v>758846556031</v>
      </c>
      <c r="F38" s="7">
        <v>848676035300</v>
      </c>
      <c r="G38" s="7">
        <v>906924214166</v>
      </c>
      <c r="H38" s="8">
        <v>987563580363</v>
      </c>
      <c r="I38" s="8">
        <v>811603660216</v>
      </c>
      <c r="J38" s="7">
        <v>90195136265</v>
      </c>
      <c r="K38" s="7">
        <v>103723133972</v>
      </c>
      <c r="L38" s="7">
        <v>38038419405</v>
      </c>
      <c r="M38" s="8">
        <v>11844682161</v>
      </c>
      <c r="N38" s="8">
        <v>90572477</v>
      </c>
      <c r="O38" s="7">
        <v>14200138260</v>
      </c>
      <c r="P38" s="7">
        <v>26140929100</v>
      </c>
      <c r="Q38" s="7">
        <v>28635668400</v>
      </c>
      <c r="R38" s="9">
        <v>9677752680</v>
      </c>
      <c r="S38" s="17">
        <v>9677752680</v>
      </c>
      <c r="T38" s="10">
        <v>2374834620</v>
      </c>
      <c r="U38" s="10">
        <v>2378405500</v>
      </c>
      <c r="V38" s="10">
        <v>2419438170</v>
      </c>
      <c r="W38" s="10">
        <v>9677752680</v>
      </c>
      <c r="X38" s="17">
        <v>9677752680</v>
      </c>
    </row>
    <row r="39" spans="1:24" x14ac:dyDescent="0.25">
      <c r="A39" s="5">
        <v>35</v>
      </c>
      <c r="B39" s="5" t="s">
        <v>344</v>
      </c>
      <c r="C39" s="5" t="s">
        <v>345</v>
      </c>
      <c r="D39" s="6">
        <v>40458</v>
      </c>
      <c r="E39" s="7">
        <v>34367153000000</v>
      </c>
      <c r="F39" s="7">
        <v>38709314000000</v>
      </c>
      <c r="G39" s="9">
        <v>103588325000000</v>
      </c>
      <c r="H39" s="8">
        <v>118015311000000</v>
      </c>
      <c r="I39" s="8">
        <v>115305536000000</v>
      </c>
      <c r="J39" s="7">
        <v>4658781000000</v>
      </c>
      <c r="K39" s="7">
        <v>5360029000000</v>
      </c>
      <c r="L39" s="9">
        <v>7418574000000</v>
      </c>
      <c r="M39" s="8">
        <v>7911943000000</v>
      </c>
      <c r="N39" s="8">
        <v>5722194000000</v>
      </c>
      <c r="O39" s="7">
        <v>2689873000000</v>
      </c>
      <c r="P39" s="7">
        <v>1682890000000</v>
      </c>
      <c r="Q39" s="9">
        <v>2915985000000</v>
      </c>
      <c r="R39" s="9">
        <v>3629968000000</v>
      </c>
      <c r="S39" s="9">
        <v>3532886000000</v>
      </c>
      <c r="T39" s="9">
        <v>11661908000</v>
      </c>
      <c r="U39" s="9">
        <v>11661908000</v>
      </c>
      <c r="V39" s="9">
        <v>11661908000</v>
      </c>
      <c r="W39" s="9">
        <v>11661908000</v>
      </c>
      <c r="X39" s="9">
        <v>11661908000</v>
      </c>
    </row>
    <row r="40" spans="1:24" x14ac:dyDescent="0.25">
      <c r="A40" s="5">
        <v>36</v>
      </c>
      <c r="B40" s="5" t="s">
        <v>350</v>
      </c>
      <c r="C40" s="5" t="s">
        <v>351</v>
      </c>
      <c r="D40" s="6">
        <v>34529</v>
      </c>
      <c r="E40" s="9">
        <v>96537796000000</v>
      </c>
      <c r="F40" s="7">
        <v>96198559000000</v>
      </c>
      <c r="G40" s="9">
        <v>163136516000000</v>
      </c>
      <c r="H40" s="8">
        <v>179271840000000</v>
      </c>
      <c r="I40" s="8">
        <v>180433300000000</v>
      </c>
      <c r="J40" s="9">
        <v>4961851000000</v>
      </c>
      <c r="K40" s="7">
        <v>5902729000000</v>
      </c>
      <c r="L40" s="9">
        <v>8752066000000</v>
      </c>
      <c r="M40" s="8">
        <v>11229695000000</v>
      </c>
      <c r="N40" s="8">
        <v>9192569000000</v>
      </c>
      <c r="O40" s="9">
        <v>3484931000000</v>
      </c>
      <c r="P40" s="7">
        <v>1974386000000</v>
      </c>
      <c r="Q40" s="9">
        <v>3371943000000</v>
      </c>
      <c r="R40" s="9">
        <v>4126638000000</v>
      </c>
      <c r="S40" s="9">
        <v>4201345000000</v>
      </c>
      <c r="T40" s="9">
        <v>8780426500</v>
      </c>
      <c r="U40" s="9">
        <v>8780426500</v>
      </c>
      <c r="V40" s="9">
        <v>8780426500</v>
      </c>
      <c r="W40" s="9">
        <v>8780426500</v>
      </c>
      <c r="X40" s="9">
        <v>8780426500</v>
      </c>
    </row>
    <row r="41" spans="1:24" x14ac:dyDescent="0.25">
      <c r="A41" s="5">
        <v>37</v>
      </c>
      <c r="B41" s="5" t="s">
        <v>360</v>
      </c>
      <c r="C41" s="5" t="s">
        <v>361</v>
      </c>
      <c r="D41" s="6">
        <v>33058</v>
      </c>
      <c r="E41" s="7">
        <v>17591706426634</v>
      </c>
      <c r="F41" s="7">
        <v>19037918806473</v>
      </c>
      <c r="G41" s="7">
        <v>19777500514550</v>
      </c>
      <c r="H41" s="8">
        <v>19917653265528</v>
      </c>
      <c r="I41" s="8">
        <v>22276160695411</v>
      </c>
      <c r="J41" s="7">
        <v>1760434280304</v>
      </c>
      <c r="K41" s="7">
        <v>2051404206764</v>
      </c>
      <c r="L41" s="7">
        <v>2098168514645</v>
      </c>
      <c r="M41" s="17">
        <v>1211052647953</v>
      </c>
      <c r="N41" s="8">
        <v>1970064538149</v>
      </c>
      <c r="O41" s="7">
        <f>603684892575+12865125000</f>
        <v>616550017575</v>
      </c>
      <c r="P41" s="7">
        <v>662654792025</v>
      </c>
      <c r="Q41" s="7">
        <v>685013491750</v>
      </c>
      <c r="R41" s="9">
        <f>1162652385700+44109000000</f>
        <v>1206761385700</v>
      </c>
      <c r="S41" s="9">
        <f>469532694225+63568812500</f>
        <v>533101506725</v>
      </c>
      <c r="T41" s="9">
        <v>22358699725</v>
      </c>
      <c r="U41" s="9">
        <v>22358699725</v>
      </c>
      <c r="V41" s="9">
        <v>22358699725</v>
      </c>
      <c r="W41" s="9">
        <v>22358699725</v>
      </c>
      <c r="X41" s="9">
        <v>22358699725</v>
      </c>
    </row>
    <row r="42" spans="1:24" x14ac:dyDescent="0.25">
      <c r="A42" s="5">
        <v>38</v>
      </c>
      <c r="B42" s="5" t="s">
        <v>374</v>
      </c>
      <c r="C42" s="5" t="s">
        <v>375</v>
      </c>
      <c r="D42" s="6">
        <v>40357</v>
      </c>
      <c r="E42" s="7">
        <v>4393810380883</v>
      </c>
      <c r="F42" s="7">
        <v>4682083844951</v>
      </c>
      <c r="G42" s="9">
        <v>4452166671985</v>
      </c>
      <c r="H42" s="17">
        <v>4191284422677</v>
      </c>
      <c r="I42" s="17">
        <v>4130321616083</v>
      </c>
      <c r="J42" s="7">
        <v>127171436363</v>
      </c>
      <c r="K42" s="7">
        <v>236518557420</v>
      </c>
      <c r="L42" s="9">
        <v>168610282478</v>
      </c>
      <c r="M42" s="17">
        <v>283602993676</v>
      </c>
      <c r="N42" s="8">
        <v>432247722254</v>
      </c>
      <c r="O42" s="7">
        <v>36005365328</v>
      </c>
      <c r="P42" s="7">
        <v>59724779679</v>
      </c>
      <c r="Q42" s="9">
        <v>149528741987</v>
      </c>
      <c r="R42" s="9">
        <v>297289648543</v>
      </c>
      <c r="S42" s="9">
        <v>346139578657</v>
      </c>
      <c r="T42" s="9">
        <v>6186488888</v>
      </c>
      <c r="U42" s="9">
        <v>6186488888</v>
      </c>
      <c r="V42" s="9">
        <v>6186488888</v>
      </c>
      <c r="W42" s="10">
        <v>6186488888</v>
      </c>
      <c r="X42" s="10">
        <v>6186488888</v>
      </c>
    </row>
    <row r="43" spans="1:24" x14ac:dyDescent="0.25">
      <c r="A43" s="5">
        <v>39</v>
      </c>
      <c r="B43" s="5" t="s">
        <v>378</v>
      </c>
      <c r="C43" s="5" t="s">
        <v>379</v>
      </c>
      <c r="D43" s="6">
        <v>34220</v>
      </c>
      <c r="E43" s="7">
        <v>747293725435</v>
      </c>
      <c r="F43" s="7">
        <v>790845543826</v>
      </c>
      <c r="G43" s="7">
        <v>773863042440</v>
      </c>
      <c r="H43" s="17">
        <v>889125250792</v>
      </c>
      <c r="I43" s="17">
        <v>1033289474829</v>
      </c>
      <c r="J43" s="7">
        <v>31954131252</v>
      </c>
      <c r="K43" s="7">
        <v>44943627900</v>
      </c>
      <c r="L43" s="7">
        <v>42520246722</v>
      </c>
      <c r="M43" s="17">
        <v>84524160228</v>
      </c>
      <c r="N43" s="17">
        <v>74865302076</v>
      </c>
      <c r="O43" s="7">
        <v>4351665150</v>
      </c>
      <c r="P43" s="7">
        <v>5594998050</v>
      </c>
      <c r="Q43" s="7">
        <v>9324996750</v>
      </c>
      <c r="R43" s="9">
        <v>9324996750</v>
      </c>
      <c r="S43" s="17">
        <v>29841405600</v>
      </c>
      <c r="T43" s="9">
        <v>690740500</v>
      </c>
      <c r="U43" s="9">
        <v>690740500</v>
      </c>
      <c r="V43" s="17">
        <v>690740500</v>
      </c>
      <c r="W43" s="9">
        <v>690740500</v>
      </c>
      <c r="X43" s="9">
        <v>690740500</v>
      </c>
    </row>
    <row r="44" spans="1:24" x14ac:dyDescent="0.25">
      <c r="A44" s="5">
        <v>40</v>
      </c>
      <c r="B44" s="5" t="s">
        <v>386</v>
      </c>
      <c r="C44" s="5" t="s">
        <v>387</v>
      </c>
      <c r="D44" s="6">
        <v>33056</v>
      </c>
      <c r="E44" s="7">
        <v>5555871000000</v>
      </c>
      <c r="F44" s="7">
        <v>6608422000000</v>
      </c>
      <c r="G44" s="9">
        <v>8754116000000</v>
      </c>
      <c r="H44" s="17">
        <v>7406856000000</v>
      </c>
      <c r="I44" s="8">
        <v>7376375000000</v>
      </c>
      <c r="J44" s="7">
        <v>701607000000</v>
      </c>
      <c r="K44" s="7">
        <v>1035865000000</v>
      </c>
      <c r="L44" s="9">
        <v>1109666000000</v>
      </c>
      <c r="M44" s="17">
        <v>1276793000000</v>
      </c>
      <c r="N44" s="8">
        <v>965486000000</v>
      </c>
      <c r="O44" s="7">
        <v>1251000000</v>
      </c>
      <c r="P44" s="7">
        <v>150042000000</v>
      </c>
      <c r="Q44" s="7">
        <v>136678000000</v>
      </c>
      <c r="R44" s="9">
        <v>894810000000</v>
      </c>
      <c r="S44" s="8">
        <v>271804000000</v>
      </c>
      <c r="T44" s="9">
        <v>11553528000</v>
      </c>
      <c r="U44" s="9">
        <v>11553528000</v>
      </c>
      <c r="V44" s="9">
        <v>11553528000</v>
      </c>
      <c r="W44" s="9">
        <v>11553528000</v>
      </c>
      <c r="X44" s="9">
        <v>11553528000</v>
      </c>
    </row>
    <row r="45" spans="1:24" x14ac:dyDescent="0.25">
      <c r="A45" s="5">
        <v>41</v>
      </c>
      <c r="B45" s="5" t="s">
        <v>394</v>
      </c>
      <c r="C45" s="5" t="s">
        <v>395</v>
      </c>
      <c r="D45" s="6">
        <v>33100</v>
      </c>
      <c r="E45" s="7">
        <v>46602420000000</v>
      </c>
      <c r="F45" s="7">
        <v>50902806000000</v>
      </c>
      <c r="G45" s="9">
        <v>49674030000000</v>
      </c>
      <c r="H45" s="17">
        <v>53090428000000</v>
      </c>
      <c r="I45" s="17">
        <v>54786992000000</v>
      </c>
      <c r="J45" s="7">
        <v>13538418000000</v>
      </c>
      <c r="K45" s="7">
        <v>13721513000000</v>
      </c>
      <c r="L45" s="9">
        <v>8581378000000</v>
      </c>
      <c r="M45" s="17">
        <v>7137097000000</v>
      </c>
      <c r="N45" s="17">
        <v>6323744000000</v>
      </c>
      <c r="O45" s="7">
        <v>12480930000000</v>
      </c>
      <c r="P45" s="7">
        <v>13632478000000</v>
      </c>
      <c r="Q45" s="9">
        <v>13934906000000</v>
      </c>
      <c r="R45" s="9">
        <v>8467956000000</v>
      </c>
      <c r="S45" s="9">
        <v>7362934000000</v>
      </c>
      <c r="T45" s="9">
        <v>116318076900</v>
      </c>
      <c r="U45" s="9">
        <v>116318076900</v>
      </c>
      <c r="V45" s="9">
        <v>116318076900</v>
      </c>
      <c r="W45" s="10">
        <v>116318076900</v>
      </c>
      <c r="X45" s="17">
        <v>116318076900</v>
      </c>
    </row>
    <row r="46" spans="1:24" x14ac:dyDescent="0.25">
      <c r="A46" s="5">
        <v>42</v>
      </c>
      <c r="B46" s="5" t="s">
        <v>400</v>
      </c>
      <c r="C46" s="5" t="s">
        <v>401</v>
      </c>
      <c r="D46" s="6">
        <v>34649</v>
      </c>
      <c r="E46" s="7">
        <v>1682821739000</v>
      </c>
      <c r="F46" s="7">
        <v>1829960714000</v>
      </c>
      <c r="G46" s="9">
        <v>1986711872000</v>
      </c>
      <c r="H46" s="8">
        <v>2082911322000</v>
      </c>
      <c r="I46" s="8">
        <v>2009139485000</v>
      </c>
      <c r="J46" s="7">
        <v>200651968000</v>
      </c>
      <c r="K46" s="7">
        <v>221783249000</v>
      </c>
      <c r="L46" s="9">
        <v>162072984000</v>
      </c>
      <c r="M46" s="8">
        <v>146505337000</v>
      </c>
      <c r="N46" s="8">
        <v>149375011000</v>
      </c>
      <c r="O46" s="7">
        <v>119406233000</v>
      </c>
      <c r="P46" s="7">
        <v>119618582000</v>
      </c>
      <c r="Q46" s="9">
        <v>119840000000</v>
      </c>
      <c r="R46" s="9">
        <v>125440000000</v>
      </c>
      <c r="S46" s="9">
        <v>125440000000</v>
      </c>
      <c r="T46" s="9">
        <v>1120000000</v>
      </c>
      <c r="U46" s="9">
        <v>1120000000</v>
      </c>
      <c r="V46" s="9">
        <v>1120000000</v>
      </c>
      <c r="W46" s="10">
        <v>1120000000</v>
      </c>
      <c r="X46" s="8">
        <v>1120000000</v>
      </c>
    </row>
    <row r="47" spans="1:24" x14ac:dyDescent="0.25">
      <c r="A47" s="5">
        <v>43</v>
      </c>
      <c r="B47" s="5" t="s">
        <v>404</v>
      </c>
      <c r="C47" s="5" t="s">
        <v>405</v>
      </c>
      <c r="D47" s="6">
        <v>37076</v>
      </c>
      <c r="E47" s="7">
        <v>9460427317681</v>
      </c>
      <c r="F47" s="7">
        <v>18352877132000</v>
      </c>
      <c r="G47" s="7">
        <v>17562816674000</v>
      </c>
      <c r="H47" s="8">
        <v>17760195040000</v>
      </c>
      <c r="I47" s="8">
        <v>20353992893000</v>
      </c>
      <c r="J47" s="7">
        <v>401792808948</v>
      </c>
      <c r="K47" s="7">
        <v>15890439000</v>
      </c>
      <c r="L47" s="7">
        <v>20425756000</v>
      </c>
      <c r="M47" s="8">
        <v>289888789000</v>
      </c>
      <c r="N47" s="18">
        <v>-109782957000</v>
      </c>
      <c r="O47" s="7">
        <v>98083640000</v>
      </c>
      <c r="P47" s="7">
        <v>83198920000</v>
      </c>
      <c r="Q47" s="7">
        <v>32322987000</v>
      </c>
      <c r="R47" s="9">
        <v>17528119000</v>
      </c>
      <c r="S47" s="9">
        <v>90682089000</v>
      </c>
      <c r="T47" s="9">
        <v>5554000000</v>
      </c>
      <c r="U47" s="9">
        <v>5554000000</v>
      </c>
      <c r="V47" s="9">
        <v>5554000000</v>
      </c>
      <c r="W47" s="9">
        <v>5554000000</v>
      </c>
      <c r="X47" s="9">
        <v>5554000000</v>
      </c>
    </row>
    <row r="48" spans="1:24" x14ac:dyDescent="0.25">
      <c r="A48" s="5">
        <v>44</v>
      </c>
      <c r="B48" s="5" t="s">
        <v>406</v>
      </c>
      <c r="C48" s="5" t="s">
        <v>407</v>
      </c>
      <c r="D48" s="6">
        <v>33449</v>
      </c>
      <c r="E48" s="7">
        <v>18146206145369</v>
      </c>
      <c r="F48" s="7">
        <v>20264726862584</v>
      </c>
      <c r="G48" s="9">
        <v>22564300317374</v>
      </c>
      <c r="H48" s="8">
        <v>25666635156271</v>
      </c>
      <c r="I48" s="8">
        <v>27241313025674</v>
      </c>
      <c r="J48" s="7">
        <v>2497261964757</v>
      </c>
      <c r="K48" s="7">
        <v>2537601823645</v>
      </c>
      <c r="L48" s="9">
        <v>2799622515814</v>
      </c>
      <c r="M48" s="8">
        <v>3232007683281</v>
      </c>
      <c r="N48" s="8">
        <v>3450083412291</v>
      </c>
      <c r="O48" s="7">
        <v>1190617265850</v>
      </c>
      <c r="P48" s="9">
        <v>1252864180779</v>
      </c>
      <c r="Q48" s="9">
        <v>1252278191746</v>
      </c>
      <c r="R48" s="9">
        <v>1372742724917</v>
      </c>
      <c r="S48" s="9">
        <v>1696987952180</v>
      </c>
      <c r="T48" s="9">
        <v>46875122110</v>
      </c>
      <c r="U48" s="9">
        <v>46875122110</v>
      </c>
      <c r="V48" s="9">
        <v>46875122110</v>
      </c>
      <c r="W48" s="9">
        <v>46875122110</v>
      </c>
      <c r="X48" s="9">
        <v>46875122110</v>
      </c>
    </row>
    <row r="49" spans="1:24" x14ac:dyDescent="0.25">
      <c r="A49" s="5">
        <v>45</v>
      </c>
      <c r="B49" s="5" t="s">
        <v>410</v>
      </c>
      <c r="C49" s="5" t="s">
        <v>411</v>
      </c>
      <c r="D49" s="6">
        <v>43460</v>
      </c>
      <c r="E49" s="7">
        <v>1868663546000</v>
      </c>
      <c r="F49" s="7">
        <v>2096719180000</v>
      </c>
      <c r="G49" s="7">
        <v>1915989375000</v>
      </c>
      <c r="H49" s="8">
        <v>1838539299000</v>
      </c>
      <c r="I49" s="8">
        <v>1806280965000</v>
      </c>
      <c r="J49" s="7">
        <v>133292514000</v>
      </c>
      <c r="K49" s="7">
        <v>102310124000</v>
      </c>
      <c r="L49" s="7">
        <v>48665149000</v>
      </c>
      <c r="M49" s="8">
        <v>11296951000</v>
      </c>
      <c r="N49" s="8">
        <v>27395254000</v>
      </c>
      <c r="O49" s="7">
        <v>87686243000</v>
      </c>
      <c r="P49" s="7">
        <v>92716852000</v>
      </c>
      <c r="Q49" s="7">
        <v>71447083000</v>
      </c>
      <c r="R49" s="9">
        <v>19395150000</v>
      </c>
      <c r="S49" s="8">
        <v>6644400000</v>
      </c>
      <c r="T49" s="10">
        <v>840000000</v>
      </c>
      <c r="U49" s="10">
        <v>840000000</v>
      </c>
      <c r="V49" s="9">
        <v>840000000</v>
      </c>
      <c r="W49" s="9">
        <v>840000000</v>
      </c>
      <c r="X49" s="9">
        <v>840000000</v>
      </c>
    </row>
    <row r="50" spans="1:24" x14ac:dyDescent="0.25">
      <c r="A50" s="5">
        <v>46</v>
      </c>
      <c r="B50" s="5" t="s">
        <v>416</v>
      </c>
      <c r="C50" s="5" t="s">
        <v>417</v>
      </c>
      <c r="D50" s="6">
        <v>41626</v>
      </c>
      <c r="E50" s="7">
        <v>3337628000000</v>
      </c>
      <c r="F50" s="7">
        <v>3529557000000</v>
      </c>
      <c r="G50" s="7">
        <v>3849516000000</v>
      </c>
      <c r="H50" s="17">
        <v>4068970000000</v>
      </c>
      <c r="I50" s="17">
        <v>4081442000000</v>
      </c>
      <c r="J50" s="7">
        <v>663849000000</v>
      </c>
      <c r="K50" s="7">
        <v>807689000000</v>
      </c>
      <c r="L50" s="7">
        <v>934016000000</v>
      </c>
      <c r="M50" s="17">
        <v>1260898000000</v>
      </c>
      <c r="N50" s="17">
        <v>1104714000000</v>
      </c>
      <c r="O50" s="7">
        <v>654882000000</v>
      </c>
      <c r="P50" s="7">
        <v>640028000000</v>
      </c>
      <c r="Q50" s="7">
        <v>773988000000</v>
      </c>
      <c r="R50" s="9">
        <v>1018142000000</v>
      </c>
      <c r="S50" s="9">
        <v>1086000000000</v>
      </c>
      <c r="T50" s="10">
        <v>15000000000</v>
      </c>
      <c r="U50" s="10">
        <v>15000000000</v>
      </c>
      <c r="V50" s="9">
        <v>30000000000</v>
      </c>
      <c r="W50" s="9">
        <v>30000000000</v>
      </c>
      <c r="X50" s="9">
        <v>30000000000</v>
      </c>
    </row>
    <row r="51" spans="1:24" x14ac:dyDescent="0.25">
      <c r="A51" s="5">
        <v>47</v>
      </c>
      <c r="B51" s="5" t="s">
        <v>420</v>
      </c>
      <c r="C51" s="5" t="s">
        <v>421</v>
      </c>
      <c r="D51" s="6">
        <v>34351</v>
      </c>
      <c r="E51" s="7">
        <v>7869975060326</v>
      </c>
      <c r="F51" s="7">
        <v>8372769580743</v>
      </c>
      <c r="G51" s="7">
        <v>9104657533366</v>
      </c>
      <c r="H51" s="17">
        <v>9644326662784</v>
      </c>
      <c r="I51" s="17">
        <v>11328974079150</v>
      </c>
      <c r="J51" s="7">
        <v>540378145887</v>
      </c>
      <c r="K51" s="7">
        <v>595154912874</v>
      </c>
      <c r="L51" s="7">
        <v>834369751682</v>
      </c>
      <c r="M51" s="17">
        <v>877817637643</v>
      </c>
      <c r="N51" s="17">
        <v>1037527882044</v>
      </c>
      <c r="O51" s="7">
        <v>180000000000</v>
      </c>
      <c r="P51" s="7">
        <v>180000000000</v>
      </c>
      <c r="Q51" s="7">
        <v>225000000000</v>
      </c>
      <c r="R51" s="9">
        <v>360197286000</v>
      </c>
      <c r="S51" s="9">
        <v>338239822500</v>
      </c>
      <c r="T51" s="10">
        <v>4500000000</v>
      </c>
      <c r="U51" s="10">
        <v>4500000000</v>
      </c>
      <c r="V51" s="9">
        <v>4500000000</v>
      </c>
      <c r="W51" s="9">
        <v>4509864300</v>
      </c>
      <c r="X51" s="9">
        <v>4509864300</v>
      </c>
    </row>
    <row r="52" spans="1:24" x14ac:dyDescent="0.25">
      <c r="A52" s="5">
        <v>48</v>
      </c>
      <c r="B52" s="19" t="s">
        <v>424</v>
      </c>
      <c r="C52" s="19" t="s">
        <v>425</v>
      </c>
      <c r="D52" s="6">
        <v>43003</v>
      </c>
      <c r="E52" s="7">
        <v>914065000000</v>
      </c>
      <c r="F52" s="7">
        <v>923795000000</v>
      </c>
      <c r="G52" s="7">
        <v>973684000000</v>
      </c>
      <c r="H52" s="8">
        <v>985400000000</v>
      </c>
      <c r="I52" s="8">
        <v>1045929000000</v>
      </c>
      <c r="J52" s="7">
        <v>914065000000</v>
      </c>
      <c r="K52" s="7">
        <v>923795000000</v>
      </c>
      <c r="L52" s="7">
        <v>40085000000</v>
      </c>
      <c r="M52" s="8">
        <v>38851000000</v>
      </c>
      <c r="N52" s="8">
        <v>38417000000</v>
      </c>
      <c r="O52" s="52">
        <v>30723000000</v>
      </c>
      <c r="P52" s="52">
        <v>30362000000</v>
      </c>
      <c r="Q52" s="52">
        <v>22771000000</v>
      </c>
      <c r="R52" s="52">
        <v>30362000000</v>
      </c>
      <c r="S52" s="9">
        <v>25302000000</v>
      </c>
      <c r="T52" s="10">
        <v>2131776780</v>
      </c>
      <c r="U52" s="10">
        <v>2530150002</v>
      </c>
      <c r="V52" s="10">
        <v>2530150002</v>
      </c>
      <c r="W52" s="10">
        <v>2530150002</v>
      </c>
      <c r="X52" s="10">
        <v>2530150002</v>
      </c>
    </row>
    <row r="53" spans="1:24" x14ac:dyDescent="0.25">
      <c r="A53" s="5">
        <v>49</v>
      </c>
      <c r="B53" s="5" t="s">
        <v>438</v>
      </c>
      <c r="C53" s="5" t="s">
        <v>439</v>
      </c>
      <c r="D53" s="6">
        <v>29962</v>
      </c>
      <c r="E53" s="7">
        <v>19522970000000</v>
      </c>
      <c r="F53" s="7">
        <v>20649371000000</v>
      </c>
      <c r="G53" s="9">
        <v>20534632000000</v>
      </c>
      <c r="H53" s="17">
        <v>19068532000000</v>
      </c>
      <c r="I53" s="17">
        <v>18318114000000</v>
      </c>
      <c r="J53" s="7">
        <v>9109445000000</v>
      </c>
      <c r="K53" s="7">
        <v>7392837000000</v>
      </c>
      <c r="L53" s="9">
        <v>7163536000000</v>
      </c>
      <c r="M53" s="17">
        <v>5758148000000</v>
      </c>
      <c r="N53" s="17">
        <v>5364761000000</v>
      </c>
      <c r="O53" s="7">
        <v>6981450000000</v>
      </c>
      <c r="P53" s="7">
        <v>9191962000000</v>
      </c>
      <c r="Q53" s="9">
        <v>7401100000000</v>
      </c>
      <c r="R53" s="9">
        <v>6332900000000</v>
      </c>
      <c r="S53" s="9">
        <v>5836950000000</v>
      </c>
      <c r="T53" s="10">
        <v>7630000000</v>
      </c>
      <c r="U53" s="10">
        <v>7630000000</v>
      </c>
      <c r="V53" s="9">
        <v>38150000000</v>
      </c>
      <c r="W53" s="9">
        <v>38150000000</v>
      </c>
      <c r="X53" s="9">
        <v>38150000000</v>
      </c>
    </row>
    <row r="55" spans="1:24" x14ac:dyDescent="0.25">
      <c r="A55" t="s">
        <v>487</v>
      </c>
    </row>
    <row r="56" spans="1:24" x14ac:dyDescent="0.25">
      <c r="A56" s="5">
        <v>1</v>
      </c>
      <c r="B56" s="5" t="s">
        <v>14</v>
      </c>
      <c r="C56" s="5" t="s">
        <v>15</v>
      </c>
      <c r="D56" s="6">
        <v>41453</v>
      </c>
      <c r="E56" s="7">
        <v>5538079503000</v>
      </c>
      <c r="F56" s="7">
        <v>5571270204000</v>
      </c>
      <c r="G56" s="7">
        <v>5737175560000</v>
      </c>
      <c r="H56" s="8">
        <v>5271953697000</v>
      </c>
      <c r="I56" s="8">
        <v>5211248525000</v>
      </c>
      <c r="J56" s="7">
        <v>76074721000</v>
      </c>
      <c r="K56" s="7">
        <v>30073855000</v>
      </c>
      <c r="L56" s="7">
        <v>10981673000</v>
      </c>
      <c r="M56" s="9">
        <v>51817305000</v>
      </c>
      <c r="N56" s="8">
        <v>94827889000</v>
      </c>
      <c r="O56" s="9">
        <v>36661209000</v>
      </c>
      <c r="P56" s="9">
        <v>18971143000</v>
      </c>
      <c r="Q56" s="9">
        <v>6158861000</v>
      </c>
      <c r="R56" s="15"/>
      <c r="S56" s="15"/>
      <c r="T56" s="10">
        <v>9932534336</v>
      </c>
      <c r="U56" s="10">
        <v>20067465664</v>
      </c>
      <c r="V56" s="9">
        <v>9932534336</v>
      </c>
      <c r="W56" s="9">
        <v>9932534336</v>
      </c>
      <c r="X56" s="8">
        <v>9932534336</v>
      </c>
    </row>
    <row r="57" spans="1:24" x14ac:dyDescent="0.25">
      <c r="A57" s="5">
        <v>2</v>
      </c>
      <c r="B57" s="5" t="s">
        <v>16</v>
      </c>
      <c r="C57" s="5" t="s">
        <v>17</v>
      </c>
      <c r="D57" s="6">
        <v>35713</v>
      </c>
      <c r="E57" s="7">
        <v>18667187000000</v>
      </c>
      <c r="F57" s="7">
        <v>19567498000000</v>
      </c>
      <c r="G57" s="7">
        <v>20738125000000</v>
      </c>
      <c r="H57" s="8">
        <v>21491023000000</v>
      </c>
      <c r="I57" s="8">
        <v>21378510000000</v>
      </c>
      <c r="J57" s="16">
        <v>-827985000000</v>
      </c>
      <c r="K57" s="7">
        <v>499052000000</v>
      </c>
      <c r="L57" s="7">
        <v>650988000000</v>
      </c>
      <c r="M57" s="9">
        <v>720933000000</v>
      </c>
      <c r="N57" s="8">
        <v>839276000000</v>
      </c>
      <c r="O57" s="15"/>
      <c r="P57" s="15"/>
      <c r="Q57" s="9">
        <v>27586000000</v>
      </c>
      <c r="R57" s="7">
        <v>195296000000</v>
      </c>
      <c r="S57" s="8">
        <v>216280000000</v>
      </c>
      <c r="T57" s="10">
        <v>7662900000</v>
      </c>
      <c r="U57" s="10">
        <v>7662900000</v>
      </c>
      <c r="V57" s="9">
        <v>7662900000</v>
      </c>
      <c r="W57" s="9">
        <v>9019381973</v>
      </c>
      <c r="X57" s="8">
        <v>9019381973</v>
      </c>
    </row>
    <row r="58" spans="1:24" x14ac:dyDescent="0.25">
      <c r="A58" s="5">
        <v>3</v>
      </c>
      <c r="B58" s="5" t="s">
        <v>20</v>
      </c>
      <c r="C58" s="5" t="s">
        <v>21</v>
      </c>
      <c r="D58" s="6">
        <v>41737</v>
      </c>
      <c r="E58" s="7">
        <v>15222388589814</v>
      </c>
      <c r="F58" s="7">
        <v>16149121684330</v>
      </c>
      <c r="G58" s="7">
        <v>10557550739243</v>
      </c>
      <c r="H58" s="8">
        <v>6882077282159</v>
      </c>
      <c r="I58" s="17">
        <v>5963657951878</v>
      </c>
      <c r="J58" s="7">
        <v>1103472788182</v>
      </c>
      <c r="K58" s="7">
        <v>806148752926</v>
      </c>
      <c r="L58" s="16">
        <v>-4759958927543</v>
      </c>
      <c r="M58" s="18">
        <v>-1943362438396</v>
      </c>
      <c r="N58" s="17">
        <v>675769677491</v>
      </c>
      <c r="O58" s="9">
        <v>750247612882</v>
      </c>
      <c r="P58" s="9">
        <v>551607222015</v>
      </c>
      <c r="Q58" s="9">
        <v>201520505109</v>
      </c>
      <c r="R58" s="15"/>
      <c r="S58" s="15"/>
      <c r="T58" s="9">
        <v>26361157534</v>
      </c>
      <c r="U58" s="9">
        <v>26361157534</v>
      </c>
      <c r="V58" s="9">
        <v>26361157534</v>
      </c>
      <c r="W58" s="9">
        <v>26361157534</v>
      </c>
      <c r="X58" s="9">
        <v>26361157534</v>
      </c>
    </row>
    <row r="59" spans="1:24" x14ac:dyDescent="0.25">
      <c r="A59" s="5">
        <v>4</v>
      </c>
      <c r="B59" s="5" t="s">
        <v>22</v>
      </c>
      <c r="C59" s="11" t="s">
        <v>23</v>
      </c>
      <c r="D59" s="6">
        <v>41262</v>
      </c>
      <c r="E59" s="7">
        <v>124391581623636</v>
      </c>
      <c r="F59" s="7">
        <v>122589259350571</v>
      </c>
      <c r="G59" s="7">
        <v>100767648407325</v>
      </c>
      <c r="H59" s="7">
        <v>103601611883340</v>
      </c>
      <c r="I59" s="7">
        <v>98232316628846</v>
      </c>
      <c r="J59" s="7">
        <v>4619567705553</v>
      </c>
      <c r="K59" s="7">
        <v>1028898367891</v>
      </c>
      <c r="L59" s="16">
        <v>-9287793197812</v>
      </c>
      <c r="M59" s="16">
        <v>-1838733441975</v>
      </c>
      <c r="N59" s="7">
        <v>-1672733807060</v>
      </c>
      <c r="O59" s="9">
        <v>776342383468</v>
      </c>
      <c r="P59" s="9">
        <v>990709507966</v>
      </c>
      <c r="Q59" s="9">
        <v>71507276041</v>
      </c>
      <c r="R59" s="15"/>
      <c r="S59" s="15"/>
      <c r="T59" s="9">
        <v>13573902600</v>
      </c>
      <c r="U59" s="9">
        <v>13573902600</v>
      </c>
      <c r="V59" s="9">
        <v>13573951000</v>
      </c>
      <c r="W59" s="9">
        <v>26315886475</v>
      </c>
      <c r="X59" s="9">
        <v>28806807016</v>
      </c>
    </row>
    <row r="60" spans="1:24" x14ac:dyDescent="0.25">
      <c r="A60" s="5">
        <v>5</v>
      </c>
      <c r="B60" s="5" t="s">
        <v>28</v>
      </c>
      <c r="C60" s="5" t="s">
        <v>29</v>
      </c>
      <c r="D60" s="6">
        <v>35011</v>
      </c>
      <c r="E60" s="7">
        <v>8432632000000</v>
      </c>
      <c r="F60" s="7">
        <v>8738055000000</v>
      </c>
      <c r="G60" s="7">
        <v>7961657000000</v>
      </c>
      <c r="H60" s="8">
        <v>7403476000000</v>
      </c>
      <c r="I60" s="17">
        <v>7466520000000</v>
      </c>
      <c r="J60" s="7">
        <v>6596000000</v>
      </c>
      <c r="K60" s="16">
        <v>-132223000000</v>
      </c>
      <c r="L60" s="16">
        <v>-430987000000</v>
      </c>
      <c r="M60" s="17">
        <v>318672000000</v>
      </c>
      <c r="N60" s="17">
        <v>437370000000</v>
      </c>
      <c r="O60" s="9">
        <v>13020000000</v>
      </c>
      <c r="P60" s="9">
        <v>13020000000</v>
      </c>
      <c r="Q60" s="15"/>
      <c r="R60" s="15"/>
      <c r="S60" s="9">
        <v>34720000000</v>
      </c>
      <c r="T60" s="10">
        <v>434000000</v>
      </c>
      <c r="U60" s="10">
        <v>434000000</v>
      </c>
      <c r="V60" s="9">
        <v>434000000</v>
      </c>
      <c r="W60" s="9">
        <v>434000000</v>
      </c>
      <c r="X60" s="9">
        <v>434000000</v>
      </c>
    </row>
    <row r="61" spans="1:24" x14ac:dyDescent="0.25">
      <c r="A61" s="5">
        <v>6</v>
      </c>
      <c r="B61" s="5" t="s">
        <v>32</v>
      </c>
      <c r="C61" s="5" t="s">
        <v>33</v>
      </c>
      <c r="D61" s="6">
        <v>43404</v>
      </c>
      <c r="E61" s="7">
        <v>328891169916</v>
      </c>
      <c r="F61" s="7">
        <v>329920473799</v>
      </c>
      <c r="G61" s="7">
        <v>354900568484</v>
      </c>
      <c r="H61" s="8">
        <v>441223941897</v>
      </c>
      <c r="I61" s="8">
        <v>447970072779</v>
      </c>
      <c r="J61" s="7">
        <v>13302390600</v>
      </c>
      <c r="K61" s="7">
        <v>2065725935</v>
      </c>
      <c r="L61" s="7">
        <v>144403412</v>
      </c>
      <c r="M61" s="8">
        <v>12299444152</v>
      </c>
      <c r="N61" s="8">
        <v>10551047972</v>
      </c>
      <c r="O61" s="21"/>
      <c r="P61" s="21"/>
      <c r="Q61" s="21"/>
      <c r="R61" s="15"/>
      <c r="S61" s="15"/>
      <c r="T61" s="10">
        <v>1203300000</v>
      </c>
      <c r="U61" s="10">
        <v>1203300219</v>
      </c>
      <c r="V61" s="9">
        <v>1203300219</v>
      </c>
      <c r="W61" s="9">
        <v>1203300219</v>
      </c>
      <c r="X61" s="9">
        <v>1203300219</v>
      </c>
    </row>
    <row r="62" spans="1:24" x14ac:dyDescent="0.25">
      <c r="A62" s="5">
        <v>7</v>
      </c>
      <c r="B62" s="5" t="s">
        <v>34</v>
      </c>
      <c r="C62" s="5" t="s">
        <v>35</v>
      </c>
      <c r="D62" s="6">
        <v>34676</v>
      </c>
      <c r="E62" s="7">
        <v>1704424579208</v>
      </c>
      <c r="F62" s="7">
        <v>1231680564971</v>
      </c>
      <c r="G62" s="7">
        <v>1021382709921</v>
      </c>
      <c r="H62" s="8">
        <v>1000024467440</v>
      </c>
      <c r="I62" s="8">
        <v>1065879552778</v>
      </c>
      <c r="J62" s="16">
        <v>-79206468705</v>
      </c>
      <c r="K62" s="16">
        <v>-494426816904</v>
      </c>
      <c r="L62" s="22">
        <v>-51749994901</v>
      </c>
      <c r="M62" s="23">
        <v>-5554727386</v>
      </c>
      <c r="N62" s="8">
        <v>6553870572</v>
      </c>
      <c r="O62" s="21"/>
      <c r="P62" s="21"/>
      <c r="Q62" s="15"/>
      <c r="R62" s="15"/>
      <c r="S62" s="15"/>
      <c r="T62" s="10">
        <v>12096181261</v>
      </c>
      <c r="U62" s="10">
        <v>13305799387</v>
      </c>
      <c r="V62" s="9">
        <v>13305799387</v>
      </c>
      <c r="W62" s="9">
        <f>14504100000+425000000</f>
        <v>14929100000</v>
      </c>
      <c r="X62" s="9">
        <f>14504100000+425000000</f>
        <v>14929100000</v>
      </c>
    </row>
    <row r="63" spans="1:24" x14ac:dyDescent="0.25">
      <c r="A63" s="5">
        <v>8</v>
      </c>
      <c r="B63" s="5" t="s">
        <v>38</v>
      </c>
      <c r="C63" s="5" t="s">
        <v>39</v>
      </c>
      <c r="D63" s="6">
        <v>34351</v>
      </c>
      <c r="E63" s="7">
        <v>5263726099000</v>
      </c>
      <c r="F63" s="7">
        <v>5758102626000</v>
      </c>
      <c r="G63" s="7">
        <v>5745215496000</v>
      </c>
      <c r="H63" s="8">
        <v>6121601356000</v>
      </c>
      <c r="I63" s="8">
        <v>6806945264000</v>
      </c>
      <c r="J63" s="7">
        <v>189082238000</v>
      </c>
      <c r="K63" s="7">
        <v>126773341000</v>
      </c>
      <c r="L63" s="7">
        <v>55089347000</v>
      </c>
      <c r="M63" s="8">
        <v>652406101000</v>
      </c>
      <c r="N63" s="8">
        <v>853707145000</v>
      </c>
      <c r="O63" s="21"/>
      <c r="P63" s="21"/>
      <c r="Q63" s="21"/>
      <c r="R63" s="15"/>
      <c r="S63" s="15"/>
      <c r="T63" s="10">
        <v>1323000000</v>
      </c>
      <c r="U63" s="10">
        <v>1323000000</v>
      </c>
      <c r="V63" s="9">
        <v>1323000000</v>
      </c>
      <c r="W63" s="9">
        <v>1323000000</v>
      </c>
      <c r="X63" s="8">
        <v>6615000000</v>
      </c>
    </row>
    <row r="64" spans="1:24" x14ac:dyDescent="0.25">
      <c r="A64" s="5">
        <v>9</v>
      </c>
      <c r="B64" s="5" t="s">
        <v>42</v>
      </c>
      <c r="C64" s="5" t="s">
        <v>43</v>
      </c>
      <c r="D64" s="6">
        <v>33066</v>
      </c>
      <c r="E64" s="7">
        <v>648968295000</v>
      </c>
      <c r="F64" s="7">
        <v>604824614000</v>
      </c>
      <c r="G64" s="7">
        <v>418630902000</v>
      </c>
      <c r="H64" s="8">
        <v>499393053000</v>
      </c>
      <c r="I64" s="8">
        <v>638952801000</v>
      </c>
      <c r="J64" s="7">
        <v>22943498000</v>
      </c>
      <c r="K64" s="7">
        <v>7354721000</v>
      </c>
      <c r="L64" s="7">
        <v>6684414000</v>
      </c>
      <c r="M64" s="8">
        <v>17445033000</v>
      </c>
      <c r="N64" s="8">
        <v>48041219000</v>
      </c>
      <c r="O64" s="21"/>
      <c r="P64" s="21"/>
      <c r="Q64" s="21"/>
      <c r="R64" s="15"/>
      <c r="S64" s="15"/>
      <c r="T64" s="10">
        <v>507665055</v>
      </c>
      <c r="U64" s="10">
        <v>507665055</v>
      </c>
      <c r="V64" s="9">
        <v>507665055</v>
      </c>
      <c r="W64" s="9">
        <v>507665055</v>
      </c>
      <c r="X64" s="9">
        <v>507665055</v>
      </c>
    </row>
    <row r="65" spans="1:24" x14ac:dyDescent="0.25">
      <c r="A65" s="5">
        <v>10</v>
      </c>
      <c r="B65" s="5" t="s">
        <v>44</v>
      </c>
      <c r="C65" s="5" t="s">
        <v>45</v>
      </c>
      <c r="D65" s="6">
        <v>35432</v>
      </c>
      <c r="E65" s="7">
        <v>2781666374017</v>
      </c>
      <c r="F65" s="13">
        <v>124138525</v>
      </c>
      <c r="G65" s="13">
        <v>101149121</v>
      </c>
      <c r="H65" s="24">
        <v>93809824</v>
      </c>
      <c r="I65" s="24">
        <v>73581360</v>
      </c>
      <c r="J65" s="7">
        <v>6544635062</v>
      </c>
      <c r="K65" s="16">
        <v>-22438088</v>
      </c>
      <c r="L65" s="16">
        <v>-18916626</v>
      </c>
      <c r="M65" s="24">
        <v>37329</v>
      </c>
      <c r="N65" s="23">
        <v>-3163350</v>
      </c>
      <c r="O65" s="21"/>
      <c r="P65" s="21"/>
      <c r="Q65" s="21"/>
      <c r="R65" s="15"/>
      <c r="S65" s="15"/>
      <c r="T65" s="10">
        <v>616000000</v>
      </c>
      <c r="U65" s="10">
        <v>616000000</v>
      </c>
      <c r="V65" s="9">
        <v>616000000</v>
      </c>
      <c r="W65" s="9">
        <v>3816000000</v>
      </c>
      <c r="X65" s="8">
        <v>3816000000</v>
      </c>
    </row>
    <row r="66" spans="1:24" x14ac:dyDescent="0.25">
      <c r="A66" s="5">
        <v>11</v>
      </c>
      <c r="B66" s="5" t="s">
        <v>46</v>
      </c>
      <c r="C66" s="5" t="s">
        <v>47</v>
      </c>
      <c r="D66" s="6">
        <v>40898</v>
      </c>
      <c r="E66" s="7">
        <v>901181796270</v>
      </c>
      <c r="F66" s="7">
        <v>836870774001</v>
      </c>
      <c r="G66" s="7">
        <v>760425479634</v>
      </c>
      <c r="H66" s="17">
        <v>725506645166</v>
      </c>
      <c r="I66" s="17">
        <v>731341359270</v>
      </c>
      <c r="J66" s="16">
        <v>-96695781573</v>
      </c>
      <c r="K66" s="7">
        <v>1112983748</v>
      </c>
      <c r="L66" s="7">
        <v>55118520227</v>
      </c>
      <c r="M66" s="17">
        <v>88523639594</v>
      </c>
      <c r="N66" s="17">
        <v>-103341187716</v>
      </c>
      <c r="O66" s="21"/>
      <c r="P66" s="21"/>
      <c r="Q66" s="21"/>
      <c r="R66" s="15"/>
      <c r="S66" s="15"/>
      <c r="T66" s="10">
        <v>1800000000</v>
      </c>
      <c r="U66" s="10">
        <v>1800000000</v>
      </c>
      <c r="V66" s="9">
        <v>1800000000</v>
      </c>
      <c r="W66" s="9">
        <v>1800000000</v>
      </c>
      <c r="X66" s="9">
        <v>1800000000</v>
      </c>
    </row>
    <row r="67" spans="1:24" x14ac:dyDescent="0.25">
      <c r="A67" s="5">
        <v>12</v>
      </c>
      <c r="B67" s="5" t="s">
        <v>48</v>
      </c>
      <c r="C67" s="5" t="s">
        <v>49</v>
      </c>
      <c r="D67" s="6">
        <v>37090</v>
      </c>
      <c r="E67" s="7">
        <v>217362960011</v>
      </c>
      <c r="F67" s="7">
        <v>230561123774</v>
      </c>
      <c r="G67" s="7">
        <v>234905016318</v>
      </c>
      <c r="H67" s="17">
        <v>270669540064</v>
      </c>
      <c r="I67" s="17">
        <v>344552996651</v>
      </c>
      <c r="J67" s="7">
        <v>27812712161</v>
      </c>
      <c r="K67" s="7">
        <v>1367612129</v>
      </c>
      <c r="L67" s="7">
        <v>4486083939</v>
      </c>
      <c r="M67" s="17">
        <v>9635958498</v>
      </c>
      <c r="N67" s="17">
        <v>39902398961</v>
      </c>
      <c r="O67" s="21"/>
      <c r="P67" s="21"/>
      <c r="Q67" s="21"/>
      <c r="R67" s="15"/>
      <c r="S67" s="15"/>
      <c r="T67" s="10">
        <v>720000000</v>
      </c>
      <c r="U67" s="10">
        <v>720000000</v>
      </c>
      <c r="V67" s="9">
        <v>720000000</v>
      </c>
      <c r="W67" s="9">
        <v>720000000</v>
      </c>
      <c r="X67" s="9">
        <v>720000000</v>
      </c>
    </row>
    <row r="68" spans="1:24" x14ac:dyDescent="0.25">
      <c r="A68" s="5">
        <v>13</v>
      </c>
      <c r="B68" s="5" t="s">
        <v>50</v>
      </c>
      <c r="C68" s="5" t="s">
        <v>51</v>
      </c>
      <c r="D68" s="6">
        <v>32840</v>
      </c>
      <c r="E68" s="13">
        <v>155653317</v>
      </c>
      <c r="F68" s="13">
        <v>172321876</v>
      </c>
      <c r="G68" s="13">
        <v>130444698</v>
      </c>
      <c r="H68" s="24">
        <v>136819807</v>
      </c>
      <c r="I68" s="24">
        <v>133941143</v>
      </c>
      <c r="J68" s="16">
        <v>-5794754</v>
      </c>
      <c r="K68" s="13">
        <v>1645059</v>
      </c>
      <c r="L68" s="16">
        <v>-3057237</v>
      </c>
      <c r="M68" s="18">
        <v>-16017388</v>
      </c>
      <c r="N68" s="18">
        <v>-6647854</v>
      </c>
      <c r="O68" s="21"/>
      <c r="P68" s="7">
        <v>18195</v>
      </c>
      <c r="Q68" s="7">
        <v>5747</v>
      </c>
      <c r="R68" s="9">
        <v>17815</v>
      </c>
      <c r="S68" s="15"/>
      <c r="T68" s="10">
        <v>800371500</v>
      </c>
      <c r="U68" s="10">
        <v>800371500</v>
      </c>
      <c r="V68" s="9">
        <v>800371500</v>
      </c>
      <c r="W68" s="9">
        <v>800371500</v>
      </c>
      <c r="X68" s="9">
        <v>800371500</v>
      </c>
    </row>
    <row r="69" spans="1:24" x14ac:dyDescent="0.25">
      <c r="A69" s="5">
        <v>14</v>
      </c>
      <c r="B69" s="5" t="s">
        <v>52</v>
      </c>
      <c r="C69" s="5" t="s">
        <v>53</v>
      </c>
      <c r="D69" s="6">
        <v>40170</v>
      </c>
      <c r="E69" s="7">
        <v>1351861756994</v>
      </c>
      <c r="F69" s="7">
        <v>1758578169995</v>
      </c>
      <c r="G69" s="7">
        <v>1588136471649</v>
      </c>
      <c r="H69" s="17">
        <v>1583979016422</v>
      </c>
      <c r="I69" s="8">
        <v>2106446579086</v>
      </c>
      <c r="J69" s="16">
        <v>-87798857709</v>
      </c>
      <c r="K69" s="7">
        <v>26807416721</v>
      </c>
      <c r="L69" s="16">
        <v>-77845328805</v>
      </c>
      <c r="M69" s="23">
        <v>-63711545268</v>
      </c>
      <c r="N69" s="8">
        <v>273673913875</v>
      </c>
      <c r="O69" s="21"/>
      <c r="P69" s="21"/>
      <c r="Q69" s="21"/>
      <c r="R69" s="21"/>
      <c r="S69" s="15"/>
      <c r="T69" s="10">
        <v>9242500000</v>
      </c>
      <c r="U69" s="10">
        <v>9242500000</v>
      </c>
      <c r="V69" s="9">
        <v>9242500000</v>
      </c>
      <c r="W69" s="9">
        <v>9242500000</v>
      </c>
      <c r="X69" s="9">
        <v>9242500000</v>
      </c>
    </row>
    <row r="70" spans="1:24" x14ac:dyDescent="0.25">
      <c r="A70" s="5">
        <v>15</v>
      </c>
      <c r="B70" s="5" t="s">
        <v>56</v>
      </c>
      <c r="C70" s="5" t="s">
        <v>57</v>
      </c>
      <c r="D70" s="6">
        <v>34673</v>
      </c>
      <c r="E70" s="7">
        <v>1400683598096</v>
      </c>
      <c r="F70" s="7">
        <v>1212894403676</v>
      </c>
      <c r="G70" s="7">
        <v>1395969637457</v>
      </c>
      <c r="H70" s="8">
        <v>1548832511319</v>
      </c>
      <c r="I70" s="8">
        <v>1554795974228</v>
      </c>
      <c r="J70" s="7">
        <v>40463141352</v>
      </c>
      <c r="K70" s="7">
        <v>33558115185</v>
      </c>
      <c r="L70" s="7">
        <v>3991581552</v>
      </c>
      <c r="M70" s="8">
        <v>4319665242</v>
      </c>
      <c r="N70" s="8">
        <v>-113952927004</v>
      </c>
      <c r="O70" s="7">
        <v>19008000000</v>
      </c>
      <c r="P70" s="7">
        <v>19008000000</v>
      </c>
      <c r="Q70" s="7">
        <v>15840000000</v>
      </c>
      <c r="R70" s="21"/>
      <c r="S70" s="15"/>
      <c r="T70" s="10">
        <v>633600000</v>
      </c>
      <c r="U70" s="10">
        <v>633600000</v>
      </c>
      <c r="V70" s="9">
        <v>633600000</v>
      </c>
      <c r="W70" s="9">
        <v>633600000</v>
      </c>
      <c r="X70" s="9">
        <v>633600000</v>
      </c>
    </row>
    <row r="71" spans="1:24" x14ac:dyDescent="0.25">
      <c r="A71" s="5">
        <v>16</v>
      </c>
      <c r="B71" s="5" t="s">
        <v>58</v>
      </c>
      <c r="C71" s="5" t="s">
        <v>59</v>
      </c>
      <c r="D71" s="6">
        <v>41327</v>
      </c>
      <c r="E71" s="7">
        <v>6494070000000</v>
      </c>
      <c r="F71" s="7">
        <v>6424507000000</v>
      </c>
      <c r="G71" s="7">
        <v>6076604000000</v>
      </c>
      <c r="H71" s="8">
        <v>7097322000000</v>
      </c>
      <c r="I71" s="8">
        <v>7405931000000</v>
      </c>
      <c r="J71" s="7">
        <v>48741000000</v>
      </c>
      <c r="K71" s="7">
        <v>185694000000</v>
      </c>
      <c r="L71" s="7">
        <v>175835000000</v>
      </c>
      <c r="M71" s="8">
        <v>486061000000</v>
      </c>
      <c r="N71" s="8">
        <v>305849000000</v>
      </c>
      <c r="O71" s="21"/>
      <c r="P71" s="21"/>
      <c r="Q71" s="21"/>
      <c r="R71" s="9">
        <v>42392000000</v>
      </c>
      <c r="S71" s="8">
        <v>63588000000</v>
      </c>
      <c r="T71" s="10">
        <v>7185992035</v>
      </c>
      <c r="U71" s="10">
        <v>7185992035</v>
      </c>
      <c r="V71" s="9">
        <v>7185992035</v>
      </c>
      <c r="W71" s="9">
        <v>7185992035</v>
      </c>
      <c r="X71" s="9">
        <v>7185992035</v>
      </c>
    </row>
    <row r="72" spans="1:24" x14ac:dyDescent="0.25">
      <c r="A72" s="5">
        <v>17</v>
      </c>
      <c r="B72" s="5" t="s">
        <v>60</v>
      </c>
      <c r="C72" s="5" t="s">
        <v>61</v>
      </c>
      <c r="D72" s="6">
        <v>35648</v>
      </c>
      <c r="E72" s="7">
        <v>19063100651</v>
      </c>
      <c r="F72" s="7">
        <v>180627821366</v>
      </c>
      <c r="G72" s="9">
        <v>169294099302</v>
      </c>
      <c r="H72" s="17">
        <v>168201512628</v>
      </c>
      <c r="I72" s="17">
        <v>159342936263</v>
      </c>
      <c r="J72" s="16">
        <v>-48588147020</v>
      </c>
      <c r="K72" s="16">
        <v>-1391297992</v>
      </c>
      <c r="L72" s="22">
        <v>-1067011759</v>
      </c>
      <c r="M72" s="23">
        <v>-53729224</v>
      </c>
      <c r="N72" s="17">
        <v>3190668366</v>
      </c>
      <c r="O72" s="21"/>
      <c r="P72" s="21"/>
      <c r="Q72" s="15"/>
      <c r="R72" s="21"/>
      <c r="S72" s="15"/>
      <c r="T72" s="10">
        <v>150000000</v>
      </c>
      <c r="U72" s="10">
        <v>150000000</v>
      </c>
      <c r="V72" s="9">
        <v>150000000</v>
      </c>
      <c r="W72" s="9">
        <v>150000000</v>
      </c>
      <c r="X72" s="9">
        <v>150000000</v>
      </c>
    </row>
    <row r="73" spans="1:24" x14ac:dyDescent="0.25">
      <c r="A73" s="5">
        <v>18</v>
      </c>
      <c r="B73" s="5" t="s">
        <v>64</v>
      </c>
      <c r="C73" s="5" t="s">
        <v>65</v>
      </c>
      <c r="D73" s="6">
        <v>40492</v>
      </c>
      <c r="E73" s="13">
        <v>4298318000</v>
      </c>
      <c r="F73" s="13">
        <v>3288037000</v>
      </c>
      <c r="G73" s="13">
        <v>3486349000</v>
      </c>
      <c r="H73" s="13">
        <v>3773676000</v>
      </c>
      <c r="I73" s="7">
        <v>3162434000</v>
      </c>
      <c r="J73" s="16">
        <v>-77163000</v>
      </c>
      <c r="K73" s="16">
        <v>-505390000</v>
      </c>
      <c r="L73" s="13">
        <v>22635000</v>
      </c>
      <c r="M73" s="13">
        <v>62133000</v>
      </c>
      <c r="N73" s="13">
        <v>22644000</v>
      </c>
      <c r="O73" s="21"/>
      <c r="P73" s="21"/>
      <c r="Q73" s="21"/>
      <c r="R73" s="21"/>
      <c r="S73" s="21"/>
      <c r="T73" s="10">
        <v>19346396900</v>
      </c>
      <c r="U73" s="10">
        <v>19346396900</v>
      </c>
      <c r="V73" s="9">
        <v>19346396900</v>
      </c>
      <c r="W73" s="9">
        <v>19346396900</v>
      </c>
      <c r="X73" s="9">
        <v>19346396900</v>
      </c>
    </row>
    <row r="74" spans="1:24" x14ac:dyDescent="0.25">
      <c r="A74" s="5">
        <v>19</v>
      </c>
      <c r="B74" s="5" t="s">
        <v>66</v>
      </c>
      <c r="C74" s="5" t="s">
        <v>67</v>
      </c>
      <c r="D74" s="6">
        <v>34201</v>
      </c>
      <c r="E74" s="7">
        <v>696192628101</v>
      </c>
      <c r="F74" s="7">
        <v>688017892312</v>
      </c>
      <c r="G74" s="7">
        <v>647829858922</v>
      </c>
      <c r="H74" s="8">
        <v>686806547986</v>
      </c>
      <c r="I74" s="8">
        <v>684497878481</v>
      </c>
      <c r="J74" s="7">
        <v>14679673993</v>
      </c>
      <c r="K74" s="7">
        <v>926463199</v>
      </c>
      <c r="L74" s="16">
        <v>-9571328569</v>
      </c>
      <c r="M74" s="23">
        <v>-8737689655</v>
      </c>
      <c r="N74" s="8">
        <v>2314362759</v>
      </c>
      <c r="O74" s="7">
        <v>7802400000</v>
      </c>
      <c r="P74" s="7">
        <v>5201600000</v>
      </c>
      <c r="Q74" s="21"/>
      <c r="R74" s="21"/>
      <c r="S74" s="15"/>
      <c r="T74" s="10">
        <v>520160000</v>
      </c>
      <c r="U74" s="10">
        <v>520160000</v>
      </c>
      <c r="V74" s="9">
        <v>520160000</v>
      </c>
      <c r="W74" s="9">
        <v>520160000</v>
      </c>
      <c r="X74" s="9">
        <v>520160000</v>
      </c>
    </row>
    <row r="75" spans="1:24" x14ac:dyDescent="0.25">
      <c r="A75" s="5">
        <v>20</v>
      </c>
      <c r="B75" s="5" t="s">
        <v>68</v>
      </c>
      <c r="C75" s="5" t="s">
        <v>69</v>
      </c>
      <c r="D75" s="6">
        <v>33028</v>
      </c>
      <c r="E75" s="7">
        <v>160027280153</v>
      </c>
      <c r="F75" s="7">
        <v>147090641453</v>
      </c>
      <c r="G75" s="7">
        <v>143486189959</v>
      </c>
      <c r="H75" s="8">
        <v>145459649889</v>
      </c>
      <c r="I75" s="8">
        <v>132398867747</v>
      </c>
      <c r="J75" s="7">
        <v>2886727390</v>
      </c>
      <c r="K75" s="16">
        <v>-18245567355</v>
      </c>
      <c r="L75" s="16">
        <v>-8068488692</v>
      </c>
      <c r="M75" s="8">
        <v>6514290108</v>
      </c>
      <c r="N75" s="8">
        <v>-4744549983</v>
      </c>
      <c r="O75" s="7">
        <v>960000000</v>
      </c>
      <c r="P75" s="7">
        <v>480000000</v>
      </c>
      <c r="Q75" s="21"/>
      <c r="R75" s="21"/>
      <c r="S75" s="15"/>
      <c r="T75" s="10">
        <v>96000000</v>
      </c>
      <c r="U75" s="10">
        <v>96000000</v>
      </c>
      <c r="V75" s="9">
        <v>96000000</v>
      </c>
      <c r="W75" s="9">
        <v>96000000</v>
      </c>
      <c r="X75" s="9">
        <v>96000000</v>
      </c>
    </row>
    <row r="76" spans="1:24" x14ac:dyDescent="0.25">
      <c r="A76" s="5">
        <v>21</v>
      </c>
      <c r="B76" s="5" t="s">
        <v>70</v>
      </c>
      <c r="C76" s="5" t="s">
        <v>71</v>
      </c>
      <c r="D76" s="6">
        <v>40161</v>
      </c>
      <c r="E76" s="13">
        <v>147777212</v>
      </c>
      <c r="F76" s="13">
        <v>151688978</v>
      </c>
      <c r="G76" s="13">
        <v>131925108</v>
      </c>
      <c r="H76" s="24">
        <v>187753934</v>
      </c>
      <c r="I76" s="24">
        <v>196375128</v>
      </c>
      <c r="J76" s="16">
        <v>-1537262</v>
      </c>
      <c r="K76" s="13">
        <v>2680666</v>
      </c>
      <c r="L76" s="13">
        <v>2718077</v>
      </c>
      <c r="M76" s="24">
        <v>5862823</v>
      </c>
      <c r="N76" s="24">
        <v>7127218</v>
      </c>
      <c r="O76" s="21"/>
      <c r="P76" s="21"/>
      <c r="Q76" s="21"/>
      <c r="R76" s="21"/>
      <c r="S76" s="14">
        <v>1751923</v>
      </c>
      <c r="T76" s="10">
        <v>2523350000</v>
      </c>
      <c r="U76" s="10">
        <v>2523350000</v>
      </c>
      <c r="V76" s="9">
        <v>2523350000</v>
      </c>
      <c r="W76" s="9">
        <v>2523350000</v>
      </c>
      <c r="X76" s="9">
        <v>2523350000</v>
      </c>
    </row>
    <row r="77" spans="1:24" x14ac:dyDescent="0.25">
      <c r="A77" s="5">
        <v>22</v>
      </c>
      <c r="B77" s="5" t="s">
        <v>72</v>
      </c>
      <c r="C77" s="5" t="s">
        <v>73</v>
      </c>
      <c r="D77" s="6">
        <v>35331</v>
      </c>
      <c r="E77" s="7">
        <v>852932442585</v>
      </c>
      <c r="F77" s="7">
        <v>1128475286643</v>
      </c>
      <c r="G77" s="7">
        <v>1092811641343</v>
      </c>
      <c r="H77" s="8">
        <v>1073888124690</v>
      </c>
      <c r="I77" s="8">
        <v>1014888115857</v>
      </c>
      <c r="J77" s="7">
        <v>15730408346</v>
      </c>
      <c r="K77" s="7">
        <v>7487452045</v>
      </c>
      <c r="L77" s="16">
        <v>-64398773870</v>
      </c>
      <c r="M77" s="8">
        <v>8904521434</v>
      </c>
      <c r="N77" s="8">
        <v>-48356764285</v>
      </c>
      <c r="O77" s="7">
        <v>1136750000</v>
      </c>
      <c r="P77" s="7">
        <v>2810405000</v>
      </c>
      <c r="Q77" s="21"/>
      <c r="R77" s="15"/>
      <c r="S77" s="15"/>
      <c r="T77" s="10">
        <v>568375000</v>
      </c>
      <c r="U77" s="10">
        <v>568375000</v>
      </c>
      <c r="V77" s="9">
        <v>568375000</v>
      </c>
      <c r="W77" s="9">
        <v>568375000</v>
      </c>
      <c r="X77" s="8">
        <v>568375000</v>
      </c>
    </row>
    <row r="78" spans="1:24" x14ac:dyDescent="0.25">
      <c r="A78" s="5">
        <v>23</v>
      </c>
      <c r="B78" s="5" t="s">
        <v>76</v>
      </c>
      <c r="C78" s="5" t="s">
        <v>77</v>
      </c>
      <c r="D78" s="6">
        <v>34242</v>
      </c>
      <c r="E78" s="13">
        <v>190954156</v>
      </c>
      <c r="F78" s="13">
        <v>153990491</v>
      </c>
      <c r="G78" s="13">
        <v>156833246</v>
      </c>
      <c r="H78" s="24">
        <v>147236098</v>
      </c>
      <c r="I78" s="24">
        <v>134891947</v>
      </c>
      <c r="J78" s="7">
        <v>6377441</v>
      </c>
      <c r="K78" s="13">
        <v>5931052</v>
      </c>
      <c r="L78" s="13">
        <v>4504285</v>
      </c>
      <c r="M78" s="24">
        <v>6974835</v>
      </c>
      <c r="N78" s="8">
        <v>5225262</v>
      </c>
      <c r="O78" s="21"/>
      <c r="P78" s="7">
        <v>955084</v>
      </c>
      <c r="Q78" s="7">
        <v>955084</v>
      </c>
      <c r="R78" s="14">
        <v>955084</v>
      </c>
      <c r="S78" s="14">
        <v>1102020</v>
      </c>
      <c r="T78" s="10">
        <v>367340000</v>
      </c>
      <c r="U78" s="10">
        <v>367340000</v>
      </c>
      <c r="V78" s="9">
        <v>367340000</v>
      </c>
      <c r="W78" s="9">
        <v>367340000</v>
      </c>
      <c r="X78" s="9">
        <v>367340000</v>
      </c>
    </row>
    <row r="79" spans="1:24" x14ac:dyDescent="0.25">
      <c r="A79" s="5">
        <v>24</v>
      </c>
      <c r="B79" s="5" t="s">
        <v>78</v>
      </c>
      <c r="C79" s="5" t="s">
        <v>79</v>
      </c>
      <c r="D79" s="6">
        <v>42641</v>
      </c>
      <c r="E79" s="7">
        <v>6647755000000</v>
      </c>
      <c r="F79" s="7">
        <v>7020980000000</v>
      </c>
      <c r="G79" s="7">
        <v>7121458000000</v>
      </c>
      <c r="H79" s="8">
        <v>8164599000000</v>
      </c>
      <c r="I79" s="8">
        <v>8041989000000</v>
      </c>
      <c r="J79" s="7">
        <v>114374000000</v>
      </c>
      <c r="K79" s="7">
        <v>103431000000</v>
      </c>
      <c r="L79" s="7">
        <v>99862000000</v>
      </c>
      <c r="M79" s="8">
        <v>211485000000</v>
      </c>
      <c r="N79" s="8">
        <v>103896000000</v>
      </c>
      <c r="O79" s="21"/>
      <c r="P79" s="21"/>
      <c r="Q79" s="21"/>
      <c r="R79" s="9">
        <v>18588000000</v>
      </c>
      <c r="S79" s="9">
        <v>30514000000</v>
      </c>
      <c r="T79" s="10">
        <v>3066660000</v>
      </c>
      <c r="U79" s="10">
        <v>3066660000</v>
      </c>
      <c r="V79" s="9">
        <v>3066660000</v>
      </c>
      <c r="W79" s="9">
        <v>3066660000</v>
      </c>
      <c r="X79" s="9">
        <v>3066660000</v>
      </c>
    </row>
    <row r="80" spans="1:24" x14ac:dyDescent="0.25">
      <c r="A80" s="5">
        <v>25</v>
      </c>
      <c r="B80" s="5" t="s">
        <v>87</v>
      </c>
      <c r="C80" s="5" t="s">
        <v>88</v>
      </c>
      <c r="D80" s="6">
        <v>33154</v>
      </c>
      <c r="E80" s="7">
        <v>322185012261</v>
      </c>
      <c r="F80" s="7">
        <v>318141387900</v>
      </c>
      <c r="G80" s="7">
        <v>317310718779</v>
      </c>
      <c r="H80" s="8">
        <v>362242571405</v>
      </c>
      <c r="I80" s="8">
        <v>405675831614</v>
      </c>
      <c r="J80" s="7">
        <v>9380137352</v>
      </c>
      <c r="K80" s="7">
        <v>3937685121</v>
      </c>
      <c r="L80" s="7">
        <v>2400715154</v>
      </c>
      <c r="M80" s="8">
        <v>22723655893</v>
      </c>
      <c r="N80" s="8">
        <v>27428849986</v>
      </c>
      <c r="O80" s="7">
        <v>993389856</v>
      </c>
      <c r="P80" s="7">
        <v>1986779712</v>
      </c>
      <c r="Q80" s="7">
        <v>993389856</v>
      </c>
      <c r="R80" s="21"/>
      <c r="S80" s="8">
        <v>4966949280</v>
      </c>
      <c r="T80" s="10">
        <v>331129952</v>
      </c>
      <c r="U80" s="10">
        <v>331129952</v>
      </c>
      <c r="V80" s="9">
        <v>331129952</v>
      </c>
      <c r="W80" s="9">
        <v>331129952</v>
      </c>
      <c r="X80" s="8">
        <v>331129952</v>
      </c>
    </row>
    <row r="81" spans="1:24" x14ac:dyDescent="0.25">
      <c r="A81" s="5">
        <v>26</v>
      </c>
      <c r="B81" s="5" t="s">
        <v>91</v>
      </c>
      <c r="C81" s="5" t="s">
        <v>92</v>
      </c>
      <c r="D81" s="6">
        <v>35566</v>
      </c>
      <c r="E81" s="7">
        <v>1090658578996</v>
      </c>
      <c r="F81" s="7">
        <v>1123468024853</v>
      </c>
      <c r="G81" s="7">
        <v>1055671083056</v>
      </c>
      <c r="H81" s="7">
        <v>1053555048668</v>
      </c>
      <c r="I81" s="7">
        <v>895204452940</v>
      </c>
      <c r="J81" s="16">
        <v>-138527581192</v>
      </c>
      <c r="K81" s="7">
        <v>-89756071206</v>
      </c>
      <c r="L81" s="16">
        <v>72652783063</v>
      </c>
      <c r="M81" s="16">
        <v>-124613363675</v>
      </c>
      <c r="N81" s="16">
        <v>-282774617043</v>
      </c>
      <c r="O81" s="21"/>
      <c r="P81" s="21"/>
      <c r="Q81" s="21"/>
      <c r="R81" s="21"/>
      <c r="S81" s="21"/>
      <c r="T81" s="10">
        <v>968297000</v>
      </c>
      <c r="U81" s="10">
        <v>968297000</v>
      </c>
      <c r="V81" s="10">
        <v>968297000</v>
      </c>
      <c r="W81" s="10">
        <v>4668671400</v>
      </c>
      <c r="X81" s="10">
        <v>4668671400</v>
      </c>
    </row>
    <row r="82" spans="1:24" x14ac:dyDescent="0.25">
      <c r="A82" s="5">
        <v>27</v>
      </c>
      <c r="B82" s="5" t="s">
        <v>93</v>
      </c>
      <c r="C82" s="5" t="s">
        <v>94</v>
      </c>
      <c r="D82" s="6">
        <v>33078</v>
      </c>
      <c r="E82" s="7">
        <v>391362697956</v>
      </c>
      <c r="F82" s="7">
        <v>405445049452</v>
      </c>
      <c r="G82" s="7">
        <v>444865800672</v>
      </c>
      <c r="H82" s="8">
        <v>510698600200</v>
      </c>
      <c r="I82" s="17">
        <v>496010534463</v>
      </c>
      <c r="J82" s="7">
        <v>16675673703</v>
      </c>
      <c r="K82" s="7">
        <v>13811736623</v>
      </c>
      <c r="L82" s="7">
        <v>30071380873</v>
      </c>
      <c r="M82" s="8">
        <v>11036924395</v>
      </c>
      <c r="N82" s="17">
        <v>24502371311</v>
      </c>
      <c r="O82" s="7">
        <v>1098885825</v>
      </c>
      <c r="P82" s="21"/>
      <c r="Q82" s="7">
        <v>3922424632</v>
      </c>
      <c r="R82" s="7">
        <v>4903030925</v>
      </c>
      <c r="S82" s="21"/>
      <c r="T82" s="10">
        <v>196121237</v>
      </c>
      <c r="U82" s="10">
        <v>196121237</v>
      </c>
      <c r="V82" s="10">
        <v>196121237</v>
      </c>
      <c r="W82" s="10">
        <v>196121237</v>
      </c>
      <c r="X82" s="10">
        <v>196121237</v>
      </c>
    </row>
    <row r="83" spans="1:24" x14ac:dyDescent="0.25">
      <c r="A83" s="5">
        <v>28</v>
      </c>
      <c r="B83" s="5" t="s">
        <v>109</v>
      </c>
      <c r="C83" s="5" t="s">
        <v>110</v>
      </c>
      <c r="D83" s="6">
        <v>33980</v>
      </c>
      <c r="E83" s="7">
        <v>686777211000</v>
      </c>
      <c r="F83" s="7">
        <v>779246858000</v>
      </c>
      <c r="G83" s="7">
        <v>906846895000</v>
      </c>
      <c r="H83" s="8">
        <v>860162908000</v>
      </c>
      <c r="I83" s="8">
        <v>876602301000</v>
      </c>
      <c r="J83" s="7">
        <v>38735092000</v>
      </c>
      <c r="K83" s="7">
        <v>42829128000</v>
      </c>
      <c r="L83" s="7">
        <v>44152245000</v>
      </c>
      <c r="M83" s="8">
        <v>26542985000</v>
      </c>
      <c r="N83" s="8">
        <v>33640328000</v>
      </c>
      <c r="O83" s="21"/>
      <c r="P83" s="7">
        <v>6020000000</v>
      </c>
      <c r="Q83" s="7">
        <v>12040000000</v>
      </c>
      <c r="R83" s="9">
        <v>6020000</v>
      </c>
      <c r="S83" s="21"/>
      <c r="T83" s="10">
        <v>6020000000</v>
      </c>
      <c r="U83" s="10">
        <v>6020000000</v>
      </c>
      <c r="V83" s="10">
        <v>6020000000</v>
      </c>
      <c r="W83" s="10">
        <v>6020000000</v>
      </c>
      <c r="X83" s="10">
        <v>6020000000</v>
      </c>
    </row>
    <row r="84" spans="1:24" x14ac:dyDescent="0.25">
      <c r="A84" s="5">
        <v>29</v>
      </c>
      <c r="B84" s="5" t="s">
        <v>117</v>
      </c>
      <c r="C84" s="5" t="s">
        <v>118</v>
      </c>
      <c r="D84" s="6">
        <v>33956</v>
      </c>
      <c r="E84" s="7">
        <v>3070410492000</v>
      </c>
      <c r="F84" s="7">
        <v>2776775756000</v>
      </c>
      <c r="G84" s="7">
        <v>2644267716000</v>
      </c>
      <c r="H84" s="8">
        <v>3335740359000</v>
      </c>
      <c r="I84" s="8">
        <v>3590544764000</v>
      </c>
      <c r="J84" s="7">
        <v>64226271000</v>
      </c>
      <c r="K84" s="7">
        <v>54355268000</v>
      </c>
      <c r="L84" s="7">
        <v>66005547000</v>
      </c>
      <c r="M84" s="8">
        <v>147822236000</v>
      </c>
      <c r="N84" s="8">
        <v>211687105000</v>
      </c>
      <c r="O84" s="7">
        <v>7346976000</v>
      </c>
      <c r="P84" s="7">
        <v>7346976000</v>
      </c>
      <c r="Q84" s="21"/>
      <c r="R84" s="9">
        <v>15306200000</v>
      </c>
      <c r="S84" s="9">
        <v>30000152000</v>
      </c>
      <c r="T84" s="10">
        <v>680000000</v>
      </c>
      <c r="U84" s="10">
        <v>680000000</v>
      </c>
      <c r="V84" s="10">
        <v>612248000</v>
      </c>
      <c r="W84" s="10">
        <v>612248000</v>
      </c>
      <c r="X84" s="10">
        <v>612248000</v>
      </c>
    </row>
    <row r="85" spans="1:24" x14ac:dyDescent="0.25">
      <c r="A85" s="5">
        <v>30</v>
      </c>
      <c r="B85" s="5" t="s">
        <v>119</v>
      </c>
      <c r="C85" s="5" t="s">
        <v>120</v>
      </c>
      <c r="D85" s="6">
        <v>36647</v>
      </c>
      <c r="E85" s="7">
        <v>503177499114</v>
      </c>
      <c r="F85" s="7">
        <v>419264529448</v>
      </c>
      <c r="G85" s="9">
        <v>406440895710</v>
      </c>
      <c r="H85" s="17">
        <v>431280653664</v>
      </c>
      <c r="I85" s="8">
        <v>468541883266</v>
      </c>
      <c r="J85" s="16">
        <v>-23496671376</v>
      </c>
      <c r="K85" s="7">
        <v>9588681370</v>
      </c>
      <c r="L85" s="22">
        <v>-6424025663</v>
      </c>
      <c r="M85" s="17">
        <v>23227293962</v>
      </c>
      <c r="N85" s="17">
        <v>46599136683</v>
      </c>
      <c r="O85" s="21"/>
      <c r="P85" s="21"/>
      <c r="Q85" s="15"/>
      <c r="R85" s="21"/>
      <c r="S85" s="21"/>
      <c r="T85" s="10">
        <v>1362671400</v>
      </c>
      <c r="U85" s="10">
        <v>1362671400</v>
      </c>
      <c r="V85" s="10">
        <v>1362671400</v>
      </c>
      <c r="W85" s="10">
        <v>1362671400</v>
      </c>
      <c r="X85" s="10">
        <v>1362671400</v>
      </c>
    </row>
    <row r="86" spans="1:24" x14ac:dyDescent="0.25">
      <c r="A86" s="5">
        <v>31</v>
      </c>
      <c r="B86" s="5" t="s">
        <v>121</v>
      </c>
      <c r="C86" s="5" t="s">
        <v>122</v>
      </c>
      <c r="D86" s="6">
        <v>32818</v>
      </c>
      <c r="E86" s="7">
        <v>2461326183000</v>
      </c>
      <c r="F86" s="7">
        <v>2263112918000</v>
      </c>
      <c r="G86" s="7">
        <v>1965718547000</v>
      </c>
      <c r="H86" s="8">
        <v>2020640257000</v>
      </c>
      <c r="I86" s="8">
        <v>1869959662000</v>
      </c>
      <c r="J86" s="16">
        <v>-23662406000</v>
      </c>
      <c r="K86" s="16">
        <v>-163083992000</v>
      </c>
      <c r="L86" s="16">
        <v>-187053341000</v>
      </c>
      <c r="M86" s="18">
        <v>-193272827000</v>
      </c>
      <c r="N86" s="17">
        <v>-136403681000</v>
      </c>
      <c r="O86" s="7">
        <v>3600000000</v>
      </c>
      <c r="P86" s="21"/>
      <c r="Q86" s="21"/>
      <c r="R86" s="21"/>
      <c r="S86" s="21"/>
      <c r="T86" s="10">
        <v>979110000</v>
      </c>
      <c r="U86" s="10">
        <v>979110000</v>
      </c>
      <c r="V86" s="10">
        <v>979110000</v>
      </c>
      <c r="W86" s="10">
        <v>979110000</v>
      </c>
      <c r="X86" s="10">
        <v>979110000</v>
      </c>
    </row>
    <row r="87" spans="1:24" x14ac:dyDescent="0.25">
      <c r="A87" s="5">
        <v>32</v>
      </c>
      <c r="B87" s="5" t="s">
        <v>127</v>
      </c>
      <c r="C87" s="5" t="s">
        <v>128</v>
      </c>
      <c r="D87" s="6">
        <v>37336</v>
      </c>
      <c r="E87" s="13">
        <v>195826000</v>
      </c>
      <c r="F87" s="13">
        <v>165728000</v>
      </c>
      <c r="G87" s="13">
        <v>149377000</v>
      </c>
      <c r="H87" s="24">
        <v>183022000</v>
      </c>
      <c r="I87" s="17">
        <v>192224000</v>
      </c>
      <c r="J87" s="7">
        <v>6125000</v>
      </c>
      <c r="K87" s="16">
        <v>-3286000</v>
      </c>
      <c r="L87" s="16">
        <v>-4945000</v>
      </c>
      <c r="M87" s="24">
        <v>9564000</v>
      </c>
      <c r="N87" s="8">
        <v>2896000</v>
      </c>
      <c r="O87" s="21"/>
      <c r="P87" s="21"/>
      <c r="Q87" s="21"/>
      <c r="R87" s="21"/>
      <c r="S87" s="21"/>
      <c r="T87" s="10">
        <v>5566414000</v>
      </c>
      <c r="U87" s="10">
        <v>5566414000</v>
      </c>
      <c r="V87" s="10">
        <v>5566414000</v>
      </c>
      <c r="W87" s="10">
        <v>5566414000</v>
      </c>
      <c r="X87" s="10">
        <v>5566414000</v>
      </c>
    </row>
    <row r="88" spans="1:24" x14ac:dyDescent="0.25">
      <c r="A88" s="5">
        <v>33</v>
      </c>
      <c r="B88" s="36" t="s">
        <v>133</v>
      </c>
      <c r="C88" s="5" t="s">
        <v>134</v>
      </c>
      <c r="D88" s="6">
        <v>40368</v>
      </c>
      <c r="E88" s="13">
        <v>292126972</v>
      </c>
      <c r="F88" s="13">
        <v>277540954</v>
      </c>
      <c r="G88" s="13">
        <v>280515335</v>
      </c>
      <c r="H88" s="24">
        <v>299122566</v>
      </c>
      <c r="I88" s="17">
        <v>280534499</v>
      </c>
      <c r="J88" s="7">
        <v>5073929</v>
      </c>
      <c r="K88" s="13">
        <v>4510027</v>
      </c>
      <c r="L88" s="13">
        <v>8519433</v>
      </c>
      <c r="M88" s="24">
        <v>9499133</v>
      </c>
      <c r="N88" s="8">
        <v>3745327</v>
      </c>
      <c r="O88" s="21"/>
      <c r="P88" s="37">
        <v>1386079</v>
      </c>
      <c r="Q88" s="21"/>
      <c r="R88" s="37">
        <v>2296859</v>
      </c>
      <c r="S88" s="37">
        <v>2639642</v>
      </c>
      <c r="T88" s="10">
        <v>6443379509</v>
      </c>
      <c r="U88" s="10">
        <v>6443379509</v>
      </c>
      <c r="V88" s="10">
        <v>6443379509</v>
      </c>
      <c r="W88" s="10">
        <v>6443379509</v>
      </c>
      <c r="X88" s="10">
        <v>6443379509</v>
      </c>
    </row>
    <row r="89" spans="1:24" x14ac:dyDescent="0.25">
      <c r="A89" s="5">
        <v>34</v>
      </c>
      <c r="B89" s="36" t="s">
        <v>141</v>
      </c>
      <c r="C89" s="5" t="s">
        <v>142</v>
      </c>
      <c r="D89" s="6">
        <v>41640</v>
      </c>
      <c r="E89" s="7">
        <v>984597771989</v>
      </c>
      <c r="F89" s="7">
        <v>1329083050439</v>
      </c>
      <c r="G89" s="7">
        <v>1474472516166</v>
      </c>
      <c r="H89" s="8">
        <v>1569929936844</v>
      </c>
      <c r="I89" s="8">
        <v>1797280792145</v>
      </c>
      <c r="J89" s="7">
        <v>43976734000</v>
      </c>
      <c r="K89" s="7">
        <v>27456246966</v>
      </c>
      <c r="L89" s="7">
        <v>18488700221</v>
      </c>
      <c r="M89" s="8">
        <v>22437585810</v>
      </c>
      <c r="N89" s="8">
        <v>44313085815</v>
      </c>
      <c r="O89" s="7">
        <v>4060305000</v>
      </c>
      <c r="P89" s="7">
        <v>8120610000</v>
      </c>
      <c r="Q89" s="38"/>
      <c r="R89" s="21"/>
      <c r="S89" s="21"/>
      <c r="T89" s="10">
        <v>1353435000</v>
      </c>
      <c r="U89" s="10">
        <v>1353435000</v>
      </c>
      <c r="V89" s="10">
        <v>1353435000</v>
      </c>
      <c r="W89" s="10">
        <v>1353435000</v>
      </c>
      <c r="X89" s="8">
        <v>1353435000</v>
      </c>
    </row>
    <row r="90" spans="1:24" x14ac:dyDescent="0.25">
      <c r="A90" s="5">
        <v>35</v>
      </c>
      <c r="B90" s="36" t="s">
        <v>143</v>
      </c>
      <c r="C90" s="5" t="s">
        <v>144</v>
      </c>
      <c r="D90" s="6">
        <v>33056</v>
      </c>
      <c r="E90" s="7">
        <v>4284901587126</v>
      </c>
      <c r="F90" s="7">
        <v>4349022887699</v>
      </c>
      <c r="G90" s="7">
        <v>4223302387771</v>
      </c>
      <c r="H90" s="8">
        <v>4628831951931</v>
      </c>
      <c r="I90" s="17">
        <v>5777073000000</v>
      </c>
      <c r="J90" s="7">
        <v>63193899099</v>
      </c>
      <c r="K90" s="7">
        <v>38911968283</v>
      </c>
      <c r="L90" s="7">
        <v>73277742422</v>
      </c>
      <c r="M90" s="8">
        <v>200975805947</v>
      </c>
      <c r="N90" s="17">
        <v>166414000000</v>
      </c>
      <c r="O90" s="38"/>
      <c r="P90" s="7">
        <v>14040000000</v>
      </c>
      <c r="Q90" s="7">
        <v>14040000000</v>
      </c>
      <c r="R90" s="9">
        <v>28080000000</v>
      </c>
      <c r="S90" s="9">
        <v>56160000000</v>
      </c>
      <c r="T90" s="10">
        <v>2808000000</v>
      </c>
      <c r="U90" s="10">
        <v>2808000000</v>
      </c>
      <c r="V90" s="10">
        <v>2808000000</v>
      </c>
      <c r="W90" s="10">
        <v>2808000000</v>
      </c>
      <c r="X90" s="10">
        <v>2808000000</v>
      </c>
    </row>
    <row r="91" spans="1:24" x14ac:dyDescent="0.25">
      <c r="A91" s="5">
        <v>36</v>
      </c>
      <c r="B91" s="36" t="s">
        <v>145</v>
      </c>
      <c r="C91" s="5" t="s">
        <v>146</v>
      </c>
      <c r="D91" s="6">
        <v>39522</v>
      </c>
      <c r="E91" s="7">
        <v>330955269476</v>
      </c>
      <c r="F91" s="7">
        <v>278236534771</v>
      </c>
      <c r="G91" s="7">
        <v>275782172710</v>
      </c>
      <c r="H91" s="8">
        <v>258162529531</v>
      </c>
      <c r="I91" s="8">
        <v>290500335235</v>
      </c>
      <c r="J91" s="16">
        <v>-9041326115</v>
      </c>
      <c r="K91" s="7">
        <v>3488737738</v>
      </c>
      <c r="L91" s="7">
        <v>8334858402</v>
      </c>
      <c r="M91" s="18">
        <v>-9484670499</v>
      </c>
      <c r="N91" s="18">
        <v>-1411679112</v>
      </c>
      <c r="O91" s="38"/>
      <c r="P91" s="38"/>
      <c r="Q91" s="38"/>
      <c r="R91" s="21"/>
      <c r="S91" s="21"/>
      <c r="T91" s="10">
        <v>668000089</v>
      </c>
      <c r="U91" s="10">
        <v>668000089</v>
      </c>
      <c r="V91" s="10">
        <v>668000089</v>
      </c>
      <c r="W91" s="10">
        <v>668000089</v>
      </c>
      <c r="X91" s="10">
        <v>668000089</v>
      </c>
    </row>
    <row r="92" spans="1:24" x14ac:dyDescent="0.25">
      <c r="A92" s="5">
        <v>37</v>
      </c>
      <c r="B92" s="36" t="s">
        <v>149</v>
      </c>
      <c r="C92" s="5" t="s">
        <v>150</v>
      </c>
      <c r="D92" s="6">
        <v>32804</v>
      </c>
      <c r="E92" s="7">
        <v>6572440000000</v>
      </c>
      <c r="F92" s="9">
        <v>6000259000000</v>
      </c>
      <c r="G92" s="7">
        <v>6326293000000</v>
      </c>
      <c r="H92" s="17">
        <v>6444438000000</v>
      </c>
      <c r="I92" s="17">
        <v>6833737000000</v>
      </c>
      <c r="J92" s="7">
        <v>1722704000000</v>
      </c>
      <c r="K92" s="22">
        <v>-348863000000</v>
      </c>
      <c r="L92" s="7">
        <v>381422000000</v>
      </c>
      <c r="M92" s="17">
        <v>2209313000000</v>
      </c>
      <c r="N92" s="17">
        <v>373978000000</v>
      </c>
      <c r="O92" s="38"/>
      <c r="P92" s="39"/>
      <c r="Q92" s="39"/>
      <c r="R92" s="9">
        <v>670000000</v>
      </c>
      <c r="S92" s="21"/>
      <c r="T92" s="10">
        <v>59572382787</v>
      </c>
      <c r="U92" s="10">
        <v>59572382787</v>
      </c>
      <c r="V92" s="10">
        <v>59572382787</v>
      </c>
      <c r="W92" s="10">
        <v>59572382787</v>
      </c>
      <c r="X92" s="10">
        <v>59572382787</v>
      </c>
    </row>
    <row r="93" spans="1:24" x14ac:dyDescent="0.25">
      <c r="A93" s="5">
        <v>38</v>
      </c>
      <c r="B93" s="36" t="s">
        <v>154</v>
      </c>
      <c r="C93" s="5" t="s">
        <v>155</v>
      </c>
      <c r="D93" s="6">
        <v>38758</v>
      </c>
      <c r="E93" s="7">
        <v>23038028000000</v>
      </c>
      <c r="F93" s="7">
        <v>26650895000000</v>
      </c>
      <c r="G93" s="7">
        <v>25951760000000</v>
      </c>
      <c r="H93" s="17">
        <v>28589656000000</v>
      </c>
      <c r="I93" s="17">
        <v>32690887000000</v>
      </c>
      <c r="J93" s="7">
        <v>2253201000000</v>
      </c>
      <c r="K93" s="7">
        <v>1793914000000</v>
      </c>
      <c r="L93" s="7">
        <v>1221904000000</v>
      </c>
      <c r="M93" s="17">
        <v>2130896000000</v>
      </c>
      <c r="N93" s="8">
        <v>1490931000000</v>
      </c>
      <c r="O93" s="7">
        <v>1205915000000</v>
      </c>
      <c r="P93" s="7">
        <v>638281000000</v>
      </c>
      <c r="Q93" s="7">
        <v>258375000000</v>
      </c>
      <c r="R93" s="21"/>
      <c r="S93" s="9">
        <v>724969000000</v>
      </c>
      <c r="T93" s="10">
        <v>11726575201</v>
      </c>
      <c r="U93" s="10">
        <v>11726575201</v>
      </c>
      <c r="V93" s="10">
        <v>11726575201</v>
      </c>
      <c r="W93" s="10">
        <v>11726575201</v>
      </c>
      <c r="X93" s="8">
        <v>11726575201</v>
      </c>
    </row>
    <row r="94" spans="1:24" x14ac:dyDescent="0.25">
      <c r="A94" s="5">
        <v>39</v>
      </c>
      <c r="B94" s="36" t="s">
        <v>156</v>
      </c>
      <c r="C94" s="5" t="s">
        <v>157</v>
      </c>
      <c r="D94" s="6">
        <v>35426</v>
      </c>
      <c r="E94" s="7">
        <v>4335844455000</v>
      </c>
      <c r="F94" s="7">
        <v>4648577041000</v>
      </c>
      <c r="G94" s="7">
        <v>4674206873000</v>
      </c>
      <c r="H94" s="8">
        <v>5436745210000</v>
      </c>
      <c r="I94" s="17">
        <v>5746998087000</v>
      </c>
      <c r="J94" s="7">
        <v>284246878000</v>
      </c>
      <c r="K94" s="7">
        <v>152425111000</v>
      </c>
      <c r="L94" s="16">
        <v>-38953042000</v>
      </c>
      <c r="M94" s="8">
        <v>60376485000</v>
      </c>
      <c r="N94" s="8">
        <v>26217657000</v>
      </c>
      <c r="O94" s="7">
        <v>35820000000</v>
      </c>
      <c r="P94" s="7">
        <v>49252500000</v>
      </c>
      <c r="Q94" s="7">
        <v>131000000</v>
      </c>
      <c r="R94" s="21"/>
      <c r="S94" s="9">
        <v>159600000</v>
      </c>
      <c r="T94" s="10">
        <v>2238750000</v>
      </c>
      <c r="U94" s="10">
        <v>2238750000</v>
      </c>
      <c r="V94" s="10">
        <v>2238750000</v>
      </c>
      <c r="W94" s="10">
        <v>2238750000</v>
      </c>
      <c r="X94" s="9">
        <v>2238750000</v>
      </c>
    </row>
    <row r="95" spans="1:24" x14ac:dyDescent="0.25">
      <c r="A95" s="5">
        <v>40</v>
      </c>
      <c r="B95" s="5" t="s">
        <v>158</v>
      </c>
      <c r="C95" s="5" t="s">
        <v>159</v>
      </c>
      <c r="D95" s="6">
        <v>35426</v>
      </c>
      <c r="E95" s="7">
        <v>2187879000000</v>
      </c>
      <c r="F95" s="7">
        <v>2470793000000</v>
      </c>
      <c r="G95" s="9">
        <v>2592850000000</v>
      </c>
      <c r="H95" s="8">
        <v>2787550000000</v>
      </c>
      <c r="I95" s="17">
        <v>3002424000000</v>
      </c>
      <c r="J95" s="7">
        <v>25934000000</v>
      </c>
      <c r="K95" s="7">
        <v>79776000000</v>
      </c>
      <c r="L95" s="9">
        <v>28266000000</v>
      </c>
      <c r="M95" s="18">
        <v>-11777000000</v>
      </c>
      <c r="N95" s="18">
        <v>-218103000000</v>
      </c>
      <c r="O95" s="38"/>
      <c r="P95" s="38"/>
      <c r="Q95" s="39"/>
      <c r="R95" s="21"/>
      <c r="S95" s="21"/>
      <c r="T95" s="10">
        <v>1339102579</v>
      </c>
      <c r="U95" s="10">
        <v>1339102579</v>
      </c>
      <c r="V95" s="9">
        <v>1339102579</v>
      </c>
      <c r="W95" s="9">
        <v>1339102579</v>
      </c>
      <c r="X95" s="9">
        <v>1339102579</v>
      </c>
    </row>
    <row r="96" spans="1:24" x14ac:dyDescent="0.25">
      <c r="A96" s="5">
        <v>41</v>
      </c>
      <c r="B96" s="5" t="s">
        <v>164</v>
      </c>
      <c r="C96" s="5" t="s">
        <v>165</v>
      </c>
      <c r="D96" s="6">
        <v>34414</v>
      </c>
      <c r="E96" s="14">
        <v>101190118</v>
      </c>
      <c r="F96" s="13">
        <v>105039965</v>
      </c>
      <c r="G96" s="13">
        <v>85099322</v>
      </c>
      <c r="H96" s="24">
        <v>89708022</v>
      </c>
      <c r="I96" s="24">
        <v>61550680</v>
      </c>
      <c r="J96" s="9">
        <v>3267396</v>
      </c>
      <c r="K96" s="16">
        <v>-9255126</v>
      </c>
      <c r="L96" s="16">
        <v>-21055729</v>
      </c>
      <c r="M96" s="24">
        <v>3619098</v>
      </c>
      <c r="N96" s="24">
        <v>37887425</v>
      </c>
      <c r="O96" s="39"/>
      <c r="P96" s="38"/>
      <c r="Q96" s="38"/>
      <c r="R96" s="21"/>
      <c r="S96" s="21"/>
      <c r="T96" s="9">
        <v>3986916802</v>
      </c>
      <c r="U96" s="9">
        <v>3986916802</v>
      </c>
      <c r="V96" s="9">
        <v>3986916802</v>
      </c>
      <c r="W96" s="9">
        <v>3986916802</v>
      </c>
      <c r="X96" s="8">
        <v>4076916802</v>
      </c>
    </row>
    <row r="97" spans="1:24" x14ac:dyDescent="0.25">
      <c r="A97" s="5">
        <v>42</v>
      </c>
      <c r="B97" s="5" t="s">
        <v>166</v>
      </c>
      <c r="C97" s="5" t="s">
        <v>167</v>
      </c>
      <c r="D97" s="6">
        <v>36507</v>
      </c>
      <c r="E97" s="7">
        <v>923366433799</v>
      </c>
      <c r="F97" s="7">
        <v>895683018081</v>
      </c>
      <c r="G97" s="7">
        <v>394725543723</v>
      </c>
      <c r="H97" s="8">
        <v>282668964144</v>
      </c>
      <c r="I97" s="8">
        <v>252098033300</v>
      </c>
      <c r="J97" s="16">
        <v>-36477174515</v>
      </c>
      <c r="K97" s="16">
        <v>-51742898055</v>
      </c>
      <c r="L97" s="16">
        <v>-414398439415</v>
      </c>
      <c r="M97" s="18">
        <v>-126517856201</v>
      </c>
      <c r="N97" s="18">
        <v>-86345480189</v>
      </c>
      <c r="O97" s="38"/>
      <c r="P97" s="38"/>
      <c r="Q97" s="38"/>
      <c r="R97" s="21"/>
      <c r="S97" s="21"/>
      <c r="T97" s="9">
        <v>1011774750</v>
      </c>
      <c r="U97" s="9">
        <v>1011774750</v>
      </c>
      <c r="V97" s="9">
        <v>1011774750</v>
      </c>
      <c r="W97" s="9">
        <v>1011774750</v>
      </c>
      <c r="X97" s="8">
        <v>1011774750</v>
      </c>
    </row>
    <row r="98" spans="1:24" x14ac:dyDescent="0.25">
      <c r="A98" s="5">
        <v>43</v>
      </c>
      <c r="B98" s="5" t="s">
        <v>174</v>
      </c>
      <c r="C98" s="5" t="s">
        <v>175</v>
      </c>
      <c r="D98" s="6">
        <v>33042</v>
      </c>
      <c r="E98" s="13">
        <v>411225000</v>
      </c>
      <c r="F98" s="13">
        <v>433447000</v>
      </c>
      <c r="G98" s="13">
        <v>429841000</v>
      </c>
      <c r="H98" s="24">
        <v>474684000</v>
      </c>
      <c r="I98" s="24">
        <v>467802000</v>
      </c>
      <c r="J98" s="16">
        <v>-629000</v>
      </c>
      <c r="K98" s="16">
        <v>-19460000</v>
      </c>
      <c r="L98" s="13">
        <v>3749000</v>
      </c>
      <c r="M98" s="24">
        <v>618000</v>
      </c>
      <c r="N98" s="24">
        <v>-20489000</v>
      </c>
      <c r="O98" s="38"/>
      <c r="P98" s="38"/>
      <c r="Q98" s="38"/>
      <c r="R98" s="21"/>
      <c r="S98" s="21"/>
      <c r="T98" s="9">
        <v>1388883283</v>
      </c>
      <c r="U98" s="9">
        <v>1388883283</v>
      </c>
      <c r="V98" s="9">
        <v>1388883283</v>
      </c>
      <c r="W98" s="9">
        <v>1388883283</v>
      </c>
      <c r="X98" s="9">
        <v>1388883283</v>
      </c>
    </row>
    <row r="99" spans="1:24" x14ac:dyDescent="0.25">
      <c r="A99" s="5">
        <v>44</v>
      </c>
      <c r="B99" s="5" t="s">
        <v>178</v>
      </c>
      <c r="C99" s="5" t="s">
        <v>179</v>
      </c>
      <c r="D99" s="6">
        <v>35275</v>
      </c>
      <c r="E99" s="7">
        <v>1391416464512</v>
      </c>
      <c r="F99" s="7">
        <v>1253650408375</v>
      </c>
      <c r="G99" s="7">
        <v>1245707236962</v>
      </c>
      <c r="H99" s="7">
        <v>1353868759222</v>
      </c>
      <c r="I99" s="7">
        <v>1289211450108</v>
      </c>
      <c r="J99" s="7">
        <v>76761902211</v>
      </c>
      <c r="K99" s="7">
        <v>64090903507</v>
      </c>
      <c r="L99" s="7">
        <v>60178290460</v>
      </c>
      <c r="M99" s="7">
        <v>69347927958</v>
      </c>
      <c r="N99" s="7">
        <v>76150458446</v>
      </c>
      <c r="O99" s="38"/>
      <c r="P99" s="38"/>
      <c r="Q99" s="38"/>
      <c r="R99" s="9">
        <v>10125000000</v>
      </c>
      <c r="S99" s="9">
        <v>40500000000</v>
      </c>
      <c r="T99" s="10">
        <v>405000000</v>
      </c>
      <c r="U99" s="10">
        <v>405000000</v>
      </c>
      <c r="V99" s="10">
        <v>405000000</v>
      </c>
      <c r="W99" s="10">
        <v>405000000</v>
      </c>
      <c r="X99" s="10">
        <v>405000000</v>
      </c>
    </row>
    <row r="100" spans="1:24" x14ac:dyDescent="0.25">
      <c r="A100" s="5">
        <v>45</v>
      </c>
      <c r="B100" s="5" t="s">
        <v>180</v>
      </c>
      <c r="C100" s="5" t="s">
        <v>181</v>
      </c>
      <c r="D100" s="6">
        <v>34654</v>
      </c>
      <c r="E100" s="7">
        <v>2282845632924</v>
      </c>
      <c r="F100" s="7">
        <v>2372130750775</v>
      </c>
      <c r="G100" s="7">
        <v>2316065006133</v>
      </c>
      <c r="H100" s="8">
        <v>2746153295147</v>
      </c>
      <c r="I100" s="8">
        <v>3239231499990</v>
      </c>
      <c r="J100" s="7">
        <v>82232722269</v>
      </c>
      <c r="K100" s="7">
        <v>131005670940</v>
      </c>
      <c r="L100" s="7">
        <v>162524650713</v>
      </c>
      <c r="M100" s="8">
        <v>294325560054</v>
      </c>
      <c r="N100" s="8">
        <v>336138349494</v>
      </c>
      <c r="O100" s="38"/>
      <c r="P100" s="38"/>
      <c r="Q100" s="38"/>
      <c r="R100" s="9">
        <v>31718564370</v>
      </c>
      <c r="S100" s="21"/>
      <c r="T100" s="10">
        <v>2114570958</v>
      </c>
      <c r="U100" s="10">
        <v>2114570958</v>
      </c>
      <c r="V100" s="10">
        <v>2114570958</v>
      </c>
      <c r="W100" s="10">
        <v>2791233198</v>
      </c>
      <c r="X100" s="8">
        <v>3154092216</v>
      </c>
    </row>
    <row r="101" spans="1:24" x14ac:dyDescent="0.25">
      <c r="A101" s="5">
        <v>46</v>
      </c>
      <c r="B101" s="5" t="s">
        <v>182</v>
      </c>
      <c r="C101" s="5" t="s">
        <v>183</v>
      </c>
      <c r="D101" s="6">
        <v>43259</v>
      </c>
      <c r="E101" s="7">
        <v>550572793185</v>
      </c>
      <c r="F101" s="7">
        <v>605688084522</v>
      </c>
      <c r="G101" s="7">
        <v>640935546558</v>
      </c>
      <c r="H101" s="7">
        <v>684897530877</v>
      </c>
      <c r="I101" s="7">
        <v>658095214477</v>
      </c>
      <c r="J101" s="7">
        <v>2458835754</v>
      </c>
      <c r="K101" s="7">
        <v>3102078183</v>
      </c>
      <c r="L101" s="7">
        <v>2145671792</v>
      </c>
      <c r="M101" s="16">
        <v>-70292205107</v>
      </c>
      <c r="N101" s="16">
        <v>-58055548884</v>
      </c>
      <c r="O101" s="38"/>
      <c r="P101" s="38"/>
      <c r="Q101" s="38"/>
      <c r="R101" s="38"/>
      <c r="S101" s="38"/>
      <c r="T101" s="10">
        <v>3019200000</v>
      </c>
      <c r="U101" s="10">
        <v>3019200000</v>
      </c>
      <c r="V101" s="10">
        <v>3019200000</v>
      </c>
      <c r="W101" s="10">
        <v>3019200000</v>
      </c>
      <c r="X101" s="10">
        <v>3019200000</v>
      </c>
    </row>
    <row r="102" spans="1:24" x14ac:dyDescent="0.25">
      <c r="A102" s="5">
        <v>47</v>
      </c>
      <c r="B102" s="5" t="s">
        <v>188</v>
      </c>
      <c r="C102" s="5" t="s">
        <v>189</v>
      </c>
      <c r="D102" s="6">
        <v>32860</v>
      </c>
      <c r="E102" s="9">
        <v>534676677468</v>
      </c>
      <c r="F102" s="7">
        <v>467727877054</v>
      </c>
      <c r="G102" s="7">
        <v>486076522777</v>
      </c>
      <c r="H102" s="8">
        <v>540054244827</v>
      </c>
      <c r="I102" s="8">
        <v>464408648410</v>
      </c>
      <c r="J102" s="9">
        <v>4470170253</v>
      </c>
      <c r="K102" s="16">
        <v>-4223774106</v>
      </c>
      <c r="L102" s="16">
        <v>-6805143468</v>
      </c>
      <c r="M102" s="8">
        <v>742939617</v>
      </c>
      <c r="N102" s="8">
        <v>-1192790627</v>
      </c>
      <c r="O102" s="39"/>
      <c r="P102" s="38"/>
      <c r="Q102" s="38"/>
      <c r="R102" s="21"/>
      <c r="S102" s="21"/>
      <c r="T102" s="9">
        <v>1438370465</v>
      </c>
      <c r="U102" s="9">
        <v>1438370465</v>
      </c>
      <c r="V102" s="9">
        <v>1438370465</v>
      </c>
      <c r="W102" s="9">
        <v>1438370465</v>
      </c>
      <c r="X102" s="9">
        <v>1438370465</v>
      </c>
    </row>
    <row r="103" spans="1:24" x14ac:dyDescent="0.25">
      <c r="A103" s="5">
        <v>48</v>
      </c>
      <c r="B103" s="5" t="s">
        <v>192</v>
      </c>
      <c r="C103" s="5" t="s">
        <v>193</v>
      </c>
      <c r="D103" s="6">
        <v>42905</v>
      </c>
      <c r="E103" s="7">
        <v>3548239174625</v>
      </c>
      <c r="F103" s="7">
        <v>4084828309213</v>
      </c>
      <c r="G103" s="7">
        <v>5127760608990</v>
      </c>
      <c r="H103" s="8">
        <v>5575135591236</v>
      </c>
      <c r="I103" s="8">
        <v>4798796482352</v>
      </c>
      <c r="J103" s="7">
        <v>1585148671</v>
      </c>
      <c r="K103" s="7">
        <v>14671516876</v>
      </c>
      <c r="L103" s="7">
        <v>197498349769</v>
      </c>
      <c r="M103" s="8">
        <v>81527139693</v>
      </c>
      <c r="N103" s="8">
        <v>-29659917082</v>
      </c>
      <c r="O103" s="7">
        <v>132684548160</v>
      </c>
      <c r="P103" s="38"/>
      <c r="Q103" s="38"/>
      <c r="R103" s="9">
        <v>98748703876</v>
      </c>
      <c r="S103" s="9">
        <v>40748217240</v>
      </c>
      <c r="T103" s="10">
        <v>7682950000</v>
      </c>
      <c r="U103" s="10">
        <v>8215366379</v>
      </c>
      <c r="V103" s="10">
        <v>8215366379</v>
      </c>
      <c r="W103" s="25">
        <v>8215366379</v>
      </c>
      <c r="X103" s="10">
        <v>8215366379</v>
      </c>
    </row>
    <row r="104" spans="1:24" x14ac:dyDescent="0.25">
      <c r="A104" s="5">
        <v>49</v>
      </c>
      <c r="B104" s="5" t="s">
        <v>198</v>
      </c>
      <c r="C104" s="5" t="s">
        <v>199</v>
      </c>
      <c r="D104" s="6">
        <v>43018</v>
      </c>
      <c r="E104" s="13">
        <v>742548016</v>
      </c>
      <c r="F104" s="13">
        <v>756390458</v>
      </c>
      <c r="G104" s="13">
        <v>520855088</v>
      </c>
      <c r="H104" s="24">
        <v>397415973</v>
      </c>
      <c r="I104" s="24">
        <v>390658710</v>
      </c>
      <c r="J104" s="7">
        <v>30544859</v>
      </c>
      <c r="K104" s="16">
        <v>-54013803</v>
      </c>
      <c r="L104" s="16">
        <v>-328760804</v>
      </c>
      <c r="M104" s="18">
        <v>-127351803</v>
      </c>
      <c r="N104" s="24">
        <v>3628331</v>
      </c>
      <c r="O104" s="7">
        <v>10189270</v>
      </c>
      <c r="P104" s="7">
        <v>6108972</v>
      </c>
      <c r="Q104" s="38"/>
      <c r="R104" s="38"/>
      <c r="S104" s="21"/>
      <c r="T104" s="10">
        <v>28233511500</v>
      </c>
      <c r="U104" s="10">
        <v>28233511500</v>
      </c>
      <c r="V104" s="10">
        <v>28233511500</v>
      </c>
      <c r="W104" s="10">
        <v>28233511500</v>
      </c>
      <c r="X104" s="10">
        <v>28233511500</v>
      </c>
    </row>
    <row r="105" spans="1:24" x14ac:dyDescent="0.25">
      <c r="A105" s="5">
        <v>50</v>
      </c>
      <c r="B105" s="5" t="s">
        <v>212</v>
      </c>
      <c r="C105" s="5" t="s">
        <v>213</v>
      </c>
      <c r="D105" s="6">
        <v>42192</v>
      </c>
      <c r="E105" s="7">
        <v>1312376999120</v>
      </c>
      <c r="F105" s="7">
        <v>1265912330625</v>
      </c>
      <c r="G105" s="7">
        <v>1119076870425</v>
      </c>
      <c r="H105" s="8">
        <v>1368411097483</v>
      </c>
      <c r="I105" s="8">
        <v>1405279687983</v>
      </c>
      <c r="J105" s="7">
        <v>75738099614</v>
      </c>
      <c r="K105" s="7">
        <v>51492605525</v>
      </c>
      <c r="L105" s="16">
        <v>-57388292245</v>
      </c>
      <c r="M105" s="8">
        <v>82749100903</v>
      </c>
      <c r="N105" s="8">
        <v>57466752275</v>
      </c>
      <c r="O105" s="7">
        <v>75000000000</v>
      </c>
      <c r="P105" s="7">
        <v>28125000000</v>
      </c>
      <c r="Q105" s="38"/>
      <c r="R105" s="21"/>
      <c r="S105" s="9">
        <v>30937500000</v>
      </c>
      <c r="T105" s="9">
        <v>2343750000</v>
      </c>
      <c r="U105" s="9">
        <v>2343750000</v>
      </c>
      <c r="V105" s="9">
        <v>2343750000</v>
      </c>
      <c r="W105" s="9">
        <v>2343750000</v>
      </c>
      <c r="X105" s="9">
        <v>2343750000</v>
      </c>
    </row>
    <row r="106" spans="1:24" x14ac:dyDescent="0.25">
      <c r="A106" s="5">
        <v>51</v>
      </c>
      <c r="B106" s="5" t="s">
        <v>218</v>
      </c>
      <c r="C106" s="5" t="s">
        <v>219</v>
      </c>
      <c r="D106" s="6">
        <v>29556</v>
      </c>
      <c r="E106" s="13">
        <v>126016356</v>
      </c>
      <c r="F106" s="13">
        <v>120360141</v>
      </c>
      <c r="G106" s="13">
        <v>116510444</v>
      </c>
      <c r="H106" s="24">
        <v>119934604</v>
      </c>
      <c r="I106" s="24">
        <v>124391220</v>
      </c>
      <c r="J106" s="13">
        <v>505306</v>
      </c>
      <c r="K106" s="16">
        <v>-1196792</v>
      </c>
      <c r="L106" s="16">
        <v>-7111272</v>
      </c>
      <c r="M106" s="24">
        <v>2434023</v>
      </c>
      <c r="N106" s="24">
        <v>-3114914</v>
      </c>
      <c r="O106" s="38"/>
      <c r="P106" s="38"/>
      <c r="Q106" s="38"/>
      <c r="R106" s="21"/>
      <c r="S106" s="21"/>
      <c r="T106" s="14">
        <v>410000000</v>
      </c>
      <c r="U106" s="14">
        <v>410000000</v>
      </c>
      <c r="V106" s="14">
        <v>410000000</v>
      </c>
      <c r="W106" s="14">
        <v>410000000</v>
      </c>
      <c r="X106" s="14">
        <v>410000000</v>
      </c>
    </row>
    <row r="107" spans="1:24" x14ac:dyDescent="0.25">
      <c r="A107" s="5">
        <v>52</v>
      </c>
      <c r="B107" s="5" t="s">
        <v>220</v>
      </c>
      <c r="C107" s="5" t="s">
        <v>221</v>
      </c>
      <c r="D107" s="6">
        <v>33001</v>
      </c>
      <c r="E107" s="7">
        <v>19711478000000</v>
      </c>
      <c r="F107" s="7">
        <v>18856075000000</v>
      </c>
      <c r="G107" s="7">
        <v>17781660000000</v>
      </c>
      <c r="H107" s="8">
        <v>18400697000000</v>
      </c>
      <c r="I107" s="8">
        <v>19016012000000</v>
      </c>
      <c r="J107" s="16">
        <v>-74557000000</v>
      </c>
      <c r="K107" s="7">
        <v>269107000000</v>
      </c>
      <c r="L107" s="7">
        <v>318914000000</v>
      </c>
      <c r="M107" s="8">
        <v>74027000000</v>
      </c>
      <c r="N107" s="8">
        <v>-190572000000</v>
      </c>
      <c r="O107" s="38"/>
      <c r="P107" s="38"/>
      <c r="Q107" s="38"/>
      <c r="R107" s="9">
        <v>34848000000</v>
      </c>
      <c r="S107" s="21"/>
      <c r="T107" s="9">
        <v>3484800000</v>
      </c>
      <c r="U107" s="9">
        <v>3484800000</v>
      </c>
      <c r="V107" s="9">
        <v>3484800000</v>
      </c>
      <c r="W107" s="9">
        <v>3484800000</v>
      </c>
      <c r="X107" s="8">
        <v>3484408600</v>
      </c>
    </row>
    <row r="108" spans="1:24" x14ac:dyDescent="0.25">
      <c r="A108" s="5">
        <v>53</v>
      </c>
      <c r="B108" s="5" t="s">
        <v>228</v>
      </c>
      <c r="C108" s="5" t="s">
        <v>229</v>
      </c>
      <c r="D108" s="6">
        <v>32909</v>
      </c>
      <c r="E108" s="7">
        <v>301596448818</v>
      </c>
      <c r="F108" s="7">
        <v>324916202729</v>
      </c>
      <c r="G108" s="7">
        <v>337792393010</v>
      </c>
      <c r="H108" s="8">
        <v>310880071852</v>
      </c>
      <c r="I108" s="8">
        <v>337442939231</v>
      </c>
      <c r="J108" s="7">
        <v>32755830588</v>
      </c>
      <c r="K108" s="7">
        <v>29918519921</v>
      </c>
      <c r="L108" s="7">
        <v>6732478855</v>
      </c>
      <c r="M108" s="8">
        <v>23408672795</v>
      </c>
      <c r="N108" s="8">
        <v>26673231906</v>
      </c>
      <c r="O108" s="38"/>
      <c r="P108" s="38"/>
      <c r="Q108" s="38"/>
      <c r="R108" s="9">
        <v>49725000000</v>
      </c>
      <c r="S108" s="9">
        <v>6375000000</v>
      </c>
      <c r="T108" s="9">
        <v>106250000</v>
      </c>
      <c r="U108" s="9">
        <v>425000000</v>
      </c>
      <c r="V108" s="9">
        <v>425000000</v>
      </c>
      <c r="W108" s="9">
        <v>425000000</v>
      </c>
      <c r="X108" s="9">
        <v>425000000</v>
      </c>
    </row>
    <row r="109" spans="1:24" x14ac:dyDescent="0.25">
      <c r="A109" s="5">
        <v>54</v>
      </c>
      <c r="B109" s="5" t="s">
        <v>230</v>
      </c>
      <c r="C109" s="5" t="s">
        <v>231</v>
      </c>
      <c r="D109" s="6">
        <v>38512</v>
      </c>
      <c r="E109" s="13">
        <v>643361511</v>
      </c>
      <c r="F109" s="13">
        <v>451103384</v>
      </c>
      <c r="G109" s="13">
        <v>447155090</v>
      </c>
      <c r="H109" s="24">
        <v>522383562</v>
      </c>
      <c r="I109" s="24">
        <v>462933465</v>
      </c>
      <c r="J109" s="16">
        <v>-17908495</v>
      </c>
      <c r="K109" s="16">
        <v>-11188992</v>
      </c>
      <c r="L109" s="13">
        <v>33160574</v>
      </c>
      <c r="M109" s="24">
        <v>50302117</v>
      </c>
      <c r="N109" s="24">
        <v>52912831</v>
      </c>
      <c r="O109" s="38"/>
      <c r="P109" s="38"/>
      <c r="Q109" s="38"/>
      <c r="R109" s="21"/>
      <c r="S109" s="21"/>
      <c r="T109" s="9">
        <v>9182946945</v>
      </c>
      <c r="U109" s="9">
        <v>9182946945</v>
      </c>
      <c r="V109" s="9">
        <v>9182946945</v>
      </c>
      <c r="W109" s="25">
        <v>9182946945</v>
      </c>
      <c r="X109" s="25">
        <v>9182946945</v>
      </c>
    </row>
    <row r="110" spans="1:24" x14ac:dyDescent="0.25">
      <c r="A110" s="5">
        <v>55</v>
      </c>
      <c r="B110" s="5" t="s">
        <v>234</v>
      </c>
      <c r="C110" s="5" t="s">
        <v>235</v>
      </c>
      <c r="D110" s="6">
        <v>33066</v>
      </c>
      <c r="E110" s="7">
        <v>1635543021515</v>
      </c>
      <c r="F110" s="7">
        <v>1657127269798</v>
      </c>
      <c r="G110" s="7">
        <v>1668922580521</v>
      </c>
      <c r="H110" s="7">
        <v>1637794655748</v>
      </c>
      <c r="I110" s="7">
        <v>1576913211157</v>
      </c>
      <c r="J110" s="7">
        <v>6357160962</v>
      </c>
      <c r="K110" s="16">
        <v>-43624116829</v>
      </c>
      <c r="L110" s="16">
        <v>-4948479351</v>
      </c>
      <c r="M110" s="16">
        <v>-710084072</v>
      </c>
      <c r="N110" s="16">
        <v>-90614186434</v>
      </c>
      <c r="O110" s="38"/>
      <c r="P110" s="38"/>
      <c r="Q110" s="38"/>
      <c r="R110" s="21"/>
      <c r="S110" s="21"/>
      <c r="T110" s="9">
        <v>701043478</v>
      </c>
      <c r="U110" s="9">
        <v>701043478</v>
      </c>
      <c r="V110" s="9">
        <v>701043478</v>
      </c>
      <c r="W110" s="9">
        <v>701043478</v>
      </c>
      <c r="X110" s="9">
        <v>701043478</v>
      </c>
    </row>
    <row r="111" spans="1:24" x14ac:dyDescent="0.25">
      <c r="A111" s="5">
        <v>56</v>
      </c>
      <c r="B111" s="19" t="s">
        <v>238</v>
      </c>
      <c r="C111" s="19" t="s">
        <v>239</v>
      </c>
      <c r="D111" s="6">
        <v>34262</v>
      </c>
      <c r="E111" s="13">
        <v>280679854</v>
      </c>
      <c r="F111" s="13">
        <v>255228195</v>
      </c>
      <c r="G111" s="13">
        <v>205764168</v>
      </c>
      <c r="H111" s="13">
        <v>203791105</v>
      </c>
      <c r="I111" s="13">
        <v>172000176</v>
      </c>
      <c r="J111" s="16">
        <v>-1304581</v>
      </c>
      <c r="K111" s="16">
        <v>-29590834</v>
      </c>
      <c r="L111" s="16">
        <v>-38676045</v>
      </c>
      <c r="M111" s="13">
        <v>355873</v>
      </c>
      <c r="N111" s="16">
        <v>-26746256</v>
      </c>
      <c r="O111" s="38"/>
      <c r="P111" s="38"/>
      <c r="Q111" s="38"/>
      <c r="R111" s="38"/>
      <c r="S111" s="38"/>
      <c r="T111" s="9">
        <v>3889179559</v>
      </c>
      <c r="U111" s="9">
        <v>3889179559</v>
      </c>
      <c r="V111" s="9">
        <v>3889179559</v>
      </c>
      <c r="W111" s="9">
        <v>3889179559</v>
      </c>
      <c r="X111" s="9">
        <v>3889179559</v>
      </c>
    </row>
    <row r="112" spans="1:24" x14ac:dyDescent="0.25">
      <c r="A112" s="5">
        <v>57</v>
      </c>
      <c r="B112" s="5" t="s">
        <v>240</v>
      </c>
      <c r="C112" s="5" t="s">
        <v>241</v>
      </c>
      <c r="D112" s="6">
        <v>33245</v>
      </c>
      <c r="E112" s="13">
        <v>88323888</v>
      </c>
      <c r="F112" s="13">
        <v>85032904</v>
      </c>
      <c r="G112" s="13">
        <v>80185206</v>
      </c>
      <c r="H112" s="17">
        <v>1122379949306</v>
      </c>
      <c r="I112" s="17">
        <v>1129483925972</v>
      </c>
      <c r="J112" s="16">
        <v>-8186633</v>
      </c>
      <c r="K112" s="16">
        <v>-7277027</v>
      </c>
      <c r="L112" s="16">
        <v>-5110016</v>
      </c>
      <c r="M112" s="18">
        <v>-32071101375</v>
      </c>
      <c r="N112" s="18">
        <v>-97329335486</v>
      </c>
      <c r="O112" s="38"/>
      <c r="P112" s="38"/>
      <c r="Q112" s="38"/>
      <c r="R112" s="21"/>
      <c r="S112" s="21"/>
      <c r="T112" s="9">
        <v>335557450</v>
      </c>
      <c r="U112" s="9">
        <v>335557450</v>
      </c>
      <c r="V112" s="9">
        <v>335557450</v>
      </c>
      <c r="W112" s="9">
        <v>335557450</v>
      </c>
      <c r="X112" s="9">
        <v>335557450</v>
      </c>
    </row>
    <row r="113" spans="1:24" x14ac:dyDescent="0.25">
      <c r="A113" s="5">
        <v>58</v>
      </c>
      <c r="B113" s="5" t="s">
        <v>246</v>
      </c>
      <c r="C113" s="5" t="s">
        <v>247</v>
      </c>
      <c r="D113" s="6">
        <v>33106</v>
      </c>
      <c r="E113" s="13">
        <v>62585854</v>
      </c>
      <c r="F113" s="13">
        <v>71422968</v>
      </c>
      <c r="G113" s="13">
        <v>68564658</v>
      </c>
      <c r="H113" s="24">
        <v>72697937</v>
      </c>
      <c r="I113" s="24">
        <v>78716650</v>
      </c>
      <c r="J113" s="13">
        <v>1059744</v>
      </c>
      <c r="K113" s="13">
        <v>841583</v>
      </c>
      <c r="L113" s="16">
        <v>-970496</v>
      </c>
      <c r="M113" s="24">
        <v>1583643</v>
      </c>
      <c r="N113" s="24">
        <v>3916193</v>
      </c>
      <c r="O113" s="38"/>
      <c r="P113" s="38"/>
      <c r="Q113" s="38"/>
      <c r="R113" s="21"/>
      <c r="S113" s="14">
        <v>250000</v>
      </c>
      <c r="T113" s="9">
        <v>1286539792</v>
      </c>
      <c r="U113" s="9">
        <v>1286539792</v>
      </c>
      <c r="V113" s="9">
        <v>1286539792</v>
      </c>
      <c r="W113" s="9">
        <v>1286539792</v>
      </c>
      <c r="X113" s="8">
        <v>1286539792</v>
      </c>
    </row>
    <row r="114" spans="1:24" x14ac:dyDescent="0.25">
      <c r="A114" s="5">
        <v>59</v>
      </c>
      <c r="B114" s="5" t="s">
        <v>248</v>
      </c>
      <c r="C114" s="5" t="s">
        <v>249</v>
      </c>
      <c r="D114" s="6">
        <v>33890</v>
      </c>
      <c r="E114" s="13">
        <v>62027720</v>
      </c>
      <c r="F114" s="13">
        <v>61112029</v>
      </c>
      <c r="G114" s="14">
        <v>54473395</v>
      </c>
      <c r="H114" s="40">
        <v>51213443</v>
      </c>
      <c r="I114" s="24">
        <v>48194418</v>
      </c>
      <c r="J114" s="13">
        <v>1413112</v>
      </c>
      <c r="K114" s="16">
        <v>-2792947</v>
      </c>
      <c r="L114" s="22">
        <v>-577944</v>
      </c>
      <c r="M114" s="40">
        <v>1612542</v>
      </c>
      <c r="N114" s="24">
        <v>66319</v>
      </c>
      <c r="O114" s="38"/>
      <c r="P114" s="38"/>
      <c r="Q114" s="39"/>
      <c r="R114" s="21"/>
      <c r="S114" s="14">
        <v>129214</v>
      </c>
      <c r="T114" s="9">
        <v>2015208720</v>
      </c>
      <c r="U114" s="9">
        <v>2015208720</v>
      </c>
      <c r="V114" s="9">
        <v>2015208720</v>
      </c>
      <c r="W114" s="9">
        <v>2015208720</v>
      </c>
      <c r="X114" s="9">
        <v>2015208720</v>
      </c>
    </row>
    <row r="115" spans="1:24" x14ac:dyDescent="0.25">
      <c r="A115" s="5">
        <v>60</v>
      </c>
      <c r="B115" s="5" t="s">
        <v>250</v>
      </c>
      <c r="C115" s="5" t="s">
        <v>251</v>
      </c>
      <c r="D115" s="6">
        <v>33030</v>
      </c>
      <c r="E115" s="7">
        <v>586940667000</v>
      </c>
      <c r="F115" s="7">
        <v>423791061000</v>
      </c>
      <c r="G115" s="7">
        <v>384116199000</v>
      </c>
      <c r="H115" s="8">
        <v>346377425000</v>
      </c>
      <c r="I115" s="8">
        <v>265693432000</v>
      </c>
      <c r="J115" s="48">
        <v>-229988885000</v>
      </c>
      <c r="K115" s="16">
        <v>-65673323000</v>
      </c>
      <c r="L115" s="16">
        <v>-47969988000</v>
      </c>
      <c r="M115" s="16">
        <v>-41970335000</v>
      </c>
      <c r="N115" s="16">
        <v>-57362444000</v>
      </c>
      <c r="O115" s="38"/>
      <c r="P115" s="38"/>
      <c r="Q115" s="38"/>
      <c r="R115" s="38"/>
      <c r="S115" s="38"/>
      <c r="T115" s="9">
        <v>3601462800</v>
      </c>
      <c r="U115" s="9">
        <v>3601462800</v>
      </c>
      <c r="V115" s="9">
        <v>3601462800</v>
      </c>
      <c r="W115" s="9">
        <v>3601462800</v>
      </c>
      <c r="X115" s="9">
        <v>3601462800</v>
      </c>
    </row>
    <row r="116" spans="1:24" x14ac:dyDescent="0.25">
      <c r="A116" s="5">
        <v>61</v>
      </c>
      <c r="B116" s="5" t="s">
        <v>252</v>
      </c>
      <c r="C116" s="5" t="s">
        <v>253</v>
      </c>
      <c r="D116" s="6">
        <v>33088</v>
      </c>
      <c r="E116" s="13">
        <v>805918779</v>
      </c>
      <c r="F116" s="13">
        <v>753558270</v>
      </c>
      <c r="G116" s="14">
        <v>763855590</v>
      </c>
      <c r="H116" s="40">
        <v>905497694</v>
      </c>
      <c r="I116" s="40">
        <v>869800216</v>
      </c>
      <c r="J116" s="13">
        <v>62367343</v>
      </c>
      <c r="K116" s="13">
        <v>38111238</v>
      </c>
      <c r="L116" s="14">
        <v>6231992</v>
      </c>
      <c r="M116" s="40">
        <v>84568285</v>
      </c>
      <c r="N116" s="40">
        <v>42534663</v>
      </c>
      <c r="O116" s="38"/>
      <c r="P116" s="7">
        <v>15493007</v>
      </c>
      <c r="Q116" s="39"/>
      <c r="R116" s="39"/>
      <c r="S116" s="9">
        <v>41462124</v>
      </c>
      <c r="T116" s="9">
        <v>654351707</v>
      </c>
      <c r="U116" s="9">
        <v>654351707</v>
      </c>
      <c r="V116" s="9">
        <v>654351707</v>
      </c>
      <c r="W116" s="9">
        <v>654351707</v>
      </c>
      <c r="X116" s="9">
        <v>654351707</v>
      </c>
    </row>
    <row r="117" spans="1:24" x14ac:dyDescent="0.25">
      <c r="A117" s="5">
        <v>62</v>
      </c>
      <c r="B117" s="5" t="s">
        <v>254</v>
      </c>
      <c r="C117" s="5" t="s">
        <v>255</v>
      </c>
      <c r="D117" s="6">
        <v>32791</v>
      </c>
      <c r="E117" s="7">
        <v>3747570000000</v>
      </c>
      <c r="F117" s="7">
        <v>3686259000000</v>
      </c>
      <c r="G117" s="7">
        <v>3884567000000</v>
      </c>
      <c r="H117" s="8">
        <v>3744934000000</v>
      </c>
      <c r="I117" s="8">
        <v>3959904000000</v>
      </c>
      <c r="J117" s="16">
        <v>-170235000000</v>
      </c>
      <c r="K117" s="16">
        <v>-241027000000</v>
      </c>
      <c r="L117" s="16">
        <v>-114827000000</v>
      </c>
      <c r="M117" s="18">
        <v>-139616000000</v>
      </c>
      <c r="N117" s="18">
        <v>-21393000000</v>
      </c>
      <c r="O117" s="38"/>
      <c r="P117" s="38"/>
      <c r="Q117" s="38"/>
      <c r="R117" s="39"/>
      <c r="S117" s="39"/>
      <c r="T117" s="9">
        <v>1466666577</v>
      </c>
      <c r="U117" s="9">
        <v>7747281949</v>
      </c>
      <c r="V117" s="9">
        <v>7747281949</v>
      </c>
      <c r="W117" s="9">
        <v>7747281949</v>
      </c>
      <c r="X117" s="9">
        <v>7747281949</v>
      </c>
    </row>
    <row r="118" spans="1:24" x14ac:dyDescent="0.25">
      <c r="A118" s="5">
        <v>63</v>
      </c>
      <c r="B118" s="5" t="s">
        <v>256</v>
      </c>
      <c r="C118" s="5" t="s">
        <v>257</v>
      </c>
      <c r="D118" s="6">
        <v>33162</v>
      </c>
      <c r="E118" s="13">
        <v>579066122</v>
      </c>
      <c r="F118" s="13">
        <v>658393892</v>
      </c>
      <c r="G118" s="13">
        <v>693123729</v>
      </c>
      <c r="H118" s="24">
        <v>696625283</v>
      </c>
      <c r="I118" s="24">
        <v>724645099</v>
      </c>
      <c r="J118" s="13">
        <v>16260183</v>
      </c>
      <c r="K118" s="13">
        <v>17050942</v>
      </c>
      <c r="L118" s="13">
        <v>19367114</v>
      </c>
      <c r="M118" s="24">
        <v>15403762</v>
      </c>
      <c r="N118" s="24">
        <v>2336379</v>
      </c>
      <c r="O118" s="7">
        <v>931995</v>
      </c>
      <c r="P118" s="7">
        <v>2132153</v>
      </c>
      <c r="Q118" s="38"/>
      <c r="R118" s="13">
        <v>1225325</v>
      </c>
      <c r="S118" s="39"/>
      <c r="T118" s="9">
        <v>6478295611</v>
      </c>
      <c r="U118" s="9">
        <v>6478295611</v>
      </c>
      <c r="V118" s="9">
        <v>6478295611</v>
      </c>
      <c r="W118" s="9">
        <v>6478295611</v>
      </c>
      <c r="X118" s="8">
        <v>6478295611</v>
      </c>
    </row>
    <row r="119" spans="1:24" x14ac:dyDescent="0.25">
      <c r="A119" s="5">
        <v>64</v>
      </c>
      <c r="B119" s="5" t="s">
        <v>258</v>
      </c>
      <c r="C119" s="5" t="s">
        <v>259</v>
      </c>
      <c r="D119" s="6">
        <v>33309</v>
      </c>
      <c r="E119" s="13">
        <v>238246828</v>
      </c>
      <c r="F119" s="13">
        <v>242051545</v>
      </c>
      <c r="G119" s="14">
        <v>231030116</v>
      </c>
      <c r="H119" s="40">
        <v>238206780</v>
      </c>
      <c r="I119" s="40">
        <v>228076478</v>
      </c>
      <c r="J119" s="13">
        <v>1283226</v>
      </c>
      <c r="K119" s="16">
        <v>-11914906</v>
      </c>
      <c r="L119" s="22">
        <v>-20549350</v>
      </c>
      <c r="M119" s="40">
        <v>3424161</v>
      </c>
      <c r="N119" s="40">
        <v>12313779</v>
      </c>
      <c r="O119" s="38"/>
      <c r="P119" s="38"/>
      <c r="Q119" s="39"/>
      <c r="R119" s="39"/>
      <c r="S119" s="39"/>
      <c r="T119" s="9">
        <v>2495753347</v>
      </c>
      <c r="U119" s="9">
        <v>2495753347</v>
      </c>
      <c r="V119" s="9">
        <v>2495753347</v>
      </c>
      <c r="W119" s="9">
        <v>2495753347</v>
      </c>
      <c r="X119" s="9">
        <v>2495753347</v>
      </c>
    </row>
    <row r="120" spans="1:24" x14ac:dyDescent="0.25">
      <c r="A120" s="5">
        <v>65</v>
      </c>
      <c r="B120" s="5" t="s">
        <v>262</v>
      </c>
      <c r="C120" s="5" t="s">
        <v>263</v>
      </c>
      <c r="D120" s="6">
        <v>35817</v>
      </c>
      <c r="E120" s="7">
        <v>1539602054832</v>
      </c>
      <c r="F120" s="7">
        <v>1619854736252</v>
      </c>
      <c r="G120" s="7">
        <v>1736897169061</v>
      </c>
      <c r="H120" s="8">
        <v>1694313967553</v>
      </c>
      <c r="I120" s="8">
        <v>1639882069759</v>
      </c>
      <c r="J120" s="7">
        <v>18480376458</v>
      </c>
      <c r="K120" s="7">
        <v>17219044542</v>
      </c>
      <c r="L120" s="16">
        <v>-77578476383</v>
      </c>
      <c r="M120" s="18">
        <v>-66098078641</v>
      </c>
      <c r="N120" s="8">
        <v>-69375798083</v>
      </c>
      <c r="O120" s="7">
        <v>1925152530</v>
      </c>
      <c r="P120" s="7">
        <v>1925152530</v>
      </c>
      <c r="Q120" s="38"/>
      <c r="R120" s="39"/>
      <c r="S120" s="39"/>
      <c r="T120" s="9">
        <v>641717510</v>
      </c>
      <c r="U120" s="9">
        <v>641717510</v>
      </c>
      <c r="V120" s="9">
        <v>641717510</v>
      </c>
      <c r="W120" s="25">
        <v>641717510</v>
      </c>
      <c r="X120" s="25">
        <v>641717510</v>
      </c>
    </row>
    <row r="121" spans="1:24" x14ac:dyDescent="0.25">
      <c r="A121" s="5">
        <v>66</v>
      </c>
      <c r="B121" s="5" t="s">
        <v>266</v>
      </c>
      <c r="C121" s="5" t="s">
        <v>267</v>
      </c>
      <c r="D121" s="6">
        <v>41442</v>
      </c>
      <c r="E121" s="13">
        <v>1364271991</v>
      </c>
      <c r="F121" s="13">
        <v>1559251755</v>
      </c>
      <c r="G121" s="13">
        <v>1851988840</v>
      </c>
      <c r="H121" s="13">
        <v>1234193246</v>
      </c>
      <c r="I121" s="13">
        <v>764552039</v>
      </c>
      <c r="J121" s="7">
        <v>84556033</v>
      </c>
      <c r="K121" s="13">
        <v>87652548</v>
      </c>
      <c r="L121" s="13">
        <v>85325108</v>
      </c>
      <c r="M121" s="16">
        <v>-1074402760</v>
      </c>
      <c r="N121" s="16">
        <v>-395563161</v>
      </c>
      <c r="O121" s="7">
        <v>12076869</v>
      </c>
      <c r="P121" s="7">
        <v>4237037</v>
      </c>
      <c r="Q121" s="7">
        <v>1471274</v>
      </c>
      <c r="R121" s="39"/>
      <c r="S121" s="39"/>
      <c r="T121" s="9">
        <v>20452176844</v>
      </c>
      <c r="U121" s="9">
        <v>20452176844</v>
      </c>
      <c r="V121" s="9">
        <v>20452176844</v>
      </c>
      <c r="W121" s="9">
        <v>20452176844</v>
      </c>
      <c r="X121" s="9">
        <v>20452176844</v>
      </c>
    </row>
    <row r="122" spans="1:24" x14ac:dyDescent="0.25">
      <c r="A122" s="5">
        <v>67</v>
      </c>
      <c r="B122" s="5" t="s">
        <v>268</v>
      </c>
      <c r="C122" s="5" t="s">
        <v>269</v>
      </c>
      <c r="D122" s="6">
        <v>35662</v>
      </c>
      <c r="E122" s="7">
        <v>562174180897</v>
      </c>
      <c r="F122" s="7">
        <v>514765731890</v>
      </c>
      <c r="G122" s="7">
        <v>482065294095</v>
      </c>
      <c r="H122" s="7">
        <v>471128491654</v>
      </c>
      <c r="I122" s="7">
        <v>442106656917</v>
      </c>
      <c r="J122" s="7">
        <v>1112037917</v>
      </c>
      <c r="K122" s="16">
        <v>-16266732177</v>
      </c>
      <c r="L122" s="16">
        <v>-15354377443</v>
      </c>
      <c r="M122" s="7">
        <v>56749821815</v>
      </c>
      <c r="N122" s="7">
        <v>-6044861775</v>
      </c>
      <c r="O122" s="38"/>
      <c r="P122" s="38"/>
      <c r="Q122" s="38"/>
      <c r="R122" s="39"/>
      <c r="S122" s="39"/>
      <c r="T122" s="9">
        <v>1170909181</v>
      </c>
      <c r="U122" s="9">
        <v>1170909181</v>
      </c>
      <c r="V122" s="9">
        <v>1170909181</v>
      </c>
      <c r="W122" s="9">
        <v>1170909181</v>
      </c>
      <c r="X122" s="9">
        <v>1170909181</v>
      </c>
    </row>
    <row r="123" spans="1:24" x14ac:dyDescent="0.25">
      <c r="A123" s="5">
        <v>68</v>
      </c>
      <c r="B123" s="5" t="s">
        <v>270</v>
      </c>
      <c r="C123" s="5" t="s">
        <v>271</v>
      </c>
      <c r="D123" s="6">
        <v>40737</v>
      </c>
      <c r="E123" s="7">
        <v>615956006710</v>
      </c>
      <c r="F123" s="7">
        <v>579813156839</v>
      </c>
      <c r="G123" s="7">
        <v>497557497473</v>
      </c>
      <c r="H123" s="17">
        <v>508447134690</v>
      </c>
      <c r="I123" s="17">
        <v>509387241941</v>
      </c>
      <c r="J123" s="7">
        <v>173591040</v>
      </c>
      <c r="K123" s="7">
        <v>1951111404</v>
      </c>
      <c r="L123" s="7">
        <v>5808171411</v>
      </c>
      <c r="M123" s="17">
        <v>10513086262</v>
      </c>
      <c r="N123" s="17">
        <v>1749860911</v>
      </c>
      <c r="O123" s="38"/>
      <c r="P123" s="38"/>
      <c r="Q123" s="38"/>
      <c r="R123" s="39"/>
      <c r="S123" s="39"/>
      <c r="T123" s="9">
        <v>4800000602</v>
      </c>
      <c r="U123" s="9">
        <v>4800000602</v>
      </c>
      <c r="V123" s="9">
        <v>4800000602</v>
      </c>
      <c r="W123" s="9">
        <v>4800000602</v>
      </c>
      <c r="X123" s="9">
        <v>4800000602</v>
      </c>
    </row>
    <row r="124" spans="1:24" x14ac:dyDescent="0.25">
      <c r="A124" s="5">
        <v>69</v>
      </c>
      <c r="B124" s="5" t="s">
        <v>272</v>
      </c>
      <c r="C124" s="5" t="s">
        <v>273</v>
      </c>
      <c r="D124" s="6">
        <v>29277</v>
      </c>
      <c r="E124" s="13">
        <v>321852867</v>
      </c>
      <c r="F124" s="13">
        <v>313569276</v>
      </c>
      <c r="G124" s="14">
        <v>317722871</v>
      </c>
      <c r="H124" s="40">
        <v>334578949</v>
      </c>
      <c r="I124" s="24">
        <v>334102307</v>
      </c>
      <c r="J124" s="16">
        <v>-494963</v>
      </c>
      <c r="K124" s="16">
        <v>-5258349</v>
      </c>
      <c r="L124" s="22">
        <v>-857539</v>
      </c>
      <c r="M124" s="24">
        <v>13557986</v>
      </c>
      <c r="N124" s="24">
        <v>3415772</v>
      </c>
      <c r="O124" s="38"/>
      <c r="P124" s="38"/>
      <c r="Q124" s="39"/>
      <c r="R124" s="39"/>
      <c r="S124" s="39"/>
      <c r="T124" s="9">
        <v>4823076400</v>
      </c>
      <c r="U124" s="9">
        <v>4823076400</v>
      </c>
      <c r="V124" s="9">
        <v>4823076400</v>
      </c>
      <c r="W124" s="9">
        <v>4823076400</v>
      </c>
      <c r="X124" s="9">
        <v>4823076400</v>
      </c>
    </row>
    <row r="125" spans="1:24" x14ac:dyDescent="0.25">
      <c r="A125" s="5">
        <v>70</v>
      </c>
      <c r="B125" s="5" t="s">
        <v>280</v>
      </c>
      <c r="C125" s="5" t="s">
        <v>281</v>
      </c>
      <c r="D125" s="6">
        <v>43446</v>
      </c>
      <c r="E125" s="7">
        <v>398437984462</v>
      </c>
      <c r="F125" s="7">
        <v>538644833986</v>
      </c>
      <c r="G125" s="7">
        <v>563628549785</v>
      </c>
      <c r="H125" s="8">
        <v>562739101102</v>
      </c>
      <c r="I125" s="8">
        <v>651781230958</v>
      </c>
      <c r="J125" s="7">
        <v>41027946306</v>
      </c>
      <c r="K125" s="7">
        <v>51222668919</v>
      </c>
      <c r="L125" s="16">
        <v>-37620281385</v>
      </c>
      <c r="M125" s="8">
        <v>30781262235</v>
      </c>
      <c r="N125" s="8">
        <v>72940513980</v>
      </c>
      <c r="O125" s="7">
        <v>80151111110</v>
      </c>
      <c r="P125" s="38"/>
      <c r="Q125" s="38"/>
      <c r="R125" s="39"/>
      <c r="S125" s="9">
        <v>9267326241</v>
      </c>
      <c r="T125" s="10">
        <v>797000000</v>
      </c>
      <c r="U125" s="10">
        <v>870171478</v>
      </c>
      <c r="V125" s="10">
        <v>870171478</v>
      </c>
      <c r="W125" s="10">
        <v>870171478</v>
      </c>
      <c r="X125" s="10">
        <v>870171478</v>
      </c>
    </row>
    <row r="126" spans="1:24" x14ac:dyDescent="0.25">
      <c r="A126" s="5">
        <v>71</v>
      </c>
      <c r="B126" s="5" t="s">
        <v>282</v>
      </c>
      <c r="C126" s="5" t="s">
        <v>283</v>
      </c>
      <c r="D126" s="6">
        <v>30034</v>
      </c>
      <c r="E126" s="7">
        <v>876856225000</v>
      </c>
      <c r="F126" s="7">
        <v>863146554000</v>
      </c>
      <c r="G126" s="7">
        <v>775324937000</v>
      </c>
      <c r="H126" s="8">
        <v>652742235000</v>
      </c>
      <c r="I126" s="8">
        <v>724073958000</v>
      </c>
      <c r="J126" s="7">
        <v>67944867000</v>
      </c>
      <c r="K126" s="7">
        <v>23441338000</v>
      </c>
      <c r="L126" s="16">
        <v>-177761030000</v>
      </c>
      <c r="M126" s="18">
        <v>-51233663000</v>
      </c>
      <c r="N126" s="18">
        <v>-106123023000</v>
      </c>
      <c r="O126" s="7">
        <v>18538000000</v>
      </c>
      <c r="P126" s="7">
        <v>11401000000</v>
      </c>
      <c r="Q126" s="38"/>
      <c r="R126" s="39"/>
      <c r="S126" s="39"/>
      <c r="T126" s="9">
        <v>1300000000</v>
      </c>
      <c r="U126" s="9">
        <v>1300000000</v>
      </c>
      <c r="V126" s="9">
        <v>1300000000</v>
      </c>
      <c r="W126" s="9">
        <v>1300000000</v>
      </c>
      <c r="X126" s="9">
        <v>1300000000</v>
      </c>
    </row>
    <row r="127" spans="1:24" x14ac:dyDescent="0.25">
      <c r="A127" s="5">
        <v>72</v>
      </c>
      <c r="B127" s="5" t="s">
        <v>284</v>
      </c>
      <c r="C127" s="5" t="s">
        <v>285</v>
      </c>
      <c r="D127" s="6">
        <v>34576</v>
      </c>
      <c r="E127" s="7">
        <v>98190640839</v>
      </c>
      <c r="F127" s="7">
        <v>246536771775</v>
      </c>
      <c r="G127" s="7">
        <v>223781482859</v>
      </c>
      <c r="H127" s="8">
        <v>218663866293</v>
      </c>
      <c r="I127" s="8">
        <v>310462822260</v>
      </c>
      <c r="J127" s="7">
        <v>2349855961</v>
      </c>
      <c r="K127" s="7">
        <v>3048600900</v>
      </c>
      <c r="L127" s="16">
        <v>-31519632982</v>
      </c>
      <c r="M127" s="18">
        <v>-20265774760</v>
      </c>
      <c r="N127" s="8">
        <v>-2369378400</v>
      </c>
      <c r="O127" s="38"/>
      <c r="P127" s="38"/>
      <c r="Q127" s="38"/>
      <c r="R127" s="39"/>
      <c r="S127" s="39"/>
      <c r="T127" s="9">
        <f>436175716+172000000</f>
        <v>608175716</v>
      </c>
      <c r="U127" s="9">
        <v>608175716</v>
      </c>
      <c r="V127" s="9">
        <v>608175716</v>
      </c>
      <c r="W127" s="9">
        <v>608175716</v>
      </c>
      <c r="X127" s="9">
        <v>608175716</v>
      </c>
    </row>
    <row r="128" spans="1:24" x14ac:dyDescent="0.25">
      <c r="A128" s="5">
        <v>73</v>
      </c>
      <c r="B128" s="5" t="s">
        <v>290</v>
      </c>
      <c r="C128" s="5" t="s">
        <v>291</v>
      </c>
      <c r="D128" s="6">
        <v>33926</v>
      </c>
      <c r="E128" s="7">
        <v>2081620993000</v>
      </c>
      <c r="F128" s="7">
        <v>1888753850000</v>
      </c>
      <c r="G128" s="7">
        <v>1513949141000</v>
      </c>
      <c r="H128" s="8">
        <v>1736977382000</v>
      </c>
      <c r="I128" s="8">
        <v>2199797641000</v>
      </c>
      <c r="J128" s="7">
        <v>88428879000</v>
      </c>
      <c r="K128" s="7">
        <v>102517868000</v>
      </c>
      <c r="L128" s="7">
        <v>11924112000</v>
      </c>
      <c r="M128" s="18">
        <v>-47179855000</v>
      </c>
      <c r="N128" s="8">
        <v>57625088000</v>
      </c>
      <c r="O128" s="7">
        <v>30240000000</v>
      </c>
      <c r="P128" s="7">
        <v>45360000000</v>
      </c>
      <c r="Q128" s="38"/>
      <c r="R128" s="39"/>
      <c r="S128" s="39"/>
      <c r="T128" s="9">
        <v>151200000</v>
      </c>
      <c r="U128" s="9">
        <v>151200000</v>
      </c>
      <c r="V128" s="9">
        <v>151200000</v>
      </c>
      <c r="W128" s="9">
        <v>151200000</v>
      </c>
      <c r="X128" s="9">
        <v>151200000</v>
      </c>
    </row>
    <row r="129" spans="1:24" x14ac:dyDescent="0.25">
      <c r="A129" s="5">
        <v>74</v>
      </c>
      <c r="B129" s="5" t="s">
        <v>292</v>
      </c>
      <c r="C129" s="5" t="s">
        <v>293</v>
      </c>
      <c r="D129" s="6">
        <v>33791</v>
      </c>
      <c r="E129" s="7">
        <v>3244821647076</v>
      </c>
      <c r="F129" s="7">
        <v>3556474711037</v>
      </c>
      <c r="G129" s="7">
        <v>3009724379484</v>
      </c>
      <c r="H129" s="8">
        <v>2725242711423</v>
      </c>
      <c r="I129" s="8">
        <v>2797005026270</v>
      </c>
      <c r="J129" s="7">
        <v>235651063203</v>
      </c>
      <c r="K129" s="7">
        <v>394950161188</v>
      </c>
      <c r="L129" s="16">
        <v>-73694555905</v>
      </c>
      <c r="M129" s="8">
        <v>93371439103</v>
      </c>
      <c r="N129" s="8">
        <v>59961666687</v>
      </c>
      <c r="O129" s="7">
        <v>40072351070</v>
      </c>
      <c r="P129" s="7">
        <v>32057880856</v>
      </c>
      <c r="Q129" s="7">
        <v>32057880856</v>
      </c>
      <c r="R129" s="39"/>
      <c r="S129" s="9">
        <v>16028940428</v>
      </c>
      <c r="T129" s="9">
        <v>4007235107</v>
      </c>
      <c r="U129" s="9">
        <v>4007235107</v>
      </c>
      <c r="V129" s="9">
        <v>4007235107</v>
      </c>
      <c r="W129" s="9">
        <v>4007235107</v>
      </c>
      <c r="X129" s="9">
        <v>4007235107</v>
      </c>
    </row>
    <row r="130" spans="1:24" x14ac:dyDescent="0.25">
      <c r="A130" s="5">
        <v>75</v>
      </c>
      <c r="B130" s="5" t="s">
        <v>294</v>
      </c>
      <c r="C130" s="5" t="s">
        <v>295</v>
      </c>
      <c r="D130" s="6">
        <v>33604</v>
      </c>
      <c r="E130" s="7">
        <v>1298358478375</v>
      </c>
      <c r="F130" s="7">
        <v>1284437358420</v>
      </c>
      <c r="G130" s="7">
        <v>1026762882496</v>
      </c>
      <c r="H130" s="8">
        <v>1497181021456</v>
      </c>
      <c r="I130" s="8">
        <v>1508596356369</v>
      </c>
      <c r="J130" s="7">
        <v>40675096628</v>
      </c>
      <c r="K130" s="7">
        <v>38648269147</v>
      </c>
      <c r="L130" s="7">
        <v>6563771460</v>
      </c>
      <c r="M130" s="18">
        <v>-12999702678</v>
      </c>
      <c r="N130" s="8">
        <v>30497463746</v>
      </c>
      <c r="O130" s="7">
        <v>11200000000</v>
      </c>
      <c r="P130" s="7">
        <v>11200000000</v>
      </c>
      <c r="Q130" s="7">
        <v>11200000000</v>
      </c>
      <c r="R130" s="39"/>
      <c r="S130" s="39"/>
      <c r="T130" s="9">
        <v>1120000000</v>
      </c>
      <c r="U130" s="9">
        <v>1120000000</v>
      </c>
      <c r="V130" s="9">
        <v>1120000000</v>
      </c>
      <c r="W130" s="9">
        <v>1120000000</v>
      </c>
      <c r="X130" s="9">
        <v>1120000000</v>
      </c>
    </row>
    <row r="131" spans="1:24" x14ac:dyDescent="0.25">
      <c r="A131" s="5">
        <v>76</v>
      </c>
      <c r="B131" s="5" t="s">
        <v>298</v>
      </c>
      <c r="C131" s="5" t="s">
        <v>299</v>
      </c>
      <c r="D131" s="6">
        <v>33227</v>
      </c>
      <c r="E131" s="7">
        <v>2485382578010</v>
      </c>
      <c r="F131" s="7">
        <v>3027942155357</v>
      </c>
      <c r="G131" s="7">
        <v>2915635059892</v>
      </c>
      <c r="H131" s="8">
        <v>2893167569270</v>
      </c>
      <c r="I131" s="8">
        <v>2665946796991</v>
      </c>
      <c r="J131" s="7">
        <v>105468744587</v>
      </c>
      <c r="K131" s="7">
        <v>208249125401</v>
      </c>
      <c r="L131" s="7">
        <v>2783763185</v>
      </c>
      <c r="M131" s="18">
        <v>-210822267539</v>
      </c>
      <c r="N131" s="18">
        <v>-191040268841</v>
      </c>
      <c r="O131" s="38"/>
      <c r="P131" s="7">
        <v>20778012975</v>
      </c>
      <c r="Q131" s="38"/>
      <c r="R131" s="39"/>
      <c r="S131" s="39"/>
      <c r="T131" s="9">
        <v>4155602595</v>
      </c>
      <c r="U131" s="9">
        <v>4155602595</v>
      </c>
      <c r="V131" s="9">
        <v>4155602595</v>
      </c>
      <c r="W131" s="9">
        <v>4155602595</v>
      </c>
      <c r="X131" s="9">
        <v>4155602595</v>
      </c>
    </row>
    <row r="132" spans="1:24" x14ac:dyDescent="0.25">
      <c r="A132" s="5">
        <v>77</v>
      </c>
      <c r="B132" s="5" t="s">
        <v>300</v>
      </c>
      <c r="C132" s="5" t="s">
        <v>301</v>
      </c>
      <c r="D132" s="6">
        <v>39394</v>
      </c>
      <c r="E132" s="13">
        <v>287576140</v>
      </c>
      <c r="F132" s="13">
        <v>161249768</v>
      </c>
      <c r="G132" s="13">
        <v>129626970</v>
      </c>
      <c r="H132" s="24">
        <v>173199932</v>
      </c>
      <c r="I132" s="24">
        <v>147616234</v>
      </c>
      <c r="J132" s="7">
        <v>12000369</v>
      </c>
      <c r="K132" s="13">
        <v>901196</v>
      </c>
      <c r="L132" s="13">
        <v>4834180</v>
      </c>
      <c r="M132" s="24">
        <v>5820485</v>
      </c>
      <c r="N132" s="24">
        <v>9925108</v>
      </c>
      <c r="O132" s="38"/>
      <c r="P132" s="38"/>
      <c r="Q132" s="38"/>
      <c r="R132" s="39"/>
      <c r="S132" s="39"/>
      <c r="T132" s="9">
        <v>1771448000</v>
      </c>
      <c r="U132" s="9">
        <v>5314344000</v>
      </c>
      <c r="V132" s="9">
        <v>5314344000</v>
      </c>
      <c r="W132" s="9">
        <v>5314344000</v>
      </c>
      <c r="X132" s="9">
        <v>5314344000</v>
      </c>
    </row>
    <row r="133" spans="1:24" x14ac:dyDescent="0.25">
      <c r="A133" s="5">
        <v>78</v>
      </c>
      <c r="B133" s="5" t="s">
        <v>308</v>
      </c>
      <c r="C133" s="5" t="s">
        <v>309</v>
      </c>
      <c r="D133" s="49">
        <v>34498</v>
      </c>
      <c r="E133" s="7">
        <v>881275000000</v>
      </c>
      <c r="F133" s="7">
        <v>822375000000</v>
      </c>
      <c r="G133" s="9">
        <v>958791000000</v>
      </c>
      <c r="H133" s="8">
        <v>1304108000000</v>
      </c>
      <c r="I133" s="8">
        <v>1645582000000</v>
      </c>
      <c r="J133" s="7">
        <v>52958000000</v>
      </c>
      <c r="K133" s="7">
        <v>83885000000</v>
      </c>
      <c r="L133" s="9">
        <v>135789000000</v>
      </c>
      <c r="M133" s="8">
        <v>265758000000</v>
      </c>
      <c r="N133" s="8">
        <v>364972000000</v>
      </c>
      <c r="O133" s="38"/>
      <c r="P133" s="38"/>
      <c r="Q133" s="39"/>
      <c r="R133" s="39"/>
      <c r="S133" s="39"/>
      <c r="T133" s="9">
        <v>589896800</v>
      </c>
      <c r="U133" s="10">
        <v>589896800</v>
      </c>
      <c r="V133" s="9">
        <v>589896800</v>
      </c>
      <c r="W133" s="9">
        <v>589896800</v>
      </c>
      <c r="X133" s="9">
        <v>589896800</v>
      </c>
    </row>
    <row r="134" spans="1:24" x14ac:dyDescent="0.25">
      <c r="A134" s="5">
        <v>79</v>
      </c>
      <c r="B134" s="5" t="s">
        <v>310</v>
      </c>
      <c r="C134" s="5" t="s">
        <v>311</v>
      </c>
      <c r="D134" s="6">
        <v>35622</v>
      </c>
      <c r="E134" s="7">
        <v>1816406000000</v>
      </c>
      <c r="F134" s="7">
        <v>1868966000000</v>
      </c>
      <c r="G134" s="7">
        <v>2011557000000</v>
      </c>
      <c r="H134" s="8">
        <v>1761634000000</v>
      </c>
      <c r="I134" s="8">
        <v>1826350000000</v>
      </c>
      <c r="J134" s="16">
        <v>-123513000000</v>
      </c>
      <c r="K134" s="7">
        <v>1134776000000</v>
      </c>
      <c r="L134" s="7">
        <v>1204972000000</v>
      </c>
      <c r="M134" s="8">
        <v>5762000000</v>
      </c>
      <c r="N134" s="8">
        <v>-62359000000</v>
      </c>
      <c r="O134" s="38"/>
      <c r="P134" s="38"/>
      <c r="Q134" s="38"/>
      <c r="R134" s="39"/>
      <c r="S134" s="39"/>
      <c r="T134" s="9">
        <v>3218600000</v>
      </c>
      <c r="U134" s="9">
        <v>3218600000</v>
      </c>
      <c r="V134" s="9">
        <v>9311800000</v>
      </c>
      <c r="W134" s="9">
        <v>9311800000</v>
      </c>
      <c r="X134" s="9">
        <v>9311800000</v>
      </c>
    </row>
    <row r="135" spans="1:24" x14ac:dyDescent="0.25">
      <c r="A135" s="5">
        <v>80</v>
      </c>
      <c r="B135" s="5" t="s">
        <v>312</v>
      </c>
      <c r="C135" s="5" t="s">
        <v>313</v>
      </c>
      <c r="D135" s="6">
        <v>41100</v>
      </c>
      <c r="E135" s="7">
        <v>1109843522344</v>
      </c>
      <c r="F135" s="7">
        <v>1103450087164</v>
      </c>
      <c r="G135" s="7">
        <v>1105874415256</v>
      </c>
      <c r="H135" s="8">
        <v>1089208965375</v>
      </c>
      <c r="I135" s="8">
        <v>1023323308935</v>
      </c>
      <c r="J135" s="16">
        <v>-33021220862</v>
      </c>
      <c r="K135" s="16">
        <v>-7383289239</v>
      </c>
      <c r="L135" s="16">
        <v>-10506939189</v>
      </c>
      <c r="M135" s="18">
        <v>-8932197718</v>
      </c>
      <c r="N135" s="18">
        <v>-16129026748</v>
      </c>
      <c r="O135" s="38"/>
      <c r="P135" s="38"/>
      <c r="Q135" s="38"/>
      <c r="R135" s="39"/>
      <c r="S135" s="39"/>
      <c r="T135" s="9">
        <v>2191870558</v>
      </c>
      <c r="U135" s="9">
        <v>2191870558</v>
      </c>
      <c r="V135" s="9">
        <v>2191870558</v>
      </c>
      <c r="W135" s="9">
        <v>2191870558</v>
      </c>
      <c r="X135" s="9">
        <v>2191870558</v>
      </c>
    </row>
    <row r="136" spans="1:24" x14ac:dyDescent="0.25">
      <c r="A136" s="5">
        <v>81</v>
      </c>
      <c r="B136" s="5" t="s">
        <v>314</v>
      </c>
      <c r="C136" s="5" t="s">
        <v>315</v>
      </c>
      <c r="D136" s="6">
        <v>38121</v>
      </c>
      <c r="E136" s="7">
        <v>5165236468705</v>
      </c>
      <c r="F136" s="7">
        <v>4975248130342</v>
      </c>
      <c r="G136" s="7">
        <v>4223727970626</v>
      </c>
      <c r="H136" s="8">
        <v>4173043810054</v>
      </c>
      <c r="I136" s="8">
        <v>4142039803861</v>
      </c>
      <c r="J136" s="7">
        <v>76001730866</v>
      </c>
      <c r="K136" s="16">
        <v>-83843800594</v>
      </c>
      <c r="L136" s="16">
        <v>-509507890912</v>
      </c>
      <c r="M136" s="18">
        <v>-106511989327</v>
      </c>
      <c r="N136" s="18">
        <v>-133469253051</v>
      </c>
      <c r="O136" s="38"/>
      <c r="P136" s="38"/>
      <c r="Q136" s="38"/>
      <c r="R136" s="39"/>
      <c r="S136" s="39"/>
      <c r="T136" s="9">
        <v>46277496376</v>
      </c>
      <c r="U136" s="9">
        <v>46277496376</v>
      </c>
      <c r="V136" s="9">
        <v>46277496376</v>
      </c>
      <c r="W136" s="9">
        <v>46277496376</v>
      </c>
      <c r="X136" s="9">
        <v>46277496376</v>
      </c>
    </row>
    <row r="137" spans="1:24" x14ac:dyDescent="0.25">
      <c r="A137" s="5">
        <v>82</v>
      </c>
      <c r="B137" s="5" t="s">
        <v>318</v>
      </c>
      <c r="C137" s="5" t="s">
        <v>319</v>
      </c>
      <c r="D137" s="6">
        <v>43088</v>
      </c>
      <c r="E137" s="7">
        <v>1004275813783</v>
      </c>
      <c r="F137" s="7">
        <v>1057529235986</v>
      </c>
      <c r="G137" s="7">
        <v>1086873666641</v>
      </c>
      <c r="H137" s="8">
        <v>1146235578463</v>
      </c>
      <c r="I137" s="8">
        <v>1074777460412</v>
      </c>
      <c r="J137" s="7">
        <v>61947295689</v>
      </c>
      <c r="K137" s="7">
        <v>76758829457</v>
      </c>
      <c r="L137" s="7">
        <v>44045828312</v>
      </c>
      <c r="M137" s="8">
        <v>99278807290</v>
      </c>
      <c r="N137" s="8">
        <v>121257336904</v>
      </c>
      <c r="O137" s="7">
        <v>17665000000</v>
      </c>
      <c r="P137" s="7">
        <v>25011250011</v>
      </c>
      <c r="Q137" s="38"/>
      <c r="R137" s="9">
        <v>41195000000</v>
      </c>
      <c r="S137" s="9">
        <v>205975000000</v>
      </c>
      <c r="T137" s="10">
        <v>5885000000</v>
      </c>
      <c r="U137" s="10">
        <v>5885000000</v>
      </c>
      <c r="V137" s="10">
        <v>5885000000</v>
      </c>
      <c r="W137" s="10">
        <v>5885000000</v>
      </c>
      <c r="X137" s="10">
        <v>5885000000</v>
      </c>
    </row>
    <row r="138" spans="1:24" x14ac:dyDescent="0.25">
      <c r="A138" s="5">
        <v>83</v>
      </c>
      <c r="B138" s="5" t="s">
        <v>322</v>
      </c>
      <c r="C138" s="5" t="s">
        <v>323</v>
      </c>
      <c r="D138" s="6">
        <v>42860</v>
      </c>
      <c r="E138" s="7">
        <v>833933861594</v>
      </c>
      <c r="F138" s="7">
        <v>1245144303719</v>
      </c>
      <c r="G138" s="7">
        <v>1310940121622</v>
      </c>
      <c r="H138" s="8">
        <v>1348181576913</v>
      </c>
      <c r="I138" s="8">
        <v>1693523611414</v>
      </c>
      <c r="J138" s="7">
        <v>63261752474</v>
      </c>
      <c r="K138" s="7">
        <v>130756461708</v>
      </c>
      <c r="L138" s="7">
        <v>132772234495</v>
      </c>
      <c r="M138" s="8">
        <v>180711667020</v>
      </c>
      <c r="N138" s="8">
        <v>195598848689</v>
      </c>
      <c r="O138" s="38"/>
      <c r="P138" s="38"/>
      <c r="Q138" s="38"/>
      <c r="R138" s="9">
        <v>59883719000</v>
      </c>
      <c r="S138" s="9">
        <v>11959987600</v>
      </c>
      <c r="T138" s="10">
        <v>12000000000</v>
      </c>
      <c r="U138" s="10">
        <v>12000000000</v>
      </c>
      <c r="V138" s="10">
        <v>12000000000</v>
      </c>
      <c r="W138" s="10">
        <v>12000000000</v>
      </c>
      <c r="X138" s="8">
        <v>12000000000</v>
      </c>
    </row>
    <row r="139" spans="1:24" x14ac:dyDescent="0.25">
      <c r="A139" s="5">
        <v>84</v>
      </c>
      <c r="B139" s="53" t="s">
        <v>346</v>
      </c>
      <c r="C139" s="54" t="s">
        <v>347</v>
      </c>
      <c r="D139" s="6">
        <v>37543</v>
      </c>
      <c r="E139" s="9">
        <v>298090648072</v>
      </c>
      <c r="F139" s="7">
        <v>384481206140</v>
      </c>
      <c r="G139" s="9">
        <v>343139482249</v>
      </c>
      <c r="H139" s="8">
        <v>299295229177</v>
      </c>
      <c r="I139" s="8">
        <v>251669253000</v>
      </c>
      <c r="J139" s="22">
        <v>-15074081977</v>
      </c>
      <c r="K139" s="7">
        <v>85544158340</v>
      </c>
      <c r="L139" s="22">
        <v>-41519336887</v>
      </c>
      <c r="M139" s="8">
        <v>-43537325070</v>
      </c>
      <c r="N139" s="8">
        <v>-47999640044</v>
      </c>
      <c r="O139" s="39"/>
      <c r="P139" s="38"/>
      <c r="Q139" s="39"/>
      <c r="R139" s="39"/>
      <c r="S139" s="39"/>
      <c r="T139" s="9">
        <v>33600000000</v>
      </c>
      <c r="U139" s="9">
        <v>33600000000</v>
      </c>
      <c r="V139" s="9">
        <v>33600000000</v>
      </c>
      <c r="W139" s="9">
        <v>33600000000</v>
      </c>
      <c r="X139" s="9">
        <v>33600000000</v>
      </c>
    </row>
    <row r="140" spans="1:24" x14ac:dyDescent="0.25">
      <c r="A140" s="5">
        <v>85</v>
      </c>
      <c r="B140" s="5" t="s">
        <v>356</v>
      </c>
      <c r="C140" s="5" t="s">
        <v>357</v>
      </c>
      <c r="D140" s="6">
        <v>41828</v>
      </c>
      <c r="E140" s="7">
        <v>204476568540</v>
      </c>
      <c r="F140" s="7">
        <v>88838496383</v>
      </c>
      <c r="G140" s="7">
        <v>6805984418</v>
      </c>
      <c r="H140" s="8">
        <v>139772224977</v>
      </c>
      <c r="I140" s="8">
        <v>136631700935</v>
      </c>
      <c r="J140" s="16">
        <v>-36887821525</v>
      </c>
      <c r="K140" s="16">
        <v>-121648352901</v>
      </c>
      <c r="L140" s="7">
        <v>56505757661</v>
      </c>
      <c r="M140" s="8">
        <v>-25934090712</v>
      </c>
      <c r="N140" s="23">
        <v>-11779760852</v>
      </c>
      <c r="O140" s="38"/>
      <c r="P140" s="38"/>
      <c r="Q140" s="38"/>
      <c r="R140" s="39"/>
      <c r="S140" s="39"/>
      <c r="T140" s="9">
        <v>1003080977</v>
      </c>
      <c r="U140" s="9">
        <v>1003080977</v>
      </c>
      <c r="V140" s="9">
        <v>1003080977</v>
      </c>
      <c r="W140" s="9">
        <v>1003080977</v>
      </c>
      <c r="X140" s="9">
        <v>3410475322</v>
      </c>
    </row>
    <row r="141" spans="1:24" x14ac:dyDescent="0.25">
      <c r="A141" s="5">
        <v>86</v>
      </c>
      <c r="B141" s="5" t="s">
        <v>358</v>
      </c>
      <c r="C141" s="5" t="s">
        <v>359</v>
      </c>
      <c r="D141" s="6">
        <v>34351</v>
      </c>
      <c r="E141" s="7">
        <v>2889501000000</v>
      </c>
      <c r="F141" s="7">
        <v>2896950000000</v>
      </c>
      <c r="G141" s="9">
        <v>2907425000000</v>
      </c>
      <c r="H141" s="17">
        <v>2922017000000</v>
      </c>
      <c r="I141" s="17">
        <v>3374502000000</v>
      </c>
      <c r="J141" s="7">
        <v>1224807000000</v>
      </c>
      <c r="K141" s="7">
        <v>1206059000000</v>
      </c>
      <c r="L141" s="9">
        <v>285617000000</v>
      </c>
      <c r="M141" s="17">
        <v>665850000000</v>
      </c>
      <c r="N141" s="17">
        <v>924906000000</v>
      </c>
      <c r="O141" s="7">
        <f>1125138000000+272000000</f>
        <v>1125410000000</v>
      </c>
      <c r="P141" s="7">
        <v>1228603000000</v>
      </c>
      <c r="Q141" s="39"/>
      <c r="R141" s="9">
        <v>1000913000000</v>
      </c>
      <c r="S141" s="9">
        <f>951205000000+27000000</f>
        <v>951232000000</v>
      </c>
      <c r="T141" s="9">
        <v>2107000000</v>
      </c>
      <c r="U141" s="9">
        <v>2107000000</v>
      </c>
      <c r="V141" s="9">
        <v>2107000000</v>
      </c>
      <c r="W141" s="9">
        <v>2107000000</v>
      </c>
      <c r="X141" s="17">
        <v>2107000000</v>
      </c>
    </row>
    <row r="142" spans="1:24" x14ac:dyDescent="0.25">
      <c r="A142" s="5">
        <v>87</v>
      </c>
      <c r="B142" s="5" t="s">
        <v>364</v>
      </c>
      <c r="C142" s="5" t="s">
        <v>365</v>
      </c>
      <c r="D142" s="6">
        <v>43361</v>
      </c>
      <c r="E142" s="7">
        <v>149593161546</v>
      </c>
      <c r="F142" s="7">
        <v>119708955785</v>
      </c>
      <c r="G142" s="7">
        <v>112591210595</v>
      </c>
      <c r="H142" s="7">
        <v>13296259876000</v>
      </c>
      <c r="I142" s="7">
        <v>15938444031000</v>
      </c>
      <c r="J142" s="7">
        <v>1175166829</v>
      </c>
      <c r="K142" s="16">
        <v>-727591568</v>
      </c>
      <c r="L142" s="16">
        <v>-539926618</v>
      </c>
      <c r="M142" s="7">
        <v>1680076000</v>
      </c>
      <c r="N142" s="7">
        <v>288311135000</v>
      </c>
      <c r="O142" s="21"/>
      <c r="P142" s="21"/>
      <c r="Q142" s="21"/>
      <c r="R142" s="39"/>
      <c r="S142" s="39"/>
      <c r="T142" s="10">
        <v>410000000</v>
      </c>
      <c r="U142" s="10">
        <v>410000000</v>
      </c>
      <c r="V142" s="10">
        <v>410000000</v>
      </c>
      <c r="W142" s="10">
        <v>410000000</v>
      </c>
      <c r="X142" s="17">
        <v>13530000000</v>
      </c>
    </row>
    <row r="143" spans="1:24" x14ac:dyDescent="0.25">
      <c r="A143" s="5">
        <v>88</v>
      </c>
      <c r="B143" s="5" t="s">
        <v>366</v>
      </c>
      <c r="C143" s="5" t="s">
        <v>367</v>
      </c>
      <c r="D143" s="6">
        <v>43098</v>
      </c>
      <c r="E143" s="7">
        <v>117423511774</v>
      </c>
      <c r="F143" s="7">
        <v>124735506556</v>
      </c>
      <c r="G143" s="7">
        <v>103351122210</v>
      </c>
      <c r="H143" s="7">
        <v>100382982900</v>
      </c>
      <c r="I143" s="7">
        <v>102809758188</v>
      </c>
      <c r="J143" s="16">
        <v>-8385167515</v>
      </c>
      <c r="K143" s="16">
        <v>-10257599104</v>
      </c>
      <c r="L143" s="16">
        <v>-15957991606</v>
      </c>
      <c r="M143" s="7">
        <v>1278943528</v>
      </c>
      <c r="N143" s="7">
        <v>4932754628</v>
      </c>
      <c r="O143" s="21"/>
      <c r="P143" s="21"/>
      <c r="Q143" s="21"/>
      <c r="R143" s="39"/>
      <c r="S143" s="39"/>
      <c r="T143" s="10">
        <v>1166666700</v>
      </c>
      <c r="U143" s="10">
        <v>1166666700</v>
      </c>
      <c r="V143" s="10">
        <v>1166666700</v>
      </c>
      <c r="W143" s="10">
        <v>1166666700</v>
      </c>
      <c r="X143" s="10">
        <v>1166666700</v>
      </c>
    </row>
    <row r="144" spans="1:24" x14ac:dyDescent="0.25">
      <c r="A144" s="5">
        <v>89</v>
      </c>
      <c r="B144" s="5" t="s">
        <v>370</v>
      </c>
      <c r="C144" s="5" t="s">
        <v>371</v>
      </c>
      <c r="D144" s="6">
        <v>34625</v>
      </c>
      <c r="E144" s="7">
        <v>697657400651</v>
      </c>
      <c r="F144" s="7">
        <v>763492320252</v>
      </c>
      <c r="G144" s="7">
        <v>765375539783</v>
      </c>
      <c r="H144" s="8">
        <v>707396790275</v>
      </c>
      <c r="I144" s="8">
        <v>705620167464</v>
      </c>
      <c r="J144" s="16">
        <v>-46599426588</v>
      </c>
      <c r="K144" s="16">
        <v>-25762573884</v>
      </c>
      <c r="L144" s="16">
        <v>-52304824027</v>
      </c>
      <c r="M144" s="18">
        <v>-82495584993</v>
      </c>
      <c r="N144" s="18">
        <v>-25834965122</v>
      </c>
      <c r="O144" s="7">
        <v>15358564525</v>
      </c>
      <c r="P144" s="7">
        <v>38561559075</v>
      </c>
      <c r="Q144" s="21"/>
      <c r="R144" s="39"/>
      <c r="S144" s="39"/>
      <c r="T144" s="9">
        <v>1440000000</v>
      </c>
      <c r="U144" s="9">
        <v>1440000000</v>
      </c>
      <c r="V144" s="9">
        <v>1440000000</v>
      </c>
      <c r="W144" s="9">
        <v>1440000000</v>
      </c>
      <c r="X144" s="9">
        <v>1440000000</v>
      </c>
    </row>
    <row r="145" spans="1:24" ht="14.25" customHeight="1" x14ac:dyDescent="0.25">
      <c r="A145" s="5">
        <v>90</v>
      </c>
      <c r="B145" s="5" t="s">
        <v>376</v>
      </c>
      <c r="C145" s="5" t="s">
        <v>377</v>
      </c>
      <c r="D145" s="6">
        <v>41180</v>
      </c>
      <c r="E145" s="7">
        <v>1771365972009</v>
      </c>
      <c r="F145" s="7">
        <v>1820383352811</v>
      </c>
      <c r="G145" s="7">
        <v>1768660546754</v>
      </c>
      <c r="H145" s="8">
        <v>1970428120056</v>
      </c>
      <c r="I145" s="8">
        <v>2042199577083</v>
      </c>
      <c r="J145" s="7">
        <v>15954632472</v>
      </c>
      <c r="K145" s="7">
        <v>957169058</v>
      </c>
      <c r="L145" s="7">
        <v>5415741808</v>
      </c>
      <c r="M145" s="8">
        <v>29707421605</v>
      </c>
      <c r="N145" s="8">
        <v>86635603936</v>
      </c>
      <c r="O145" s="38"/>
      <c r="P145" s="38"/>
      <c r="Q145" s="38"/>
      <c r="R145" s="9">
        <v>2076123860</v>
      </c>
      <c r="S145" s="8">
        <v>2076123860</v>
      </c>
      <c r="T145" s="9">
        <v>1726003217</v>
      </c>
      <c r="U145" s="9">
        <v>1726003217</v>
      </c>
      <c r="V145" s="9">
        <v>1726003217</v>
      </c>
      <c r="W145" s="10">
        <v>1726003217</v>
      </c>
      <c r="X145" s="8">
        <v>1730103217</v>
      </c>
    </row>
    <row r="146" spans="1:24" x14ac:dyDescent="0.25">
      <c r="A146" s="5">
        <v>91</v>
      </c>
      <c r="B146" s="5" t="s">
        <v>380</v>
      </c>
      <c r="C146" s="5" t="s">
        <v>381</v>
      </c>
      <c r="D146" s="6">
        <v>35415</v>
      </c>
      <c r="E146" s="7">
        <v>2631189810030</v>
      </c>
      <c r="F146" s="7">
        <v>2881563083954</v>
      </c>
      <c r="G146" s="7">
        <v>3448995059882</v>
      </c>
      <c r="H146" s="7">
        <v>3919243683748</v>
      </c>
      <c r="I146" s="7">
        <v>4590737849889</v>
      </c>
      <c r="J146" s="7">
        <v>255088886019</v>
      </c>
      <c r="K146" s="7">
        <v>482590522840</v>
      </c>
      <c r="L146" s="7">
        <v>628628879549</v>
      </c>
      <c r="M146" s="7">
        <v>617573766863</v>
      </c>
      <c r="N146" s="7">
        <v>624524005786</v>
      </c>
      <c r="O146" s="38"/>
      <c r="P146" s="38"/>
      <c r="Q146" s="7">
        <v>100005400000</v>
      </c>
      <c r="R146" s="39"/>
      <c r="S146" s="39"/>
      <c r="T146" s="9">
        <v>1310000000</v>
      </c>
      <c r="U146" s="9">
        <v>1310000000</v>
      </c>
      <c r="V146" s="9">
        <v>1310000000</v>
      </c>
      <c r="W146" s="9">
        <v>1310000000</v>
      </c>
      <c r="X146" s="9">
        <v>1310000000</v>
      </c>
    </row>
    <row r="147" spans="1:24" x14ac:dyDescent="0.25">
      <c r="A147" s="5">
        <v>92</v>
      </c>
      <c r="B147" s="5" t="s">
        <v>392</v>
      </c>
      <c r="C147" s="5" t="s">
        <v>393</v>
      </c>
      <c r="D147" s="6">
        <v>33112</v>
      </c>
      <c r="E147" s="7">
        <v>69097219000000</v>
      </c>
      <c r="F147" s="7">
        <v>78647274000000</v>
      </c>
      <c r="G147" s="7">
        <v>78191409000000</v>
      </c>
      <c r="H147" s="8">
        <v>89964369000000</v>
      </c>
      <c r="I147" s="8">
        <v>88562617000000</v>
      </c>
      <c r="J147" s="7">
        <v>7793068000000</v>
      </c>
      <c r="K147" s="7">
        <v>10880704000000</v>
      </c>
      <c r="L147" s="7">
        <v>7647729000000</v>
      </c>
      <c r="M147" s="8">
        <v>5605321000000</v>
      </c>
      <c r="N147" s="8">
        <v>2779742000000</v>
      </c>
      <c r="O147" s="7">
        <v>5015990000000</v>
      </c>
      <c r="P147" s="7">
        <v>5002629000000</v>
      </c>
      <c r="Q147" s="38"/>
      <c r="R147" s="7">
        <v>5002629000000</v>
      </c>
      <c r="S147" s="9">
        <v>4329198000000</v>
      </c>
      <c r="T147" s="9">
        <v>1924088000</v>
      </c>
      <c r="U147" s="9">
        <v>1924088000</v>
      </c>
      <c r="V147" s="9">
        <v>1924088000</v>
      </c>
      <c r="W147" s="9">
        <v>1924088000</v>
      </c>
      <c r="X147" s="9">
        <v>1924088000</v>
      </c>
    </row>
    <row r="148" spans="1:24" x14ac:dyDescent="0.25">
      <c r="A148" s="5">
        <v>93</v>
      </c>
      <c r="B148" s="5" t="s">
        <v>398</v>
      </c>
      <c r="C148" s="5" t="s">
        <v>399</v>
      </c>
      <c r="D148" s="6">
        <v>41261</v>
      </c>
      <c r="E148" s="7">
        <v>1255573914558</v>
      </c>
      <c r="F148" s="7">
        <v>1299521608556</v>
      </c>
      <c r="G148" s="7">
        <v>1614442007528</v>
      </c>
      <c r="H148" s="8">
        <v>1891169731202</v>
      </c>
      <c r="I148" s="8">
        <v>2168793843296</v>
      </c>
      <c r="J148" s="7">
        <v>51142850919</v>
      </c>
      <c r="K148" s="7">
        <v>27328091481</v>
      </c>
      <c r="L148" s="7">
        <v>172506562986</v>
      </c>
      <c r="M148" s="8">
        <v>176877010231</v>
      </c>
      <c r="N148" s="8">
        <v>249644129079</v>
      </c>
      <c r="O148" s="21"/>
      <c r="P148" s="7">
        <v>5262051350</v>
      </c>
      <c r="Q148" s="7">
        <v>7396640460</v>
      </c>
      <c r="R148" s="9">
        <v>43107835060</v>
      </c>
      <c r="S148" s="8">
        <v>45442956384</v>
      </c>
      <c r="T148" s="9">
        <v>2099873760</v>
      </c>
      <c r="U148" s="9">
        <v>2099873760</v>
      </c>
      <c r="V148" s="9">
        <v>2099873760</v>
      </c>
      <c r="W148" s="10">
        <v>2099873760</v>
      </c>
      <c r="X148" s="8">
        <v>2099873760</v>
      </c>
    </row>
    <row r="149" spans="1:24" x14ac:dyDescent="0.25">
      <c r="A149" s="5">
        <v>94</v>
      </c>
      <c r="B149" s="5" t="s">
        <v>402</v>
      </c>
      <c r="C149" s="5" t="s">
        <v>403</v>
      </c>
      <c r="D149" s="6">
        <v>36998</v>
      </c>
      <c r="E149" s="7">
        <v>1442350608575</v>
      </c>
      <c r="F149" s="7">
        <v>1383935194386</v>
      </c>
      <c r="G149" s="7">
        <v>1713334658849</v>
      </c>
      <c r="H149" s="8">
        <v>2011879396142</v>
      </c>
      <c r="I149" s="8">
        <v>1534000446508</v>
      </c>
      <c r="J149" s="16">
        <v>-32736482313</v>
      </c>
      <c r="K149" s="7">
        <v>7961966026</v>
      </c>
      <c r="L149" s="7">
        <v>30020709</v>
      </c>
      <c r="M149" s="18">
        <v>-37571241226</v>
      </c>
      <c r="N149" s="18">
        <v>-428487671595</v>
      </c>
      <c r="O149" s="21"/>
      <c r="P149" s="21"/>
      <c r="Q149" s="21"/>
      <c r="R149" s="39"/>
      <c r="S149" s="39"/>
      <c r="T149" s="9">
        <v>3099267500</v>
      </c>
      <c r="U149" s="9">
        <v>3099267500</v>
      </c>
      <c r="V149" s="9">
        <v>3099267500</v>
      </c>
      <c r="W149" s="10">
        <v>3099267500</v>
      </c>
      <c r="X149" s="10">
        <v>3099267500</v>
      </c>
    </row>
    <row r="150" spans="1:24" x14ac:dyDescent="0.25">
      <c r="A150" s="5">
        <v>95</v>
      </c>
      <c r="B150" s="5" t="s">
        <v>408</v>
      </c>
      <c r="C150" s="5" t="s">
        <v>409</v>
      </c>
      <c r="D150" s="6">
        <v>29790</v>
      </c>
      <c r="E150" s="7">
        <v>1263113689000</v>
      </c>
      <c r="F150" s="7">
        <v>901060986000</v>
      </c>
      <c r="G150" s="9">
        <v>929901046000</v>
      </c>
      <c r="H150" s="8">
        <v>1026266866000</v>
      </c>
      <c r="I150" s="8">
        <v>1037647240000</v>
      </c>
      <c r="J150" s="7">
        <v>1163324165000</v>
      </c>
      <c r="K150" s="7">
        <v>78256797000</v>
      </c>
      <c r="L150" s="9">
        <v>71902263000</v>
      </c>
      <c r="M150" s="8">
        <v>131660834000</v>
      </c>
      <c r="N150" s="8">
        <v>179837759000</v>
      </c>
      <c r="O150" s="7">
        <v>1265600000000</v>
      </c>
      <c r="P150" s="21"/>
      <c r="Q150" s="9">
        <v>58240000000</v>
      </c>
      <c r="R150" s="39"/>
      <c r="S150" s="39"/>
      <c r="T150" s="9">
        <v>448000000</v>
      </c>
      <c r="U150" s="9">
        <v>448000000</v>
      </c>
      <c r="V150" s="9">
        <v>448000000</v>
      </c>
      <c r="W150" s="9">
        <v>448000000</v>
      </c>
      <c r="X150" s="9">
        <v>448000000</v>
      </c>
    </row>
    <row r="151" spans="1:24" x14ac:dyDescent="0.25">
      <c r="A151" s="5">
        <v>96</v>
      </c>
      <c r="B151" s="5" t="s">
        <v>412</v>
      </c>
      <c r="C151" s="5" t="s">
        <v>413</v>
      </c>
      <c r="D151" s="6">
        <v>37180</v>
      </c>
      <c r="E151" s="7">
        <v>187057163854</v>
      </c>
      <c r="F151" s="7">
        <v>190786208250</v>
      </c>
      <c r="G151" s="9">
        <v>228575380866</v>
      </c>
      <c r="H151" s="17">
        <v>806221575272</v>
      </c>
      <c r="I151" s="17">
        <v>1520568653644</v>
      </c>
      <c r="J151" s="7">
        <v>8447447988</v>
      </c>
      <c r="K151" s="7">
        <v>9342718039</v>
      </c>
      <c r="L151" s="9">
        <v>22104364267</v>
      </c>
      <c r="M151" s="17">
        <v>5478952440</v>
      </c>
      <c r="N151" s="17">
        <v>275472011358</v>
      </c>
      <c r="O151" s="21"/>
      <c r="P151" s="7">
        <v>2140320000</v>
      </c>
      <c r="Q151" s="15"/>
      <c r="R151" s="39"/>
      <c r="S151" s="39"/>
      <c r="T151" s="10">
        <v>535080000</v>
      </c>
      <c r="U151" s="10">
        <v>535080000</v>
      </c>
      <c r="V151" s="9">
        <v>535080000</v>
      </c>
      <c r="W151" s="9">
        <v>535080000</v>
      </c>
      <c r="X151" s="9">
        <v>535080000</v>
      </c>
    </row>
    <row r="152" spans="1:24" x14ac:dyDescent="0.25">
      <c r="A152" s="5">
        <v>97</v>
      </c>
      <c r="B152" s="5" t="s">
        <v>414</v>
      </c>
      <c r="C152" s="5" t="s">
        <v>415</v>
      </c>
      <c r="D152" s="6">
        <v>33032</v>
      </c>
      <c r="E152" s="7">
        <v>1635702779000</v>
      </c>
      <c r="F152" s="7">
        <v>1417704185000</v>
      </c>
      <c r="G152" s="7">
        <v>1598281523000</v>
      </c>
      <c r="H152" s="17">
        <v>1212160543000</v>
      </c>
      <c r="I152" s="17">
        <v>1361427269000</v>
      </c>
      <c r="J152" s="7">
        <v>127091642000</v>
      </c>
      <c r="K152" s="7">
        <v>112652526000</v>
      </c>
      <c r="L152" s="7">
        <v>218362874000</v>
      </c>
      <c r="M152" s="17">
        <v>118691582000</v>
      </c>
      <c r="N152" s="17">
        <v>174782102000</v>
      </c>
      <c r="O152" s="21"/>
      <c r="P152" s="21"/>
      <c r="Q152" s="21"/>
      <c r="R152" s="39"/>
      <c r="S152" s="9">
        <v>162000000</v>
      </c>
      <c r="T152" s="10">
        <v>3600000</v>
      </c>
      <c r="U152" s="10">
        <v>3600000</v>
      </c>
      <c r="V152" s="9">
        <v>3600000</v>
      </c>
      <c r="W152" s="9">
        <v>3600000</v>
      </c>
      <c r="X152" s="9">
        <v>3600000</v>
      </c>
    </row>
    <row r="153" spans="1:24" x14ac:dyDescent="0.25">
      <c r="A153" s="5">
        <v>98</v>
      </c>
      <c r="B153" s="5" t="s">
        <v>426</v>
      </c>
      <c r="C153" s="5" t="s">
        <v>427</v>
      </c>
      <c r="D153" s="6">
        <v>42349</v>
      </c>
      <c r="E153" s="7">
        <v>3592164205408</v>
      </c>
      <c r="F153" s="7">
        <v>4695764958883</v>
      </c>
      <c r="G153" s="7">
        <v>5255359155031</v>
      </c>
      <c r="H153" s="8">
        <v>5346062152770</v>
      </c>
      <c r="I153" s="8">
        <v>4676372045095</v>
      </c>
      <c r="J153" s="7">
        <v>150116045042</v>
      </c>
      <c r="K153" s="7">
        <v>515603339649</v>
      </c>
      <c r="L153" s="7">
        <v>113665219638</v>
      </c>
      <c r="M153" s="8">
        <v>97819911970</v>
      </c>
      <c r="N153" s="18">
        <v>-950288973938</v>
      </c>
      <c r="O153" s="7">
        <v>38571430500</v>
      </c>
      <c r="P153" s="7">
        <v>81428575500</v>
      </c>
      <c r="Q153" s="7">
        <v>147142864500</v>
      </c>
      <c r="R153" s="39"/>
      <c r="S153" s="9">
        <v>14452611445</v>
      </c>
      <c r="T153" s="10">
        <v>1428571500</v>
      </c>
      <c r="U153" s="10">
        <v>1428571500</v>
      </c>
      <c r="V153" s="9">
        <v>1428571500</v>
      </c>
      <c r="W153" s="9">
        <v>1428571500</v>
      </c>
      <c r="X153" s="9">
        <v>1378818900</v>
      </c>
    </row>
    <row r="154" spans="1:24" x14ac:dyDescent="0.25">
      <c r="A154" s="5">
        <v>99</v>
      </c>
      <c r="B154" s="5" t="s">
        <v>430</v>
      </c>
      <c r="C154" s="5" t="s">
        <v>431</v>
      </c>
      <c r="D154" s="6">
        <v>40556</v>
      </c>
      <c r="E154" s="7">
        <v>648016880325</v>
      </c>
      <c r="F154" s="7">
        <v>591063928037</v>
      </c>
      <c r="G154" s="7">
        <v>982882686217</v>
      </c>
      <c r="H154" s="8">
        <v>713520658807</v>
      </c>
      <c r="I154" s="8">
        <v>721703608823</v>
      </c>
      <c r="J154" s="16">
        <v>-114131026847</v>
      </c>
      <c r="K154" s="16">
        <v>-66945894110</v>
      </c>
      <c r="L154" s="16">
        <v>-203214931752</v>
      </c>
      <c r="M154" s="18">
        <v>-149735541904</v>
      </c>
      <c r="N154" s="18">
        <v>-42426805953</v>
      </c>
      <c r="O154" s="21"/>
      <c r="P154" s="21"/>
      <c r="Q154" s="21"/>
      <c r="R154" s="39"/>
      <c r="S154" s="39"/>
      <c r="T154" s="10">
        <v>107000000</v>
      </c>
      <c r="U154" s="10">
        <v>1070000000</v>
      </c>
      <c r="V154" s="9">
        <v>1070000000</v>
      </c>
      <c r="W154" s="9">
        <v>1070000000</v>
      </c>
      <c r="X154" s="9">
        <v>1070000000</v>
      </c>
    </row>
    <row r="155" spans="1:24" x14ac:dyDescent="0.25">
      <c r="A155" s="5">
        <v>100</v>
      </c>
      <c r="B155" s="5" t="s">
        <v>432</v>
      </c>
      <c r="C155" s="5" t="s">
        <v>433</v>
      </c>
      <c r="D155" s="6">
        <v>34907</v>
      </c>
      <c r="E155" s="7">
        <v>511887783867</v>
      </c>
      <c r="F155" s="7">
        <v>532762947995</v>
      </c>
      <c r="G155" s="7">
        <v>559795937451</v>
      </c>
      <c r="H155" s="7">
        <v>578260975588</v>
      </c>
      <c r="I155" s="7">
        <v>694780597799</v>
      </c>
      <c r="J155" s="16">
        <v>-2256476497</v>
      </c>
      <c r="K155" s="7">
        <v>131836668</v>
      </c>
      <c r="L155" s="16">
        <v>-6766719891</v>
      </c>
      <c r="M155" s="7">
        <v>357509551</v>
      </c>
      <c r="N155" s="7">
        <v>67812034137</v>
      </c>
      <c r="O155" s="21"/>
      <c r="P155" s="21"/>
      <c r="Q155" s="21"/>
      <c r="R155" s="39"/>
      <c r="S155" s="39"/>
      <c r="T155" s="10">
        <v>428000000</v>
      </c>
      <c r="U155" s="10">
        <v>428000000</v>
      </c>
      <c r="V155" s="9">
        <v>428000000</v>
      </c>
      <c r="W155" s="9">
        <v>428000000</v>
      </c>
      <c r="X155" s="9">
        <v>428000000</v>
      </c>
    </row>
    <row r="156" spans="1:24" x14ac:dyDescent="0.25">
      <c r="A156" s="5">
        <v>101</v>
      </c>
      <c r="B156" s="5" t="s">
        <v>436</v>
      </c>
      <c r="C156" s="5" t="s">
        <v>437</v>
      </c>
      <c r="D156" s="6">
        <v>34235</v>
      </c>
      <c r="E156" s="7">
        <v>2445143511801</v>
      </c>
      <c r="F156" s="7">
        <v>2551192620939</v>
      </c>
      <c r="G156" s="7">
        <v>2314790056002</v>
      </c>
      <c r="H156" s="8">
        <v>2300804864960</v>
      </c>
      <c r="I156" s="17">
        <v>2380657918106</v>
      </c>
      <c r="J156" s="7">
        <v>173049442756</v>
      </c>
      <c r="K156" s="7">
        <v>145149344561</v>
      </c>
      <c r="L156" s="16">
        <v>-54776587213</v>
      </c>
      <c r="M156" s="18">
        <v>-76507618777</v>
      </c>
      <c r="N156" s="17">
        <v>18109470352</v>
      </c>
      <c r="O156" s="7">
        <v>82437333470</v>
      </c>
      <c r="P156" s="7">
        <v>84448000140</v>
      </c>
      <c r="Q156" s="7">
        <v>84448000140</v>
      </c>
      <c r="R156" s="39"/>
      <c r="S156" s="39"/>
      <c r="T156" s="10">
        <v>201066667</v>
      </c>
      <c r="U156" s="10">
        <v>201066667</v>
      </c>
      <c r="V156" s="9">
        <v>201066667</v>
      </c>
      <c r="W156" s="9">
        <v>201066667</v>
      </c>
      <c r="X156" s="9">
        <v>201066667</v>
      </c>
    </row>
    <row r="157" spans="1:24" x14ac:dyDescent="0.25">
      <c r="A157" s="5">
        <v>102</v>
      </c>
      <c r="B157" s="5" t="s">
        <v>444</v>
      </c>
      <c r="C157" s="5" t="s">
        <v>445</v>
      </c>
      <c r="D157" s="6">
        <v>41817</v>
      </c>
      <c r="E157" s="7">
        <v>491382035136</v>
      </c>
      <c r="F157" s="7">
        <v>521493784876</v>
      </c>
      <c r="G157" s="7">
        <v>498020612974</v>
      </c>
      <c r="H157" s="8">
        <v>492697209711</v>
      </c>
      <c r="I157" s="8">
        <v>492056440058</v>
      </c>
      <c r="J157" s="7">
        <v>13554152161</v>
      </c>
      <c r="K157" s="7">
        <v>7221065916</v>
      </c>
      <c r="L157" s="7">
        <v>249076655</v>
      </c>
      <c r="M157" s="23">
        <v>-98210943293</v>
      </c>
      <c r="N157" s="23">
        <v>-7529603579</v>
      </c>
      <c r="O157" s="7">
        <v>8768550000</v>
      </c>
      <c r="P157" s="7">
        <v>3870200000</v>
      </c>
      <c r="Q157" s="7">
        <v>2900000000</v>
      </c>
      <c r="R157" s="39"/>
      <c r="S157" s="9">
        <v>1000000000</v>
      </c>
      <c r="T157" s="10">
        <v>1000000000</v>
      </c>
      <c r="U157" s="10">
        <v>1000000000</v>
      </c>
      <c r="V157" s="9">
        <v>1000000000</v>
      </c>
      <c r="W157" s="9">
        <v>1000000000</v>
      </c>
      <c r="X157" s="9">
        <v>1000000000</v>
      </c>
    </row>
    <row r="158" spans="1:24" x14ac:dyDescent="0.25">
      <c r="A158" s="5">
        <v>103</v>
      </c>
      <c r="B158" s="5" t="s">
        <v>448</v>
      </c>
      <c r="C158" s="5" t="s">
        <v>449</v>
      </c>
      <c r="D158" s="6">
        <v>34270</v>
      </c>
      <c r="E158" s="7">
        <v>154088747766</v>
      </c>
      <c r="F158" s="7">
        <v>152818996760</v>
      </c>
      <c r="G158" s="7">
        <v>157023139112</v>
      </c>
      <c r="H158" s="8">
        <v>185698138869</v>
      </c>
      <c r="I158" s="8">
        <v>181667554919</v>
      </c>
      <c r="J158" s="16">
        <v>-873742659</v>
      </c>
      <c r="K158" s="16">
        <v>-3172619509</v>
      </c>
      <c r="L158" s="16">
        <v>-10658558</v>
      </c>
      <c r="M158" s="8">
        <v>21701439355</v>
      </c>
      <c r="N158" s="8">
        <v>431268042</v>
      </c>
      <c r="O158" s="21"/>
      <c r="P158" s="21"/>
      <c r="Q158" s="21"/>
      <c r="R158" s="39"/>
      <c r="S158" s="39"/>
      <c r="T158" s="10">
        <v>276000000</v>
      </c>
      <c r="U158" s="10">
        <v>276000000</v>
      </c>
      <c r="V158" s="9">
        <v>276000000</v>
      </c>
      <c r="W158" s="9">
        <v>276000000</v>
      </c>
      <c r="X158" s="9">
        <v>276000000</v>
      </c>
    </row>
    <row r="159" spans="1:24" x14ac:dyDescent="0.25">
      <c r="A159" s="5">
        <v>104</v>
      </c>
      <c r="B159" s="5" t="s">
        <v>450</v>
      </c>
      <c r="C159" s="5" t="s">
        <v>451</v>
      </c>
      <c r="D159" s="6">
        <v>34624</v>
      </c>
      <c r="E159" s="7">
        <v>786704752983</v>
      </c>
      <c r="F159" s="7">
        <v>737642257697</v>
      </c>
      <c r="G159" s="7">
        <v>698252022979</v>
      </c>
      <c r="H159" s="17">
        <v>704070618412</v>
      </c>
      <c r="I159" s="17">
        <v>694287670534</v>
      </c>
      <c r="J159" s="16">
        <v>-46390704290</v>
      </c>
      <c r="K159" s="16">
        <v>-41669593909</v>
      </c>
      <c r="L159" s="16">
        <v>-41331271519</v>
      </c>
      <c r="M159" s="18">
        <v>-14362302768</v>
      </c>
      <c r="N159" s="17">
        <v>-24611113410</v>
      </c>
      <c r="O159" s="21"/>
      <c r="P159" s="21"/>
      <c r="Q159" s="21"/>
      <c r="R159" s="39"/>
      <c r="S159" s="39"/>
      <c r="T159" s="10">
        <v>1008517669</v>
      </c>
      <c r="U159" s="10">
        <v>1008517669</v>
      </c>
      <c r="V159" s="9">
        <v>1008517669</v>
      </c>
      <c r="W159" s="9">
        <v>1008517669</v>
      </c>
      <c r="X159" s="9">
        <v>1008517669</v>
      </c>
    </row>
    <row r="160" spans="1:24" ht="30" x14ac:dyDescent="0.25">
      <c r="A160" s="5">
        <v>105</v>
      </c>
      <c r="B160" s="5" t="s">
        <v>456</v>
      </c>
      <c r="C160" s="5" t="s">
        <v>457</v>
      </c>
      <c r="D160" s="6">
        <v>42907</v>
      </c>
      <c r="E160" s="7">
        <v>4588497407410</v>
      </c>
      <c r="F160" s="7">
        <v>5518890225060</v>
      </c>
      <c r="G160" s="7">
        <v>5949006786510</v>
      </c>
      <c r="H160" s="17">
        <v>6801034778630</v>
      </c>
      <c r="I160" s="17">
        <v>6956345266754</v>
      </c>
      <c r="J160" s="7">
        <v>242010106249</v>
      </c>
      <c r="K160" s="7">
        <v>218064313042</v>
      </c>
      <c r="L160" s="7">
        <v>314373402229</v>
      </c>
      <c r="M160" s="17">
        <v>535295612635</v>
      </c>
      <c r="N160" s="17">
        <v>177124125126</v>
      </c>
      <c r="O160" s="21"/>
      <c r="P160" s="21"/>
      <c r="Q160" s="21"/>
      <c r="R160" s="9">
        <v>15906250000</v>
      </c>
      <c r="S160" s="9">
        <v>15906250000</v>
      </c>
      <c r="T160" s="10">
        <v>6306250000</v>
      </c>
      <c r="U160" s="10">
        <v>6306250000</v>
      </c>
      <c r="V160" s="9">
        <v>6306250000</v>
      </c>
      <c r="W160" s="9">
        <v>6362500000</v>
      </c>
      <c r="X160" s="9">
        <v>6437500000</v>
      </c>
    </row>
    <row r="161" spans="1:24" x14ac:dyDescent="0.25">
      <c r="A161" s="5">
        <v>106</v>
      </c>
      <c r="B161" s="5" t="s">
        <v>462</v>
      </c>
      <c r="C161" s="5" t="s">
        <v>463</v>
      </c>
      <c r="D161" s="6">
        <v>42907</v>
      </c>
      <c r="E161" s="7">
        <v>1537031552479</v>
      </c>
      <c r="F161" s="7">
        <v>2311190054987</v>
      </c>
      <c r="G161" s="7">
        <v>2830686417461</v>
      </c>
      <c r="H161" s="17">
        <v>3478074220547</v>
      </c>
      <c r="I161" s="17">
        <v>3849086552639</v>
      </c>
      <c r="J161" s="7">
        <v>123393863438</v>
      </c>
      <c r="K161" s="7">
        <v>149990636633</v>
      </c>
      <c r="L161" s="7">
        <v>170679197734</v>
      </c>
      <c r="M161" s="17">
        <v>194432397219</v>
      </c>
      <c r="N161" s="17">
        <v>254127589783</v>
      </c>
      <c r="O161" s="7">
        <v>27631574400</v>
      </c>
      <c r="P161" s="21"/>
      <c r="Q161" s="21"/>
      <c r="R161" s="9">
        <v>36842099200</v>
      </c>
      <c r="S161" s="9">
        <v>46252624000</v>
      </c>
      <c r="T161" s="10">
        <v>4605262400</v>
      </c>
      <c r="U161" s="10">
        <v>4605262400</v>
      </c>
      <c r="V161" s="9">
        <v>4605262400</v>
      </c>
      <c r="W161" s="9">
        <v>4605262400</v>
      </c>
      <c r="X161" s="9">
        <v>4605262400</v>
      </c>
    </row>
  </sheetData>
  <mergeCells count="4">
    <mergeCell ref="E3:I3"/>
    <mergeCell ref="J3:N3"/>
    <mergeCell ref="O3:S3"/>
    <mergeCell ref="T3:X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73B14-E8CD-4A50-A8D6-CFFAAB2C19B7}">
  <dimension ref="A3:X53"/>
  <sheetViews>
    <sheetView workbookViewId="0">
      <selection activeCell="Y9" sqref="Y9"/>
    </sheetView>
  </sheetViews>
  <sheetFormatPr defaultRowHeight="15" x14ac:dyDescent="0.25"/>
  <cols>
    <col min="1" max="1" width="3.85546875" bestFit="1" customWidth="1"/>
    <col min="2" max="2" width="6.85546875" bestFit="1" customWidth="1"/>
    <col min="3" max="3" width="46.42578125" customWidth="1"/>
    <col min="4" max="4" width="14" customWidth="1"/>
    <col min="5" max="5" width="17.140625" hidden="1" customWidth="1"/>
    <col min="6" max="6" width="16" hidden="1" customWidth="1"/>
    <col min="7" max="11" width="18.140625" hidden="1" customWidth="1"/>
    <col min="12" max="14" width="17.140625" hidden="1" customWidth="1"/>
    <col min="15" max="16" width="16" hidden="1" customWidth="1"/>
    <col min="17" max="17" width="17.140625" hidden="1" customWidth="1"/>
    <col min="18" max="18" width="16" hidden="1" customWidth="1"/>
    <col min="19" max="19" width="17.140625" hidden="1" customWidth="1"/>
    <col min="20" max="24" width="14.42578125" hidden="1" customWidth="1"/>
  </cols>
  <sheetData>
    <row r="3" spans="1:24" x14ac:dyDescent="0.25">
      <c r="A3" s="1" t="s">
        <v>0</v>
      </c>
      <c r="B3" s="1" t="s">
        <v>1</v>
      </c>
      <c r="C3" s="2" t="s">
        <v>2</v>
      </c>
      <c r="D3" s="2" t="s">
        <v>3</v>
      </c>
      <c r="E3" s="95" t="s">
        <v>4</v>
      </c>
      <c r="F3" s="95"/>
      <c r="G3" s="95"/>
      <c r="H3" s="95"/>
      <c r="I3" s="95"/>
      <c r="J3" s="93" t="s">
        <v>5</v>
      </c>
      <c r="K3" s="93"/>
      <c r="L3" s="93"/>
      <c r="M3" s="93"/>
      <c r="N3" s="94"/>
      <c r="O3" s="93" t="s">
        <v>9</v>
      </c>
      <c r="P3" s="93"/>
      <c r="Q3" s="93"/>
      <c r="R3" s="93"/>
      <c r="S3" s="94"/>
      <c r="T3" s="93" t="s">
        <v>8</v>
      </c>
      <c r="U3" s="93"/>
      <c r="V3" s="93"/>
      <c r="W3" s="93"/>
      <c r="X3" s="94"/>
    </row>
    <row r="4" spans="1:24" x14ac:dyDescent="0.25">
      <c r="A4" s="3"/>
      <c r="B4" s="3"/>
      <c r="C4" s="3"/>
      <c r="D4" s="3"/>
      <c r="E4" s="3">
        <v>2018</v>
      </c>
      <c r="F4" s="3">
        <v>2019</v>
      </c>
      <c r="G4" s="4">
        <v>2020</v>
      </c>
      <c r="H4" s="4">
        <v>2021</v>
      </c>
      <c r="I4" s="4">
        <v>2022</v>
      </c>
      <c r="J4" s="3">
        <v>2018</v>
      </c>
      <c r="K4" s="3">
        <v>2019</v>
      </c>
      <c r="L4" s="4">
        <v>2020</v>
      </c>
      <c r="M4" s="4">
        <v>2021</v>
      </c>
      <c r="N4" s="4">
        <v>2022</v>
      </c>
      <c r="O4" s="3">
        <v>2018</v>
      </c>
      <c r="P4" s="3">
        <v>2019</v>
      </c>
      <c r="Q4" s="4">
        <v>2020</v>
      </c>
      <c r="R4" s="4">
        <v>2021</v>
      </c>
      <c r="S4" s="4">
        <v>2022</v>
      </c>
      <c r="T4" s="3">
        <v>2018</v>
      </c>
      <c r="U4" s="3">
        <v>2019</v>
      </c>
      <c r="V4" s="4">
        <v>2020</v>
      </c>
      <c r="W4" s="4">
        <v>2021</v>
      </c>
      <c r="X4" s="4">
        <v>2022</v>
      </c>
    </row>
    <row r="5" spans="1:24" x14ac:dyDescent="0.25">
      <c r="A5" s="5">
        <v>1</v>
      </c>
      <c r="B5" s="5" t="s">
        <v>10</v>
      </c>
      <c r="C5" s="5" t="s">
        <v>11</v>
      </c>
      <c r="D5" s="6">
        <v>32847</v>
      </c>
      <c r="E5" s="7">
        <v>27788562000000</v>
      </c>
      <c r="F5" s="7">
        <v>27707749000000</v>
      </c>
      <c r="G5" s="7">
        <v>27344672000000</v>
      </c>
      <c r="H5" s="7">
        <v>26136114000000</v>
      </c>
      <c r="I5" s="8">
        <v>25706169000000</v>
      </c>
      <c r="J5" s="7">
        <v>1145937000000</v>
      </c>
      <c r="K5" s="7">
        <v>1835305000000</v>
      </c>
      <c r="L5" s="7">
        <v>1806337000000</v>
      </c>
      <c r="M5" s="9">
        <v>1788496000000</v>
      </c>
      <c r="N5" s="8">
        <v>1842434000000</v>
      </c>
      <c r="O5" s="9">
        <v>2576862000000</v>
      </c>
      <c r="P5" s="9">
        <v>2024677000000</v>
      </c>
      <c r="Q5" s="9">
        <v>2668893000000</v>
      </c>
      <c r="R5" s="9">
        <v>1840616000000</v>
      </c>
      <c r="S5" s="9">
        <v>1740821000000</v>
      </c>
      <c r="T5" s="10">
        <v>3681231699</v>
      </c>
      <c r="U5" s="10">
        <v>3681231699</v>
      </c>
      <c r="V5" s="9">
        <v>3681231699</v>
      </c>
      <c r="W5" s="9">
        <v>3549811099</v>
      </c>
      <c r="X5" s="8">
        <v>3431073399</v>
      </c>
    </row>
    <row r="6" spans="1:24" x14ac:dyDescent="0.25">
      <c r="A6" s="5">
        <v>2</v>
      </c>
      <c r="B6" s="5" t="s">
        <v>18</v>
      </c>
      <c r="C6" s="5" t="s">
        <v>19</v>
      </c>
      <c r="D6" s="6">
        <v>33427</v>
      </c>
      <c r="E6" s="7">
        <v>51155890227000</v>
      </c>
      <c r="F6" s="7">
        <v>79807067000000</v>
      </c>
      <c r="G6" s="7">
        <v>78006244000000</v>
      </c>
      <c r="H6" s="8">
        <v>81766327000000</v>
      </c>
      <c r="I6" s="8">
        <v>82960012000000</v>
      </c>
      <c r="J6" s="7">
        <v>3085704236000</v>
      </c>
      <c r="K6" s="7">
        <v>2371233000000</v>
      </c>
      <c r="L6" s="7">
        <v>2674343000000</v>
      </c>
      <c r="M6" s="9">
        <v>2082347000000</v>
      </c>
      <c r="N6" s="17">
        <v>2499083000000</v>
      </c>
      <c r="O6" s="9">
        <v>82711000000</v>
      </c>
      <c r="P6" s="9">
        <v>1244948000000</v>
      </c>
      <c r="Q6" s="9">
        <v>254472000000</v>
      </c>
      <c r="R6" s="7">
        <v>1132829000000</v>
      </c>
      <c r="S6" s="8">
        <v>1064311000000</v>
      </c>
      <c r="T6" s="9">
        <v>5931520000</v>
      </c>
      <c r="U6" s="9">
        <v>5931520000</v>
      </c>
      <c r="V6" s="9">
        <v>5931520000</v>
      </c>
      <c r="W6" s="9">
        <v>5931520000</v>
      </c>
      <c r="X6" s="9">
        <v>6751540089</v>
      </c>
    </row>
    <row r="7" spans="1:24" x14ac:dyDescent="0.25">
      <c r="A7" s="5">
        <v>3</v>
      </c>
      <c r="B7" s="5" t="s">
        <v>24</v>
      </c>
      <c r="C7" s="5" t="s">
        <v>25</v>
      </c>
      <c r="D7" s="6">
        <v>42633</v>
      </c>
      <c r="E7" s="7">
        <v>8881778299672</v>
      </c>
      <c r="F7" s="7">
        <v>10337895087207</v>
      </c>
      <c r="G7" s="7">
        <v>8509017299594</v>
      </c>
      <c r="H7" s="8">
        <v>9082511044439</v>
      </c>
      <c r="I7" s="17">
        <v>9447528704261</v>
      </c>
      <c r="J7" s="7">
        <v>486640174453</v>
      </c>
      <c r="K7" s="7">
        <v>510711733403</v>
      </c>
      <c r="L7" s="7">
        <v>123147079420</v>
      </c>
      <c r="M7" s="8">
        <v>81433957569</v>
      </c>
      <c r="N7" s="17">
        <v>171060047099</v>
      </c>
      <c r="O7" s="9">
        <v>101143683915</v>
      </c>
      <c r="P7" s="9">
        <v>145937796276</v>
      </c>
      <c r="Q7" s="9">
        <v>128103935065</v>
      </c>
      <c r="R7" s="7">
        <v>25633343020</v>
      </c>
      <c r="S7" s="17">
        <v>16559386540</v>
      </c>
      <c r="T7" s="9">
        <v>8715466600</v>
      </c>
      <c r="U7" s="9">
        <v>8715466600</v>
      </c>
      <c r="V7" s="9">
        <v>8715466600</v>
      </c>
      <c r="W7" s="9">
        <v>8715466600</v>
      </c>
      <c r="X7" s="9">
        <v>8715466600</v>
      </c>
    </row>
    <row r="8" spans="1:24" x14ac:dyDescent="0.25">
      <c r="A8" s="5">
        <v>4</v>
      </c>
      <c r="B8" s="5" t="s">
        <v>30</v>
      </c>
      <c r="C8" s="5" t="s">
        <v>31</v>
      </c>
      <c r="D8" s="6">
        <v>37089</v>
      </c>
      <c r="E8" s="7">
        <v>1652905985730</v>
      </c>
      <c r="F8" s="7">
        <v>1799137069343</v>
      </c>
      <c r="G8" s="7">
        <v>1970340289520</v>
      </c>
      <c r="H8" s="8">
        <v>2243523072803</v>
      </c>
      <c r="I8" s="8">
        <v>2578868615545</v>
      </c>
      <c r="J8" s="7">
        <v>158207798602</v>
      </c>
      <c r="K8" s="7">
        <v>217675239509</v>
      </c>
      <c r="L8" s="7">
        <v>326241511507</v>
      </c>
      <c r="M8" s="17">
        <v>475983374390</v>
      </c>
      <c r="N8" s="8">
        <v>581557410601</v>
      </c>
      <c r="O8" s="9">
        <v>88406601712</v>
      </c>
      <c r="P8" s="9">
        <v>117715525216</v>
      </c>
      <c r="Q8" s="9">
        <v>161786542872</v>
      </c>
      <c r="R8" s="9">
        <v>219203851280</v>
      </c>
      <c r="S8" s="9">
        <v>328519240420</v>
      </c>
      <c r="T8" s="10">
        <v>7341430976</v>
      </c>
      <c r="U8" s="10">
        <v>7341430976</v>
      </c>
      <c r="V8" s="8">
        <v>7271198676</v>
      </c>
      <c r="W8" s="8">
        <v>7271198676</v>
      </c>
      <c r="X8" s="8">
        <v>7271198676</v>
      </c>
    </row>
    <row r="9" spans="1:24" x14ac:dyDescent="0.25">
      <c r="A9" s="5">
        <v>5</v>
      </c>
      <c r="B9" s="5" t="s">
        <v>36</v>
      </c>
      <c r="C9" s="5" t="s">
        <v>37</v>
      </c>
      <c r="D9" s="6">
        <v>42928</v>
      </c>
      <c r="E9" s="7">
        <v>318080326465</v>
      </c>
      <c r="F9" s="7">
        <v>441254067741</v>
      </c>
      <c r="G9" s="7">
        <v>719726855599</v>
      </c>
      <c r="H9" s="8">
        <v>1078458868349</v>
      </c>
      <c r="I9" s="8">
        <v>1005368365991</v>
      </c>
      <c r="J9" s="7">
        <v>81905439662</v>
      </c>
      <c r="K9" s="7">
        <v>88002544535</v>
      </c>
      <c r="L9" s="7">
        <v>144194690952</v>
      </c>
      <c r="M9" s="8">
        <v>392149133254</v>
      </c>
      <c r="N9" s="8">
        <v>243093147629</v>
      </c>
      <c r="O9" s="7">
        <v>11400000930</v>
      </c>
      <c r="P9" s="7">
        <v>26600002170</v>
      </c>
      <c r="Q9" s="7">
        <v>26600002170</v>
      </c>
      <c r="R9" s="9">
        <v>57000004650</v>
      </c>
      <c r="S9" s="8">
        <v>190000015500</v>
      </c>
      <c r="T9" s="10">
        <v>760000062</v>
      </c>
      <c r="U9" s="10">
        <v>3800000310</v>
      </c>
      <c r="V9" s="9">
        <v>3800000310</v>
      </c>
      <c r="W9" s="9">
        <v>3800000310</v>
      </c>
      <c r="X9" s="8">
        <v>3800000310</v>
      </c>
    </row>
    <row r="10" spans="1:24" x14ac:dyDescent="0.25">
      <c r="A10" s="5">
        <v>6</v>
      </c>
      <c r="B10" s="5" t="s">
        <v>40</v>
      </c>
      <c r="C10" s="5" t="s">
        <v>41</v>
      </c>
      <c r="D10" s="6">
        <v>33176</v>
      </c>
      <c r="E10" s="7">
        <v>1558071752917</v>
      </c>
      <c r="F10" s="7">
        <v>2918467252139</v>
      </c>
      <c r="G10" s="7">
        <v>3107410113178</v>
      </c>
      <c r="H10" s="17">
        <v>3236330922409</v>
      </c>
      <c r="I10" s="8">
        <v>3304972191991</v>
      </c>
      <c r="J10" s="7">
        <v>346692796102</v>
      </c>
      <c r="K10" s="7">
        <v>140597500915</v>
      </c>
      <c r="L10" s="16">
        <v>-30689667468</v>
      </c>
      <c r="M10" s="8">
        <v>156736391742</v>
      </c>
      <c r="N10" s="8">
        <v>313410762339</v>
      </c>
      <c r="O10" s="7">
        <f>82560000000+103200000000</f>
        <v>185760000000</v>
      </c>
      <c r="P10" s="7">
        <v>113520000000</v>
      </c>
      <c r="Q10" s="7">
        <v>30960000000</v>
      </c>
      <c r="R10" s="9">
        <f>51600000000*2</f>
        <v>103200000000</v>
      </c>
      <c r="S10" s="9">
        <f>103200000000+72240000000</f>
        <v>175440000000</v>
      </c>
      <c r="T10" s="10">
        <v>10320000000</v>
      </c>
      <c r="U10" s="10">
        <v>10320000000</v>
      </c>
      <c r="V10" s="9">
        <v>10320000000</v>
      </c>
      <c r="W10" s="9">
        <v>10320000000</v>
      </c>
      <c r="X10" s="9">
        <v>10320000000</v>
      </c>
    </row>
    <row r="11" spans="1:24" x14ac:dyDescent="0.25">
      <c r="A11" s="5">
        <v>7</v>
      </c>
      <c r="B11" s="5" t="s">
        <v>82</v>
      </c>
      <c r="C11" s="5" t="s">
        <v>83</v>
      </c>
      <c r="D11" s="6">
        <v>34243</v>
      </c>
      <c r="E11" s="13">
        <v>7042491000</v>
      </c>
      <c r="F11" s="13">
        <v>7182435000</v>
      </c>
      <c r="G11" s="13">
        <v>7683159000</v>
      </c>
      <c r="H11" s="24">
        <v>9241551000</v>
      </c>
      <c r="I11" s="24">
        <v>9248254000</v>
      </c>
      <c r="J11" s="7">
        <v>242066000</v>
      </c>
      <c r="K11" s="13">
        <v>137380000</v>
      </c>
      <c r="L11" s="13">
        <v>141383000</v>
      </c>
      <c r="M11" s="24">
        <v>296007000</v>
      </c>
      <c r="N11" s="24">
        <v>3221000</v>
      </c>
      <c r="O11" s="7">
        <v>47233000</v>
      </c>
      <c r="P11" s="7">
        <v>24207000</v>
      </c>
      <c r="Q11" s="7">
        <v>105529000</v>
      </c>
      <c r="R11" s="9">
        <f>18000000+69793000</f>
        <v>87793000</v>
      </c>
      <c r="S11" s="8">
        <f>20000000+848000</f>
        <v>20848000</v>
      </c>
      <c r="T11" s="10">
        <v>17791586878</v>
      </c>
      <c r="U11" s="10">
        <v>89015998170</v>
      </c>
      <c r="V11" s="9">
        <v>93388796190</v>
      </c>
      <c r="W11" s="9">
        <v>93747018044</v>
      </c>
      <c r="X11" s="9">
        <v>93747018044</v>
      </c>
    </row>
    <row r="12" spans="1:24" x14ac:dyDescent="0.25">
      <c r="A12" s="5">
        <v>8</v>
      </c>
      <c r="B12" s="5" t="s">
        <v>89</v>
      </c>
      <c r="C12" s="5" t="s">
        <v>90</v>
      </c>
      <c r="D12" s="6">
        <v>33099</v>
      </c>
      <c r="E12" s="7">
        <v>853267454400</v>
      </c>
      <c r="F12" s="7">
        <v>968234349565</v>
      </c>
      <c r="G12" s="7">
        <v>1081979820386</v>
      </c>
      <c r="H12" s="8">
        <v>1165564745263</v>
      </c>
      <c r="I12" s="8">
        <v>1221291885832</v>
      </c>
      <c r="J12" s="7">
        <v>74045187763</v>
      </c>
      <c r="K12" s="7">
        <v>77402572552</v>
      </c>
      <c r="L12" s="7">
        <v>95929070814</v>
      </c>
      <c r="M12" s="8">
        <v>108490477354</v>
      </c>
      <c r="N12" s="8">
        <v>78079793270</v>
      </c>
      <c r="O12" s="7">
        <v>12577950000</v>
      </c>
      <c r="P12" s="7">
        <v>20963250000</v>
      </c>
      <c r="Q12" s="7">
        <v>24457125000</v>
      </c>
      <c r="R12" s="9">
        <f>31444875000+1199075472</f>
        <v>32643950472</v>
      </c>
      <c r="S12" s="9">
        <f>34938750000+1571851081</f>
        <v>36510601081</v>
      </c>
      <c r="T12" s="10">
        <v>698775000</v>
      </c>
      <c r="U12" s="10">
        <v>698775000</v>
      </c>
      <c r="V12" s="9">
        <v>698775000</v>
      </c>
      <c r="W12" s="9">
        <v>698775000</v>
      </c>
      <c r="X12" s="8">
        <v>3493875000</v>
      </c>
    </row>
    <row r="13" spans="1:24" x14ac:dyDescent="0.25">
      <c r="A13" s="5">
        <v>9</v>
      </c>
      <c r="B13" s="5" t="s">
        <v>99</v>
      </c>
      <c r="C13" s="5" t="s">
        <v>100</v>
      </c>
      <c r="D13" s="6">
        <v>43342</v>
      </c>
      <c r="E13" s="33">
        <v>1868245599000</v>
      </c>
      <c r="F13" s="7">
        <v>1872712715000</v>
      </c>
      <c r="G13" s="7">
        <v>2279580714000</v>
      </c>
      <c r="H13" s="8">
        <v>2275216679000</v>
      </c>
      <c r="I13" s="8">
        <v>2182945756000</v>
      </c>
      <c r="J13" s="33">
        <v>94243997000</v>
      </c>
      <c r="K13" s="7">
        <v>60910956000</v>
      </c>
      <c r="L13" s="7">
        <v>79288256000</v>
      </c>
      <c r="M13" s="8">
        <v>38800766000</v>
      </c>
      <c r="N13" s="8">
        <v>11310348000</v>
      </c>
      <c r="O13" s="33">
        <v>203486706000</v>
      </c>
      <c r="P13" s="7">
        <v>38637633000</v>
      </c>
      <c r="Q13" s="7">
        <v>13665358000</v>
      </c>
      <c r="R13" s="7">
        <v>1292570807</v>
      </c>
      <c r="S13" s="7">
        <v>1292570807</v>
      </c>
      <c r="T13" s="34">
        <v>1983888498</v>
      </c>
      <c r="U13" s="10">
        <v>2334888498</v>
      </c>
      <c r="V13" s="10">
        <v>2334888498</v>
      </c>
      <c r="W13" s="10">
        <v>2724036581</v>
      </c>
      <c r="X13" s="10">
        <v>2724036581</v>
      </c>
    </row>
    <row r="14" spans="1:24" x14ac:dyDescent="0.25">
      <c r="A14" s="5">
        <v>10</v>
      </c>
      <c r="B14" s="11" t="s">
        <v>111</v>
      </c>
      <c r="C14" s="11" t="s">
        <v>112</v>
      </c>
      <c r="D14" s="6">
        <v>43199</v>
      </c>
      <c r="E14" s="24">
        <v>304204072</v>
      </c>
      <c r="F14" s="24">
        <v>356285764</v>
      </c>
      <c r="G14" s="13">
        <v>349209327</v>
      </c>
      <c r="H14" s="13">
        <v>210575452</v>
      </c>
      <c r="I14" s="13">
        <v>146631100</v>
      </c>
      <c r="J14" s="24">
        <v>12932499</v>
      </c>
      <c r="K14" s="24">
        <v>16052289</v>
      </c>
      <c r="L14" s="13">
        <v>-3454919</v>
      </c>
      <c r="M14" s="13">
        <v>-78616128</v>
      </c>
      <c r="N14" s="16">
        <v>-52497945</v>
      </c>
      <c r="O14" s="13">
        <v>200000</v>
      </c>
      <c r="P14" s="13">
        <v>300000</v>
      </c>
      <c r="Q14" s="13">
        <v>160000</v>
      </c>
      <c r="R14" s="13">
        <v>660000</v>
      </c>
      <c r="S14" s="13">
        <v>800000</v>
      </c>
      <c r="T14" s="8">
        <v>10485050500</v>
      </c>
      <c r="U14" s="8">
        <v>10485050500</v>
      </c>
      <c r="V14" s="8">
        <v>10485050500</v>
      </c>
      <c r="W14" s="8">
        <v>10485050500</v>
      </c>
      <c r="X14" s="8">
        <v>10485050500</v>
      </c>
    </row>
    <row r="15" spans="1:24" x14ac:dyDescent="0.25">
      <c r="A15" s="5">
        <v>11</v>
      </c>
      <c r="B15" s="5" t="s">
        <v>113</v>
      </c>
      <c r="C15" s="5" t="s">
        <v>114</v>
      </c>
      <c r="D15" s="6">
        <v>39594</v>
      </c>
      <c r="E15" s="13">
        <v>3173486000</v>
      </c>
      <c r="F15" s="13">
        <v>3451211000</v>
      </c>
      <c r="G15" s="13">
        <v>3593747000</v>
      </c>
      <c r="H15" s="24">
        <v>4993060000</v>
      </c>
      <c r="I15" s="24">
        <v>4929871000</v>
      </c>
      <c r="J15" s="7">
        <v>182316000</v>
      </c>
      <c r="K15" s="13">
        <v>23647000</v>
      </c>
      <c r="L15" s="13">
        <v>51542000</v>
      </c>
      <c r="M15" s="24">
        <v>151869000</v>
      </c>
      <c r="N15" s="18">
        <v>-149399000</v>
      </c>
      <c r="O15" s="7">
        <f>80924000+735000</f>
        <v>81659000</v>
      </c>
      <c r="P15" s="7">
        <v>33262000</v>
      </c>
      <c r="Q15" s="7">
        <v>1280000</v>
      </c>
      <c r="R15" s="9">
        <v>103514000</v>
      </c>
      <c r="S15" s="8">
        <v>11000000</v>
      </c>
      <c r="T15" s="10">
        <v>17833520260</v>
      </c>
      <c r="U15" s="10">
        <v>17833520260</v>
      </c>
      <c r="V15" s="10">
        <v>17833520260</v>
      </c>
      <c r="W15" s="10">
        <v>21627886273</v>
      </c>
      <c r="X15" s="8">
        <v>86511545092</v>
      </c>
    </row>
    <row r="16" spans="1:24" x14ac:dyDescent="0.25">
      <c r="A16" s="5">
        <v>12</v>
      </c>
      <c r="B16" s="5" t="s">
        <v>115</v>
      </c>
      <c r="C16" s="5" t="s">
        <v>116</v>
      </c>
      <c r="D16" s="6">
        <v>32818</v>
      </c>
      <c r="E16" s="13">
        <v>236410388</v>
      </c>
      <c r="F16" s="13">
        <v>219757421</v>
      </c>
      <c r="G16" s="13">
        <v>242256371</v>
      </c>
      <c r="H16" s="13">
        <v>292723782</v>
      </c>
      <c r="I16" s="24">
        <v>317577675</v>
      </c>
      <c r="J16" s="7">
        <v>17280630</v>
      </c>
      <c r="K16" s="13">
        <v>11388329</v>
      </c>
      <c r="L16" s="13">
        <v>27294821</v>
      </c>
      <c r="M16" s="13">
        <v>58052717</v>
      </c>
      <c r="N16" s="13">
        <v>37901615</v>
      </c>
      <c r="O16" s="13">
        <v>11567189</v>
      </c>
      <c r="P16" s="13">
        <v>2435568</v>
      </c>
      <c r="Q16" s="13">
        <v>6021620</v>
      </c>
      <c r="R16" s="13">
        <v>15982321</v>
      </c>
      <c r="S16" s="13">
        <v>2583966</v>
      </c>
      <c r="T16" s="10">
        <v>383331363</v>
      </c>
      <c r="U16" s="10">
        <v>383331363</v>
      </c>
      <c r="V16" s="10">
        <v>383331363</v>
      </c>
      <c r="W16" s="10">
        <v>383331363</v>
      </c>
      <c r="X16" s="10">
        <v>383331363</v>
      </c>
    </row>
    <row r="17" spans="1:24" x14ac:dyDescent="0.25">
      <c r="A17" s="5">
        <v>13</v>
      </c>
      <c r="B17" s="5" t="s">
        <v>129</v>
      </c>
      <c r="C17" s="5" t="s">
        <v>130</v>
      </c>
      <c r="D17" s="6">
        <v>33182</v>
      </c>
      <c r="E17" s="7">
        <v>570197810698</v>
      </c>
      <c r="F17" s="7">
        <v>617594780669</v>
      </c>
      <c r="G17" s="7">
        <v>665863417235</v>
      </c>
      <c r="H17" s="8">
        <v>809371584010</v>
      </c>
      <c r="I17" s="8">
        <v>863638556466</v>
      </c>
      <c r="J17" s="7">
        <v>44672438405</v>
      </c>
      <c r="K17" s="7">
        <v>60836752751</v>
      </c>
      <c r="L17" s="7">
        <v>60770710445</v>
      </c>
      <c r="M17" s="8">
        <v>104034299846</v>
      </c>
      <c r="N17" s="8">
        <v>102314374301</v>
      </c>
      <c r="O17" s="7">
        <v>4858213700</v>
      </c>
      <c r="P17" s="7">
        <v>6638247950</v>
      </c>
      <c r="Q17" s="7">
        <v>6638247950</v>
      </c>
      <c r="R17" s="9">
        <v>6638247950</v>
      </c>
      <c r="S17" s="9">
        <v>8506860675</v>
      </c>
      <c r="T17" s="10">
        <v>972204500</v>
      </c>
      <c r="U17" s="10">
        <v>972204500</v>
      </c>
      <c r="V17" s="10">
        <v>972204500</v>
      </c>
      <c r="W17" s="10">
        <v>972204500</v>
      </c>
      <c r="X17" s="10">
        <v>972204500</v>
      </c>
    </row>
    <row r="18" spans="1:24" x14ac:dyDescent="0.25">
      <c r="A18" s="5">
        <v>14</v>
      </c>
      <c r="B18" s="5" t="s">
        <v>131</v>
      </c>
      <c r="C18" s="5" t="s">
        <v>132</v>
      </c>
      <c r="D18" s="6">
        <v>41990</v>
      </c>
      <c r="E18" s="7">
        <v>2370198817803</v>
      </c>
      <c r="F18" s="7">
        <v>2501132856219</v>
      </c>
      <c r="G18" s="7">
        <v>2697100062756</v>
      </c>
      <c r="H18" s="8">
        <v>1383431547987</v>
      </c>
      <c r="I18" s="17">
        <v>3435475875401</v>
      </c>
      <c r="J18" s="7">
        <v>105523929164</v>
      </c>
      <c r="K18" s="7">
        <v>93145200039</v>
      </c>
      <c r="L18" s="7">
        <v>115805324362</v>
      </c>
      <c r="M18" s="8">
        <v>206588977295</v>
      </c>
      <c r="N18" s="8">
        <v>312502049594</v>
      </c>
      <c r="O18" s="7">
        <f>38668000000+4930000000</f>
        <v>43598000000</v>
      </c>
      <c r="P18" s="7">
        <v>77790000000</v>
      </c>
      <c r="Q18" s="7">
        <v>53280000000</v>
      </c>
      <c r="R18" s="17">
        <v>29001000000</v>
      </c>
      <c r="S18" s="17">
        <v>106337000000</v>
      </c>
      <c r="T18" s="10">
        <v>4833500000</v>
      </c>
      <c r="U18" s="10">
        <v>4833500000</v>
      </c>
      <c r="V18" s="10">
        <v>4833500000</v>
      </c>
      <c r="W18" s="10">
        <v>4833500000</v>
      </c>
      <c r="X18" s="17">
        <v>4933500000</v>
      </c>
    </row>
    <row r="19" spans="1:24" x14ac:dyDescent="0.25">
      <c r="A19" s="5">
        <v>15</v>
      </c>
      <c r="B19" s="36" t="s">
        <v>135</v>
      </c>
      <c r="C19" s="5" t="s">
        <v>136</v>
      </c>
      <c r="D19" s="6">
        <v>43082</v>
      </c>
      <c r="E19" s="7">
        <v>2295734967000</v>
      </c>
      <c r="F19" s="7">
        <v>2338919728000</v>
      </c>
      <c r="G19" s="7">
        <v>2421301079000</v>
      </c>
      <c r="H19" s="8">
        <v>2795959663000</v>
      </c>
      <c r="I19" s="8">
        <v>3040363137000</v>
      </c>
      <c r="J19" s="7">
        <v>297628915000</v>
      </c>
      <c r="K19" s="7">
        <v>223626619000</v>
      </c>
      <c r="L19" s="7">
        <v>373653845000</v>
      </c>
      <c r="M19" s="8">
        <v>416209347000</v>
      </c>
      <c r="N19" s="8">
        <v>354901190000</v>
      </c>
      <c r="O19" s="7">
        <v>81867571000</v>
      </c>
      <c r="P19" s="7">
        <v>94992476000</v>
      </c>
      <c r="Q19" s="7">
        <v>112236000000</v>
      </c>
      <c r="R19" s="9">
        <v>189773757000</v>
      </c>
      <c r="S19" s="9">
        <v>207632399000</v>
      </c>
      <c r="T19" s="10">
        <v>1875000000</v>
      </c>
      <c r="U19" s="10">
        <v>1875000000</v>
      </c>
      <c r="V19" s="10">
        <v>1875000000</v>
      </c>
      <c r="W19" s="10">
        <v>1875000000</v>
      </c>
      <c r="X19" s="10">
        <v>1875000000</v>
      </c>
    </row>
    <row r="20" spans="1:24" x14ac:dyDescent="0.25">
      <c r="A20" s="5">
        <v>16</v>
      </c>
      <c r="B20" s="36" t="s">
        <v>147</v>
      </c>
      <c r="C20" s="5" t="s">
        <v>148</v>
      </c>
      <c r="D20" s="6">
        <v>33315</v>
      </c>
      <c r="E20" s="7">
        <v>27645118000000</v>
      </c>
      <c r="F20" s="7">
        <v>29109408000000</v>
      </c>
      <c r="G20" s="7">
        <v>31159291000000</v>
      </c>
      <c r="H20" s="17">
        <v>35446051000000</v>
      </c>
      <c r="I20" s="17">
        <v>39847545000000</v>
      </c>
      <c r="J20" s="7">
        <v>4551485000000</v>
      </c>
      <c r="K20" s="7">
        <v>3642226000000</v>
      </c>
      <c r="L20" s="7">
        <v>3845833000000</v>
      </c>
      <c r="M20" s="17">
        <v>3619010000000</v>
      </c>
      <c r="N20" s="17">
        <v>2930357000000</v>
      </c>
      <c r="O20" s="7">
        <v>918288000000</v>
      </c>
      <c r="P20" s="7">
        <v>1934964000000</v>
      </c>
      <c r="Q20" s="9">
        <v>1328238000000</v>
      </c>
      <c r="R20" s="9">
        <v>1836576000000</v>
      </c>
      <c r="S20" s="9">
        <v>1770984000000</v>
      </c>
      <c r="T20" s="10">
        <v>16398000000</v>
      </c>
      <c r="U20" s="10">
        <v>16398000000</v>
      </c>
      <c r="V20" s="10">
        <v>16398000000</v>
      </c>
      <c r="W20" s="10">
        <v>16398000000</v>
      </c>
      <c r="X20" s="10">
        <v>16398000000</v>
      </c>
    </row>
    <row r="21" spans="1:24" x14ac:dyDescent="0.25">
      <c r="A21" s="5">
        <v>17</v>
      </c>
      <c r="B21" s="5" t="s">
        <v>168</v>
      </c>
      <c r="C21" s="5" t="s">
        <v>169</v>
      </c>
      <c r="D21" s="6">
        <v>40736</v>
      </c>
      <c r="E21" s="7">
        <v>526129315163</v>
      </c>
      <c r="F21" s="7">
        <v>925114449507</v>
      </c>
      <c r="G21" s="7">
        <v>953551967212</v>
      </c>
      <c r="H21" s="8">
        <v>1210809442028</v>
      </c>
      <c r="I21" s="8">
        <v>1568806950187</v>
      </c>
      <c r="J21" s="7">
        <v>42506275523</v>
      </c>
      <c r="K21" s="7">
        <v>78421735355</v>
      </c>
      <c r="L21" s="7">
        <v>65331041553</v>
      </c>
      <c r="M21" s="8">
        <v>100771009640</v>
      </c>
      <c r="N21" s="35">
        <v>65764485236</v>
      </c>
      <c r="O21" s="7">
        <v>880000000</v>
      </c>
      <c r="P21" s="7">
        <v>1210000000</v>
      </c>
      <c r="Q21" s="7">
        <v>1204787320</v>
      </c>
      <c r="R21" s="8">
        <v>1626420150</v>
      </c>
      <c r="S21" s="8">
        <v>2081817792</v>
      </c>
      <c r="T21" s="9">
        <v>550000000</v>
      </c>
      <c r="U21" s="9">
        <v>1100000000</v>
      </c>
      <c r="V21" s="9">
        <v>1100000000</v>
      </c>
      <c r="W21" s="9">
        <v>1316856020</v>
      </c>
      <c r="X21" s="8">
        <v>1316856309</v>
      </c>
    </row>
    <row r="22" spans="1:24" x14ac:dyDescent="0.25">
      <c r="A22" s="5">
        <v>18</v>
      </c>
      <c r="B22" s="5" t="s">
        <v>170</v>
      </c>
      <c r="C22" s="5" t="s">
        <v>171</v>
      </c>
      <c r="D22" s="6">
        <v>34669</v>
      </c>
      <c r="E22" s="7">
        <v>10965118708784</v>
      </c>
      <c r="F22" s="7">
        <v>10751992944302</v>
      </c>
      <c r="G22" s="9">
        <v>11513044288721</v>
      </c>
      <c r="H22" s="8">
        <v>13302224000000</v>
      </c>
      <c r="I22" s="8">
        <v>12877846000000</v>
      </c>
      <c r="J22" s="7">
        <v>1405367771073</v>
      </c>
      <c r="K22" s="7">
        <v>968833390696</v>
      </c>
      <c r="L22" s="9">
        <v>353299343980</v>
      </c>
      <c r="M22" s="8">
        <v>617427000000</v>
      </c>
      <c r="N22" s="8">
        <v>119926000000</v>
      </c>
      <c r="O22" s="7">
        <v>401417983494</v>
      </c>
      <c r="P22" s="7">
        <v>569914421010</v>
      </c>
      <c r="Q22" s="9">
        <v>455931536808</v>
      </c>
      <c r="R22" s="9">
        <v>173452000000</v>
      </c>
      <c r="S22" s="9">
        <v>294869000000</v>
      </c>
      <c r="T22" s="9">
        <v>2477888787</v>
      </c>
      <c r="U22" s="9">
        <v>2477888787</v>
      </c>
      <c r="V22" s="9">
        <v>2477888787</v>
      </c>
      <c r="W22" s="9">
        <v>2477888787</v>
      </c>
      <c r="X22" s="9">
        <v>2477888787</v>
      </c>
    </row>
    <row r="23" spans="1:24" x14ac:dyDescent="0.25">
      <c r="A23" s="5">
        <v>19</v>
      </c>
      <c r="B23" s="5" t="s">
        <v>172</v>
      </c>
      <c r="C23" s="5" t="s">
        <v>173</v>
      </c>
      <c r="D23" s="6">
        <v>33070</v>
      </c>
      <c r="E23" s="13">
        <v>8751013000</v>
      </c>
      <c r="F23" s="13">
        <v>8502050000</v>
      </c>
      <c r="G23" s="14">
        <v>8496277000</v>
      </c>
      <c r="H23" s="40">
        <v>13302224</v>
      </c>
      <c r="I23" s="40">
        <v>9640721000</v>
      </c>
      <c r="J23" s="7">
        <v>274390000</v>
      </c>
      <c r="K23" s="14">
        <v>294041000</v>
      </c>
      <c r="L23" s="9">
        <v>593101000</v>
      </c>
      <c r="M23" s="40">
        <v>527039000</v>
      </c>
      <c r="N23" s="40">
        <v>857462000</v>
      </c>
      <c r="O23" s="7">
        <v>39216000</v>
      </c>
      <c r="P23" s="7">
        <v>38033000</v>
      </c>
      <c r="Q23" s="9">
        <v>18691000</v>
      </c>
      <c r="R23" s="13">
        <v>18691000</v>
      </c>
      <c r="S23" s="13">
        <v>18877000</v>
      </c>
      <c r="T23" s="9">
        <v>5470982941</v>
      </c>
      <c r="U23" s="9">
        <v>5470982941</v>
      </c>
      <c r="V23" s="9">
        <v>5470982941</v>
      </c>
      <c r="W23" s="9">
        <v>5470982941</v>
      </c>
      <c r="X23" s="9">
        <v>5470982941</v>
      </c>
    </row>
    <row r="24" spans="1:24" x14ac:dyDescent="0.25">
      <c r="A24" s="5">
        <v>20</v>
      </c>
      <c r="B24" s="5" t="s">
        <v>184</v>
      </c>
      <c r="C24" s="5" t="s">
        <v>185</v>
      </c>
      <c r="D24" s="6">
        <v>32966</v>
      </c>
      <c r="E24" s="7">
        <v>2965136000</v>
      </c>
      <c r="F24" s="13">
        <v>3062331000</v>
      </c>
      <c r="G24" s="14">
        <v>3073164000</v>
      </c>
      <c r="H24" s="40">
        <v>3161834000</v>
      </c>
      <c r="I24" s="40">
        <v>3545180000</v>
      </c>
      <c r="J24" s="7">
        <v>245709000</v>
      </c>
      <c r="K24" s="13">
        <v>166516000</v>
      </c>
      <c r="L24" s="14">
        <v>148334000</v>
      </c>
      <c r="M24" s="40">
        <v>248362000</v>
      </c>
      <c r="N24" s="8">
        <v>463345000</v>
      </c>
      <c r="O24" s="7">
        <v>6695000</v>
      </c>
      <c r="P24" s="7">
        <v>10821000</v>
      </c>
      <c r="Q24" s="9">
        <v>5318000</v>
      </c>
      <c r="R24" s="9">
        <v>5371000</v>
      </c>
      <c r="S24" s="9">
        <v>5351000</v>
      </c>
      <c r="T24" s="9">
        <v>3113223570</v>
      </c>
      <c r="U24" s="9">
        <v>3113223570</v>
      </c>
      <c r="V24" s="9">
        <v>3113223570</v>
      </c>
      <c r="W24" s="9">
        <v>3113223570</v>
      </c>
      <c r="X24" s="9">
        <v>3113223570</v>
      </c>
    </row>
    <row r="25" spans="1:24" x14ac:dyDescent="0.25">
      <c r="A25" s="5">
        <v>21</v>
      </c>
      <c r="B25" s="5" t="s">
        <v>208</v>
      </c>
      <c r="C25" s="5" t="s">
        <v>209</v>
      </c>
      <c r="D25" s="6">
        <v>32967</v>
      </c>
      <c r="E25" s="7">
        <v>344711000000000</v>
      </c>
      <c r="F25" s="7">
        <v>351958000000000</v>
      </c>
      <c r="G25" s="9">
        <v>338203000000000</v>
      </c>
      <c r="H25" s="8">
        <v>367311000000000</v>
      </c>
      <c r="I25" s="8">
        <v>413297000000000</v>
      </c>
      <c r="J25" s="7">
        <v>27372000000000</v>
      </c>
      <c r="K25" s="7">
        <v>26621000000000</v>
      </c>
      <c r="L25" s="9">
        <v>18571000000000</v>
      </c>
      <c r="M25" s="8">
        <v>25586000000000</v>
      </c>
      <c r="N25" s="8">
        <v>40420000000000</v>
      </c>
      <c r="O25" s="7">
        <v>10202000000000</v>
      </c>
      <c r="P25" s="7">
        <v>11235000000000</v>
      </c>
      <c r="Q25" s="9">
        <v>9423000000000</v>
      </c>
      <c r="R25" s="9">
        <v>7123000000000</v>
      </c>
      <c r="S25" s="9">
        <v>15302000000000</v>
      </c>
      <c r="T25" s="9">
        <v>40483553140</v>
      </c>
      <c r="U25" s="9">
        <v>40483553140</v>
      </c>
      <c r="V25" s="9">
        <v>40483553140</v>
      </c>
      <c r="W25" s="9">
        <v>40483553140</v>
      </c>
      <c r="X25" s="9">
        <v>40483553140</v>
      </c>
    </row>
    <row r="26" spans="1:24" x14ac:dyDescent="0.25">
      <c r="A26" s="5">
        <v>22</v>
      </c>
      <c r="B26" s="5" t="s">
        <v>210</v>
      </c>
      <c r="C26" s="5" t="s">
        <v>211</v>
      </c>
      <c r="D26" s="6">
        <v>35961</v>
      </c>
      <c r="E26" s="7">
        <v>15889648000000</v>
      </c>
      <c r="F26" s="7">
        <v>16015709000000</v>
      </c>
      <c r="G26" s="7">
        <v>15180094000000</v>
      </c>
      <c r="H26" s="8">
        <v>16947148000000</v>
      </c>
      <c r="I26" s="17">
        <v>18521261000000</v>
      </c>
      <c r="J26" s="7">
        <v>680801000000</v>
      </c>
      <c r="K26" s="7">
        <v>816971000000</v>
      </c>
      <c r="L26" s="16">
        <v>-37864000000</v>
      </c>
      <c r="M26" s="8">
        <v>634931000000</v>
      </c>
      <c r="N26" s="17">
        <v>1474280000000</v>
      </c>
      <c r="O26" s="7">
        <v>265965000000</v>
      </c>
      <c r="P26" s="7">
        <v>300103000000</v>
      </c>
      <c r="Q26" s="7">
        <v>241359000000</v>
      </c>
      <c r="R26" s="9">
        <f>82951000000+53017000000</f>
        <v>135968000000</v>
      </c>
      <c r="S26" s="9">
        <f>220926000000+106034000000</f>
        <v>326960000000</v>
      </c>
      <c r="T26" s="9">
        <v>4819733000</v>
      </c>
      <c r="U26" s="9">
        <v>4819733000</v>
      </c>
      <c r="V26" s="9">
        <v>4819733000</v>
      </c>
      <c r="W26" s="9">
        <v>4819733000</v>
      </c>
      <c r="X26" s="9">
        <v>4819733000</v>
      </c>
    </row>
    <row r="27" spans="1:24" x14ac:dyDescent="0.25">
      <c r="A27" s="5">
        <v>23</v>
      </c>
      <c r="B27" s="5" t="s">
        <v>214</v>
      </c>
      <c r="C27" s="5" t="s">
        <v>215</v>
      </c>
      <c r="D27" s="6">
        <v>33121</v>
      </c>
      <c r="E27" s="13">
        <v>296400018</v>
      </c>
      <c r="F27" s="13">
        <v>279484828</v>
      </c>
      <c r="G27" s="14">
        <v>263740526</v>
      </c>
      <c r="H27" s="40">
        <v>289992314</v>
      </c>
      <c r="I27" s="40">
        <v>290896966</v>
      </c>
      <c r="J27" s="13">
        <v>19377050</v>
      </c>
      <c r="K27" s="13">
        <v>14582693</v>
      </c>
      <c r="L27" s="22">
        <v>-4045417</v>
      </c>
      <c r="M27" s="40">
        <v>26438801</v>
      </c>
      <c r="N27" s="40">
        <v>34919701</v>
      </c>
      <c r="O27" s="7">
        <f>18937583+3308448</f>
        <v>22246031</v>
      </c>
      <c r="P27" s="7">
        <v>17678347</v>
      </c>
      <c r="Q27" s="9">
        <v>7707082</v>
      </c>
      <c r="R27" s="13">
        <v>18942505</v>
      </c>
      <c r="S27" s="13">
        <v>14926122</v>
      </c>
      <c r="T27" s="9">
        <v>450000000</v>
      </c>
      <c r="U27" s="9">
        <v>450000000</v>
      </c>
      <c r="V27" s="9">
        <v>450000000</v>
      </c>
      <c r="W27" s="9">
        <v>450000000</v>
      </c>
      <c r="X27" s="9">
        <v>450000000</v>
      </c>
    </row>
    <row r="28" spans="1:24" x14ac:dyDescent="0.25">
      <c r="A28" s="5">
        <v>24</v>
      </c>
      <c r="B28" s="5" t="s">
        <v>222</v>
      </c>
      <c r="C28" s="5" t="s">
        <v>223</v>
      </c>
      <c r="D28" s="6">
        <v>34227</v>
      </c>
      <c r="E28" s="7">
        <v>40955996273862</v>
      </c>
      <c r="F28" s="7">
        <v>44697971458665</v>
      </c>
      <c r="G28" s="9">
        <v>48408700495082</v>
      </c>
      <c r="H28" s="17">
        <v>51023608000000</v>
      </c>
      <c r="I28" s="8">
        <v>57445068000000</v>
      </c>
      <c r="J28" s="7">
        <v>98774620340</v>
      </c>
      <c r="K28" s="7">
        <v>121769771786</v>
      </c>
      <c r="L28" s="22">
        <v>-675710445502</v>
      </c>
      <c r="M28" s="23">
        <v>-255340000000</v>
      </c>
      <c r="N28" s="8">
        <v>562551000000</v>
      </c>
      <c r="O28" s="7">
        <v>78647403077</v>
      </c>
      <c r="P28" s="7">
        <v>34773260147</v>
      </c>
      <c r="Q28" s="9">
        <v>35520332061</v>
      </c>
      <c r="R28" s="9">
        <v>179002000000</v>
      </c>
      <c r="S28" s="9">
        <v>32931000000</v>
      </c>
      <c r="T28" s="9">
        <v>2765278412</v>
      </c>
      <c r="U28" s="9">
        <v>2765278412</v>
      </c>
      <c r="V28" s="9">
        <v>3994291039</v>
      </c>
      <c r="W28" s="9">
        <v>3994291039</v>
      </c>
      <c r="X28" s="9">
        <v>3994291039</v>
      </c>
    </row>
    <row r="29" spans="1:24" x14ac:dyDescent="0.25">
      <c r="A29" s="5">
        <v>25</v>
      </c>
      <c r="B29" s="5" t="s">
        <v>224</v>
      </c>
      <c r="C29" s="5" t="s">
        <v>225</v>
      </c>
      <c r="D29" s="6">
        <v>33095</v>
      </c>
      <c r="E29" s="7">
        <v>2482337567967</v>
      </c>
      <c r="F29" s="7">
        <v>2834422741208</v>
      </c>
      <c r="G29" s="7">
        <v>2826260084696</v>
      </c>
      <c r="H29" s="8">
        <v>3538818568392</v>
      </c>
      <c r="I29" s="8">
        <v>3882465049707</v>
      </c>
      <c r="J29" s="7">
        <v>110686883366</v>
      </c>
      <c r="K29" s="7">
        <v>101465560351</v>
      </c>
      <c r="L29" s="7">
        <v>58751009229</v>
      </c>
      <c r="M29" s="8">
        <v>180680527603</v>
      </c>
      <c r="N29" s="8">
        <v>228542263599</v>
      </c>
      <c r="O29" s="7">
        <v>65624971000</v>
      </c>
      <c r="P29" s="7">
        <v>65624971000</v>
      </c>
      <c r="Q29" s="7">
        <v>65624971000</v>
      </c>
      <c r="R29" s="9">
        <v>55781225350</v>
      </c>
      <c r="S29" s="9">
        <v>49218728250</v>
      </c>
      <c r="T29" s="9">
        <v>656249710</v>
      </c>
      <c r="U29" s="9">
        <v>656249710</v>
      </c>
      <c r="V29" s="9">
        <v>656249710</v>
      </c>
      <c r="W29" s="9">
        <v>656249710</v>
      </c>
      <c r="X29" s="9">
        <v>656249710</v>
      </c>
    </row>
    <row r="30" spans="1:24" x14ac:dyDescent="0.25">
      <c r="A30" s="5">
        <v>26</v>
      </c>
      <c r="B30" s="5" t="s">
        <v>236</v>
      </c>
      <c r="C30" s="5" t="s">
        <v>237</v>
      </c>
      <c r="D30" s="6">
        <v>35317</v>
      </c>
      <c r="E30" s="7">
        <v>2801203000000</v>
      </c>
      <c r="F30" s="7">
        <v>3106981000000</v>
      </c>
      <c r="G30" s="7">
        <v>3375526000000</v>
      </c>
      <c r="H30" s="17">
        <v>3868862000000</v>
      </c>
      <c r="I30" s="17">
        <v>4379577000000</v>
      </c>
      <c r="J30" s="7">
        <v>63355000000</v>
      </c>
      <c r="K30" s="7">
        <v>638676000000</v>
      </c>
      <c r="L30" s="7">
        <v>539116000000</v>
      </c>
      <c r="M30" s="17">
        <v>728263000000</v>
      </c>
      <c r="N30" s="17">
        <v>935944000000</v>
      </c>
      <c r="O30" s="7">
        <v>329205000000</v>
      </c>
      <c r="P30" s="7">
        <v>365724000000</v>
      </c>
      <c r="Q30" s="7">
        <v>375417000000</v>
      </c>
      <c r="R30" s="9">
        <v>375417000000</v>
      </c>
      <c r="S30" s="17">
        <f>115174000000+57586000000+115174000000+115174000000+43517000000</f>
        <v>446625000000</v>
      </c>
      <c r="T30" s="9">
        <v>5758675440</v>
      </c>
      <c r="U30" s="9">
        <v>5758675440</v>
      </c>
      <c r="V30" s="9">
        <v>5758675440</v>
      </c>
      <c r="W30" s="9">
        <v>5758675440</v>
      </c>
      <c r="X30" s="9">
        <v>5758675440</v>
      </c>
    </row>
    <row r="31" spans="1:24" x14ac:dyDescent="0.25">
      <c r="A31" s="5">
        <v>27</v>
      </c>
      <c r="B31" s="5" t="s">
        <v>242</v>
      </c>
      <c r="C31" s="5" t="s">
        <v>243</v>
      </c>
      <c r="D31" s="6">
        <v>43017</v>
      </c>
      <c r="E31" s="7">
        <v>514962171773</v>
      </c>
      <c r="F31" s="7">
        <v>590884444113</v>
      </c>
      <c r="G31" s="7">
        <v>554235931111</v>
      </c>
      <c r="H31" s="17">
        <v>524473606697</v>
      </c>
      <c r="I31" s="17">
        <v>525780962665</v>
      </c>
      <c r="J31" s="7">
        <v>24022782725</v>
      </c>
      <c r="K31" s="16">
        <v>23213651840</v>
      </c>
      <c r="L31" s="16">
        <v>-16558668514</v>
      </c>
      <c r="M31" s="17">
        <v>4172725902</v>
      </c>
      <c r="N31" s="17">
        <v>4462174046</v>
      </c>
      <c r="O31" s="7">
        <v>4350000000</v>
      </c>
      <c r="P31" s="7">
        <v>5075000000</v>
      </c>
      <c r="Q31" s="7">
        <v>782636476</v>
      </c>
      <c r="R31" s="9">
        <v>507500000</v>
      </c>
      <c r="S31" s="9">
        <f>2030000000+545000000</f>
        <v>2575000000</v>
      </c>
      <c r="T31" s="10">
        <v>1450000000</v>
      </c>
      <c r="U31" s="10">
        <v>1450000000</v>
      </c>
      <c r="V31" s="9">
        <v>7250000000</v>
      </c>
      <c r="W31" s="9">
        <v>7250000000</v>
      </c>
      <c r="X31" s="9">
        <v>7250000000</v>
      </c>
    </row>
    <row r="32" spans="1:24" x14ac:dyDescent="0.25">
      <c r="A32" s="5">
        <v>28</v>
      </c>
      <c r="B32" s="5" t="s">
        <v>274</v>
      </c>
      <c r="C32" s="5" t="s">
        <v>275</v>
      </c>
      <c r="D32" s="6">
        <v>41088</v>
      </c>
      <c r="E32" s="7">
        <v>633014281325</v>
      </c>
      <c r="F32" s="7">
        <v>1147246311331</v>
      </c>
      <c r="G32" s="7">
        <v>1068940700530</v>
      </c>
      <c r="H32" s="17">
        <v>1060742742644</v>
      </c>
      <c r="I32" s="17">
        <v>1177807599498</v>
      </c>
      <c r="J32" s="7">
        <v>19665074694</v>
      </c>
      <c r="K32" s="7">
        <v>41484677098</v>
      </c>
      <c r="L32" s="16">
        <v>-3987303838</v>
      </c>
      <c r="M32" s="17">
        <v>18024581177</v>
      </c>
      <c r="N32" s="17">
        <v>64521509302</v>
      </c>
      <c r="O32" s="7">
        <v>5234640010</v>
      </c>
      <c r="P32" s="7">
        <v>5838086004</v>
      </c>
      <c r="Q32" s="7">
        <v>11397562481</v>
      </c>
      <c r="R32" s="9">
        <v>4904062114</v>
      </c>
      <c r="S32" s="9">
        <v>5490705161</v>
      </c>
      <c r="T32" s="9">
        <v>1047587802</v>
      </c>
      <c r="U32" s="9">
        <v>3141443806</v>
      </c>
      <c r="V32" s="9">
        <v>3141443806</v>
      </c>
      <c r="W32" s="10">
        <v>3141443806</v>
      </c>
      <c r="X32" s="17">
        <v>3141443831</v>
      </c>
    </row>
    <row r="33" spans="1:24" x14ac:dyDescent="0.25">
      <c r="A33" s="5">
        <v>29</v>
      </c>
      <c r="B33" s="5" t="s">
        <v>296</v>
      </c>
      <c r="C33" s="5" t="s">
        <v>297</v>
      </c>
      <c r="D33" s="6">
        <v>30152</v>
      </c>
      <c r="E33" s="7">
        <v>4165196478857</v>
      </c>
      <c r="F33" s="7">
        <v>4400655628146</v>
      </c>
      <c r="G33" s="7">
        <v>3743659818718</v>
      </c>
      <c r="H33" s="8">
        <v>4698864127234</v>
      </c>
      <c r="I33" s="8">
        <v>5128133329237</v>
      </c>
      <c r="J33" s="7">
        <v>253995332656</v>
      </c>
      <c r="K33" s="7">
        <v>303593922331</v>
      </c>
      <c r="L33" s="7">
        <v>238152486485</v>
      </c>
      <c r="M33" s="8">
        <v>140694706122</v>
      </c>
      <c r="N33" s="8">
        <v>106708261439</v>
      </c>
      <c r="O33" s="7">
        <v>72038190000</v>
      </c>
      <c r="P33" s="7">
        <v>72374190000</v>
      </c>
      <c r="Q33" s="7">
        <v>102861700000</v>
      </c>
      <c r="R33" s="9">
        <v>61755020000</v>
      </c>
      <c r="S33" s="9">
        <v>41165680000</v>
      </c>
      <c r="T33" s="9">
        <v>205583400</v>
      </c>
      <c r="U33" s="9">
        <v>205583400</v>
      </c>
      <c r="V33" s="9">
        <v>205583400</v>
      </c>
      <c r="W33" s="9">
        <v>205583400</v>
      </c>
      <c r="X33" s="9">
        <v>205583400</v>
      </c>
    </row>
    <row r="34" spans="1:24" x14ac:dyDescent="0.25">
      <c r="A34" s="5">
        <v>30</v>
      </c>
      <c r="B34" s="5" t="s">
        <v>316</v>
      </c>
      <c r="C34" s="50" t="s">
        <v>317</v>
      </c>
      <c r="D34" s="6">
        <v>34827</v>
      </c>
      <c r="E34" s="7">
        <v>3392980000000</v>
      </c>
      <c r="F34" s="7">
        <v>2999767000000</v>
      </c>
      <c r="G34" s="7">
        <v>2963007000000</v>
      </c>
      <c r="H34" s="17">
        <v>2993218000000</v>
      </c>
      <c r="I34" s="17">
        <v>3173651000000</v>
      </c>
      <c r="J34" s="7">
        <v>50467000000</v>
      </c>
      <c r="K34" s="7">
        <v>64021000000</v>
      </c>
      <c r="L34" s="7">
        <v>67093000000</v>
      </c>
      <c r="M34" s="17">
        <v>91723000000</v>
      </c>
      <c r="N34" s="17">
        <v>93065000000</v>
      </c>
      <c r="O34" s="7">
        <v>17996000000</v>
      </c>
      <c r="P34" s="7">
        <v>22495000000</v>
      </c>
      <c r="Q34" s="7">
        <v>26994000000</v>
      </c>
      <c r="R34" s="7">
        <v>26994000000</v>
      </c>
      <c r="S34" s="9">
        <v>35992000000</v>
      </c>
      <c r="T34" s="10">
        <v>4498997362</v>
      </c>
      <c r="U34" s="10">
        <v>4498997362</v>
      </c>
      <c r="V34" s="10">
        <v>4498997362</v>
      </c>
      <c r="W34" s="10">
        <v>4498997362</v>
      </c>
      <c r="X34" s="10">
        <v>4498997362</v>
      </c>
    </row>
    <row r="35" spans="1:24" x14ac:dyDescent="0.25">
      <c r="A35" s="5">
        <v>31</v>
      </c>
      <c r="B35" s="5" t="s">
        <v>320</v>
      </c>
      <c r="C35" s="5" t="s">
        <v>321</v>
      </c>
      <c r="D35" s="6">
        <v>35255</v>
      </c>
      <c r="E35" s="7">
        <v>1168956042706</v>
      </c>
      <c r="F35" s="7">
        <v>1393079542074</v>
      </c>
      <c r="G35" s="7">
        <v>1566673828068</v>
      </c>
      <c r="H35" s="8">
        <v>1697387196209</v>
      </c>
      <c r="I35" s="8">
        <v>1718287453575</v>
      </c>
      <c r="J35" s="7">
        <v>92649656775</v>
      </c>
      <c r="K35" s="7">
        <v>215459200242</v>
      </c>
      <c r="L35" s="7">
        <v>181812593992</v>
      </c>
      <c r="M35" s="8">
        <v>187066990085</v>
      </c>
      <c r="N35" s="8">
        <v>220704543072</v>
      </c>
      <c r="O35" s="7">
        <v>26775000000</v>
      </c>
      <c r="P35" s="7">
        <v>59500000000</v>
      </c>
      <c r="Q35" s="7">
        <v>59500000000</v>
      </c>
      <c r="R35" s="9">
        <v>59500000000</v>
      </c>
      <c r="S35" s="8">
        <v>59500000000</v>
      </c>
      <c r="T35" s="9">
        <v>595000000</v>
      </c>
      <c r="U35" s="9">
        <v>595000000</v>
      </c>
      <c r="V35" s="9">
        <v>595000000</v>
      </c>
      <c r="W35" s="9">
        <v>595000000</v>
      </c>
      <c r="X35" s="8">
        <v>595000000</v>
      </c>
    </row>
    <row r="36" spans="1:24" x14ac:dyDescent="0.25">
      <c r="A36" s="5">
        <v>32</v>
      </c>
      <c r="B36" s="5" t="s">
        <v>330</v>
      </c>
      <c r="C36" s="5" t="s">
        <v>331</v>
      </c>
      <c r="D36" s="6">
        <v>30724</v>
      </c>
      <c r="E36" s="7">
        <v>1523517170000</v>
      </c>
      <c r="F36" s="7">
        <v>1425983722000</v>
      </c>
      <c r="G36" s="7">
        <v>1225580913000</v>
      </c>
      <c r="H36" s="7">
        <v>1308722065000</v>
      </c>
      <c r="I36" s="7">
        <v>1307186367000</v>
      </c>
      <c r="J36" s="7">
        <v>338129985000</v>
      </c>
      <c r="K36" s="7">
        <v>317815177000</v>
      </c>
      <c r="L36" s="7">
        <v>123465762000</v>
      </c>
      <c r="M36" s="7">
        <v>187992998000</v>
      </c>
      <c r="N36" s="7">
        <v>230065807000</v>
      </c>
      <c r="O36" s="52">
        <v>208171353000</v>
      </c>
      <c r="P36" s="7">
        <v>382715026000</v>
      </c>
      <c r="Q36" s="7">
        <v>312257030000</v>
      </c>
      <c r="R36" s="9">
        <v>200164763000</v>
      </c>
      <c r="S36" s="9">
        <v>240197715000</v>
      </c>
      <c r="T36" s="9">
        <v>800659050</v>
      </c>
      <c r="U36" s="9">
        <v>800659050</v>
      </c>
      <c r="V36" s="9">
        <v>800659050</v>
      </c>
      <c r="W36" s="10">
        <v>800659050</v>
      </c>
      <c r="X36" s="10">
        <v>800659050</v>
      </c>
    </row>
    <row r="37" spans="1:24" x14ac:dyDescent="0.25">
      <c r="A37" s="5">
        <v>33</v>
      </c>
      <c r="B37" s="5" t="s">
        <v>338</v>
      </c>
      <c r="C37" s="5" t="s">
        <v>339</v>
      </c>
      <c r="D37" s="6">
        <v>43383</v>
      </c>
      <c r="E37" s="9">
        <v>4212408305683</v>
      </c>
      <c r="F37" s="7">
        <v>5063067672414</v>
      </c>
      <c r="G37" s="9">
        <v>6570969641033</v>
      </c>
      <c r="H37" s="17">
        <v>6766602280143</v>
      </c>
      <c r="I37" s="17">
        <v>7327371934290</v>
      </c>
      <c r="J37" s="9">
        <v>425481597110</v>
      </c>
      <c r="K37" s="7">
        <v>435766359480</v>
      </c>
      <c r="L37" s="9">
        <v>245103761907</v>
      </c>
      <c r="M37" s="8">
        <v>492637672186</v>
      </c>
      <c r="N37" s="8">
        <v>521714035585</v>
      </c>
      <c r="O37" s="9">
        <v>183082141237</v>
      </c>
      <c r="P37" s="7">
        <v>132379748022</v>
      </c>
      <c r="Q37" s="9">
        <v>213786027326</v>
      </c>
      <c r="R37" s="9">
        <v>131923972638</v>
      </c>
      <c r="S37" s="17">
        <v>221508548952</v>
      </c>
      <c r="T37" s="10">
        <v>7379580291</v>
      </c>
      <c r="U37" s="10">
        <v>7379580291</v>
      </c>
      <c r="V37" s="10">
        <v>7379580291</v>
      </c>
      <c r="W37" s="10">
        <v>36897901455</v>
      </c>
      <c r="X37" s="17">
        <v>36897901455</v>
      </c>
    </row>
    <row r="38" spans="1:24" x14ac:dyDescent="0.25">
      <c r="A38" s="5">
        <v>34</v>
      </c>
      <c r="B38" s="5" t="s">
        <v>340</v>
      </c>
      <c r="C38" s="5" t="s">
        <v>341</v>
      </c>
      <c r="D38" s="6">
        <v>42908</v>
      </c>
      <c r="E38" s="7">
        <v>758846556031</v>
      </c>
      <c r="F38" s="7">
        <v>848676035300</v>
      </c>
      <c r="G38" s="7">
        <v>906924214166</v>
      </c>
      <c r="H38" s="8">
        <v>987563580363</v>
      </c>
      <c r="I38" s="8">
        <v>811603660216</v>
      </c>
      <c r="J38" s="7">
        <v>90195136265</v>
      </c>
      <c r="K38" s="7">
        <v>103723133972</v>
      </c>
      <c r="L38" s="7">
        <v>38038419405</v>
      </c>
      <c r="M38" s="8">
        <v>11844682161</v>
      </c>
      <c r="N38" s="8">
        <v>90572477</v>
      </c>
      <c r="O38" s="7">
        <v>14200138260</v>
      </c>
      <c r="P38" s="7">
        <v>26140929100</v>
      </c>
      <c r="Q38" s="7">
        <v>28635668400</v>
      </c>
      <c r="R38" s="9">
        <v>9677752680</v>
      </c>
      <c r="S38" s="17">
        <v>9677752680</v>
      </c>
      <c r="T38" s="10">
        <v>2374834620</v>
      </c>
      <c r="U38" s="10">
        <v>2378405500</v>
      </c>
      <c r="V38" s="10">
        <v>2419438170</v>
      </c>
      <c r="W38" s="10">
        <v>9677752680</v>
      </c>
      <c r="X38" s="17">
        <v>9677752680</v>
      </c>
    </row>
    <row r="39" spans="1:24" x14ac:dyDescent="0.25">
      <c r="A39" s="5">
        <v>35</v>
      </c>
      <c r="B39" s="5" t="s">
        <v>344</v>
      </c>
      <c r="C39" s="5" t="s">
        <v>345</v>
      </c>
      <c r="D39" s="6">
        <v>40458</v>
      </c>
      <c r="E39" s="7">
        <v>34367153000000</v>
      </c>
      <c r="F39" s="7">
        <v>38709314000000</v>
      </c>
      <c r="G39" s="9">
        <v>103588325000000</v>
      </c>
      <c r="H39" s="8">
        <v>118015311000000</v>
      </c>
      <c r="I39" s="8">
        <v>115305536000000</v>
      </c>
      <c r="J39" s="7">
        <v>4658781000000</v>
      </c>
      <c r="K39" s="7">
        <v>5360029000000</v>
      </c>
      <c r="L39" s="9">
        <v>7418574000000</v>
      </c>
      <c r="M39" s="8">
        <v>7911943000000</v>
      </c>
      <c r="N39" s="8">
        <v>5722194000000</v>
      </c>
      <c r="O39" s="7">
        <v>2689873000000</v>
      </c>
      <c r="P39" s="7">
        <v>1682890000000</v>
      </c>
      <c r="Q39" s="9">
        <v>2915985000000</v>
      </c>
      <c r="R39" s="9">
        <v>3629968000000</v>
      </c>
      <c r="S39" s="9">
        <v>3532886000000</v>
      </c>
      <c r="T39" s="9">
        <v>11661908000</v>
      </c>
      <c r="U39" s="9">
        <v>11661908000</v>
      </c>
      <c r="V39" s="9">
        <v>11661908000</v>
      </c>
      <c r="W39" s="9">
        <v>11661908000</v>
      </c>
      <c r="X39" s="9">
        <v>11661908000</v>
      </c>
    </row>
    <row r="40" spans="1:24" x14ac:dyDescent="0.25">
      <c r="A40" s="5">
        <v>36</v>
      </c>
      <c r="B40" s="5" t="s">
        <v>350</v>
      </c>
      <c r="C40" s="5" t="s">
        <v>351</v>
      </c>
      <c r="D40" s="6">
        <v>34529</v>
      </c>
      <c r="E40" s="9">
        <v>96537796000000</v>
      </c>
      <c r="F40" s="7">
        <v>96198559000000</v>
      </c>
      <c r="G40" s="9">
        <v>163136516000000</v>
      </c>
      <c r="H40" s="8">
        <v>179271840000000</v>
      </c>
      <c r="I40" s="8">
        <v>180433300000000</v>
      </c>
      <c r="J40" s="9">
        <v>4961851000000</v>
      </c>
      <c r="K40" s="7">
        <v>5902729000000</v>
      </c>
      <c r="L40" s="9">
        <v>8752066000000</v>
      </c>
      <c r="M40" s="8">
        <v>11229695000000</v>
      </c>
      <c r="N40" s="8">
        <v>9192569000000</v>
      </c>
      <c r="O40" s="9">
        <v>3484931000000</v>
      </c>
      <c r="P40" s="7">
        <v>1974386000000</v>
      </c>
      <c r="Q40" s="9">
        <v>3371943000000</v>
      </c>
      <c r="R40" s="9">
        <v>4126638000000</v>
      </c>
      <c r="S40" s="9">
        <v>4201345000000</v>
      </c>
      <c r="T40" s="9">
        <v>8780426500</v>
      </c>
      <c r="U40" s="9">
        <v>8780426500</v>
      </c>
      <c r="V40" s="9">
        <v>8780426500</v>
      </c>
      <c r="W40" s="9">
        <v>8780426500</v>
      </c>
      <c r="X40" s="9">
        <v>8780426500</v>
      </c>
    </row>
    <row r="41" spans="1:24" x14ac:dyDescent="0.25">
      <c r="A41" s="5">
        <v>37</v>
      </c>
      <c r="B41" s="5" t="s">
        <v>360</v>
      </c>
      <c r="C41" s="5" t="s">
        <v>361</v>
      </c>
      <c r="D41" s="6">
        <v>33058</v>
      </c>
      <c r="E41" s="7">
        <v>17591706426634</v>
      </c>
      <c r="F41" s="7">
        <v>19037918806473</v>
      </c>
      <c r="G41" s="7">
        <v>19777500514550</v>
      </c>
      <c r="H41" s="8">
        <v>19917653265528</v>
      </c>
      <c r="I41" s="8">
        <v>22276160695411</v>
      </c>
      <c r="J41" s="7">
        <v>1760434280304</v>
      </c>
      <c r="K41" s="7">
        <v>2051404206764</v>
      </c>
      <c r="L41" s="7">
        <v>2098168514645</v>
      </c>
      <c r="M41" s="17">
        <v>1211052647953</v>
      </c>
      <c r="N41" s="8">
        <v>1970064538149</v>
      </c>
      <c r="O41" s="7">
        <f>603684892575+12865125000</f>
        <v>616550017575</v>
      </c>
      <c r="P41" s="7">
        <v>662654792025</v>
      </c>
      <c r="Q41" s="7">
        <v>685013491750</v>
      </c>
      <c r="R41" s="9">
        <f>1162652385700+44109000000</f>
        <v>1206761385700</v>
      </c>
      <c r="S41" s="9">
        <f>469532694225+63568812500</f>
        <v>533101506725</v>
      </c>
      <c r="T41" s="9">
        <v>22358699725</v>
      </c>
      <c r="U41" s="9">
        <v>22358699725</v>
      </c>
      <c r="V41" s="9">
        <v>22358699725</v>
      </c>
      <c r="W41" s="9">
        <v>22358699725</v>
      </c>
      <c r="X41" s="9">
        <v>22358699725</v>
      </c>
    </row>
    <row r="42" spans="1:24" x14ac:dyDescent="0.25">
      <c r="A42" s="5">
        <v>38</v>
      </c>
      <c r="B42" s="5" t="s">
        <v>374</v>
      </c>
      <c r="C42" s="5" t="s">
        <v>375</v>
      </c>
      <c r="D42" s="6">
        <v>40357</v>
      </c>
      <c r="E42" s="7">
        <v>4393810380883</v>
      </c>
      <c r="F42" s="7">
        <v>4682083844951</v>
      </c>
      <c r="G42" s="9">
        <v>4452166671985</v>
      </c>
      <c r="H42" s="17">
        <v>4191284422677</v>
      </c>
      <c r="I42" s="17">
        <v>4130321616083</v>
      </c>
      <c r="J42" s="7">
        <v>127171436363</v>
      </c>
      <c r="K42" s="7">
        <v>236518557420</v>
      </c>
      <c r="L42" s="9">
        <v>168610282478</v>
      </c>
      <c r="M42" s="17">
        <v>283602993676</v>
      </c>
      <c r="N42" s="8">
        <v>432247722254</v>
      </c>
      <c r="O42" s="7">
        <v>36005365328</v>
      </c>
      <c r="P42" s="7">
        <v>59724779679</v>
      </c>
      <c r="Q42" s="9">
        <v>149528741987</v>
      </c>
      <c r="R42" s="9">
        <v>297289648543</v>
      </c>
      <c r="S42" s="9">
        <v>346139578657</v>
      </c>
      <c r="T42" s="9">
        <v>6186488888</v>
      </c>
      <c r="U42" s="9">
        <v>6186488888</v>
      </c>
      <c r="V42" s="9">
        <v>6186488888</v>
      </c>
      <c r="W42" s="10">
        <v>6186488888</v>
      </c>
      <c r="X42" s="10">
        <v>6186488888</v>
      </c>
    </row>
    <row r="43" spans="1:24" x14ac:dyDescent="0.25">
      <c r="A43" s="5">
        <v>39</v>
      </c>
      <c r="B43" s="5" t="s">
        <v>378</v>
      </c>
      <c r="C43" s="5" t="s">
        <v>379</v>
      </c>
      <c r="D43" s="6">
        <v>34220</v>
      </c>
      <c r="E43" s="7">
        <v>747293725435</v>
      </c>
      <c r="F43" s="7">
        <v>790845543826</v>
      </c>
      <c r="G43" s="7">
        <v>773863042440</v>
      </c>
      <c r="H43" s="17">
        <v>889125250792</v>
      </c>
      <c r="I43" s="17">
        <v>1033289474829</v>
      </c>
      <c r="J43" s="7">
        <v>31954131252</v>
      </c>
      <c r="K43" s="7">
        <v>44943627900</v>
      </c>
      <c r="L43" s="7">
        <v>42520246722</v>
      </c>
      <c r="M43" s="17">
        <v>84524160228</v>
      </c>
      <c r="N43" s="17">
        <v>74865302076</v>
      </c>
      <c r="O43" s="7">
        <v>4351665150</v>
      </c>
      <c r="P43" s="7">
        <v>5594998050</v>
      </c>
      <c r="Q43" s="7">
        <v>9324996750</v>
      </c>
      <c r="R43" s="9">
        <v>9324996750</v>
      </c>
      <c r="S43" s="17">
        <v>29841405600</v>
      </c>
      <c r="T43" s="9">
        <v>690740500</v>
      </c>
      <c r="U43" s="9">
        <v>690740500</v>
      </c>
      <c r="V43" s="17">
        <v>690740500</v>
      </c>
      <c r="W43" s="9">
        <v>690740500</v>
      </c>
      <c r="X43" s="9">
        <v>690740500</v>
      </c>
    </row>
    <row r="44" spans="1:24" x14ac:dyDescent="0.25">
      <c r="A44" s="5">
        <v>40</v>
      </c>
      <c r="B44" s="5" t="s">
        <v>386</v>
      </c>
      <c r="C44" s="5" t="s">
        <v>387</v>
      </c>
      <c r="D44" s="6">
        <v>33056</v>
      </c>
      <c r="E44" s="7">
        <v>5555871000000</v>
      </c>
      <c r="F44" s="7">
        <v>6608422000000</v>
      </c>
      <c r="G44" s="9">
        <v>8754116000000</v>
      </c>
      <c r="H44" s="17">
        <v>7406856000000</v>
      </c>
      <c r="I44" s="8">
        <v>7376375000000</v>
      </c>
      <c r="J44" s="7">
        <v>701607000000</v>
      </c>
      <c r="K44" s="7">
        <v>1035865000000</v>
      </c>
      <c r="L44" s="9">
        <v>1109666000000</v>
      </c>
      <c r="M44" s="17">
        <v>1276793000000</v>
      </c>
      <c r="N44" s="8">
        <v>965486000000</v>
      </c>
      <c r="O44" s="7">
        <v>1251000000</v>
      </c>
      <c r="P44" s="7">
        <v>150042000000</v>
      </c>
      <c r="Q44" s="7">
        <v>136678000000</v>
      </c>
      <c r="R44" s="9">
        <v>894810000000</v>
      </c>
      <c r="S44" s="8">
        <v>271804000000</v>
      </c>
      <c r="T44" s="9">
        <v>11553528000</v>
      </c>
      <c r="U44" s="9">
        <v>11553528000</v>
      </c>
      <c r="V44" s="9">
        <v>11553528000</v>
      </c>
      <c r="W44" s="9">
        <v>11553528000</v>
      </c>
      <c r="X44" s="9">
        <v>11553528000</v>
      </c>
    </row>
    <row r="45" spans="1:24" x14ac:dyDescent="0.25">
      <c r="A45" s="5">
        <v>41</v>
      </c>
      <c r="B45" s="5" t="s">
        <v>394</v>
      </c>
      <c r="C45" s="5" t="s">
        <v>395</v>
      </c>
      <c r="D45" s="6">
        <v>33100</v>
      </c>
      <c r="E45" s="7">
        <v>46602420000000</v>
      </c>
      <c r="F45" s="7">
        <v>50902806000000</v>
      </c>
      <c r="G45" s="9">
        <v>49674030000000</v>
      </c>
      <c r="H45" s="17">
        <v>53090428000000</v>
      </c>
      <c r="I45" s="17">
        <v>54786992000000</v>
      </c>
      <c r="J45" s="7">
        <v>13538418000000</v>
      </c>
      <c r="K45" s="7">
        <v>13721513000000</v>
      </c>
      <c r="L45" s="9">
        <v>8581378000000</v>
      </c>
      <c r="M45" s="17">
        <v>7137097000000</v>
      </c>
      <c r="N45" s="17">
        <v>6323744000000</v>
      </c>
      <c r="O45" s="7">
        <v>12480930000000</v>
      </c>
      <c r="P45" s="7">
        <v>13632478000000</v>
      </c>
      <c r="Q45" s="9">
        <v>13934906000000</v>
      </c>
      <c r="R45" s="9">
        <v>8467956000000</v>
      </c>
      <c r="S45" s="9">
        <v>7362934000000</v>
      </c>
      <c r="T45" s="9">
        <v>116318076900</v>
      </c>
      <c r="U45" s="9">
        <v>116318076900</v>
      </c>
      <c r="V45" s="9">
        <v>116318076900</v>
      </c>
      <c r="W45" s="10">
        <v>116318076900</v>
      </c>
      <c r="X45" s="17">
        <v>116318076900</v>
      </c>
    </row>
    <row r="46" spans="1:24" x14ac:dyDescent="0.25">
      <c r="A46" s="5">
        <v>42</v>
      </c>
      <c r="B46" s="5" t="s">
        <v>400</v>
      </c>
      <c r="C46" s="5" t="s">
        <v>401</v>
      </c>
      <c r="D46" s="6">
        <v>34649</v>
      </c>
      <c r="E46" s="7">
        <v>1682821739000</v>
      </c>
      <c r="F46" s="7">
        <v>1829960714000</v>
      </c>
      <c r="G46" s="9">
        <v>1986711872000</v>
      </c>
      <c r="H46" s="8">
        <v>2082911322000</v>
      </c>
      <c r="I46" s="8">
        <v>2009139485000</v>
      </c>
      <c r="J46" s="7">
        <v>200651968000</v>
      </c>
      <c r="K46" s="7">
        <v>221783249000</v>
      </c>
      <c r="L46" s="9">
        <v>162072984000</v>
      </c>
      <c r="M46" s="8">
        <v>146505337000</v>
      </c>
      <c r="N46" s="8">
        <v>149375011000</v>
      </c>
      <c r="O46" s="7">
        <v>119406233000</v>
      </c>
      <c r="P46" s="7">
        <v>119618582000</v>
      </c>
      <c r="Q46" s="9">
        <v>119840000000</v>
      </c>
      <c r="R46" s="9">
        <v>125440000000</v>
      </c>
      <c r="S46" s="9">
        <v>125440000000</v>
      </c>
      <c r="T46" s="9">
        <v>1120000000</v>
      </c>
      <c r="U46" s="9">
        <v>1120000000</v>
      </c>
      <c r="V46" s="9">
        <v>1120000000</v>
      </c>
      <c r="W46" s="10">
        <v>1120000000</v>
      </c>
      <c r="X46" s="8">
        <v>1120000000</v>
      </c>
    </row>
    <row r="47" spans="1:24" x14ac:dyDescent="0.25">
      <c r="A47" s="5">
        <v>43</v>
      </c>
      <c r="B47" s="5" t="s">
        <v>404</v>
      </c>
      <c r="C47" s="5" t="s">
        <v>405</v>
      </c>
      <c r="D47" s="6">
        <v>37076</v>
      </c>
      <c r="E47" s="7">
        <v>9460427317681</v>
      </c>
      <c r="F47" s="7">
        <v>18352877132000</v>
      </c>
      <c r="G47" s="7">
        <v>17562816674000</v>
      </c>
      <c r="H47" s="8">
        <v>17760195040000</v>
      </c>
      <c r="I47" s="8">
        <v>20353992893000</v>
      </c>
      <c r="J47" s="7">
        <v>401792808948</v>
      </c>
      <c r="K47" s="7">
        <v>15890439000</v>
      </c>
      <c r="L47" s="7">
        <v>20425756000</v>
      </c>
      <c r="M47" s="8">
        <v>289888789000</v>
      </c>
      <c r="N47" s="18">
        <v>-109782957000</v>
      </c>
      <c r="O47" s="7">
        <v>98083640000</v>
      </c>
      <c r="P47" s="7">
        <v>83198920000</v>
      </c>
      <c r="Q47" s="7">
        <v>32322987000</v>
      </c>
      <c r="R47" s="9">
        <v>17528119000</v>
      </c>
      <c r="S47" s="9">
        <v>90682089000</v>
      </c>
      <c r="T47" s="9">
        <v>5554000000</v>
      </c>
      <c r="U47" s="9">
        <v>5554000000</v>
      </c>
      <c r="V47" s="9">
        <v>5554000000</v>
      </c>
      <c r="W47" s="9">
        <v>5554000000</v>
      </c>
      <c r="X47" s="9">
        <v>5554000000</v>
      </c>
    </row>
    <row r="48" spans="1:24" x14ac:dyDescent="0.25">
      <c r="A48" s="5">
        <v>44</v>
      </c>
      <c r="B48" s="5" t="s">
        <v>406</v>
      </c>
      <c r="C48" s="5" t="s">
        <v>407</v>
      </c>
      <c r="D48" s="6">
        <v>33449</v>
      </c>
      <c r="E48" s="7">
        <v>18146206145369</v>
      </c>
      <c r="F48" s="7">
        <v>20264726862584</v>
      </c>
      <c r="G48" s="9">
        <v>22564300317374</v>
      </c>
      <c r="H48" s="8">
        <v>25666635156271</v>
      </c>
      <c r="I48" s="8">
        <v>27241313025674</v>
      </c>
      <c r="J48" s="7">
        <v>2497261964757</v>
      </c>
      <c r="K48" s="7">
        <v>2537601823645</v>
      </c>
      <c r="L48" s="9">
        <v>2799622515814</v>
      </c>
      <c r="M48" s="8">
        <v>3232007683281</v>
      </c>
      <c r="N48" s="8">
        <v>3450083412291</v>
      </c>
      <c r="O48" s="7">
        <v>1190617265850</v>
      </c>
      <c r="P48" s="9">
        <v>1252864180779</v>
      </c>
      <c r="Q48" s="9">
        <v>1252278191746</v>
      </c>
      <c r="R48" s="9">
        <v>1372742724917</v>
      </c>
      <c r="S48" s="9">
        <v>1696987952180</v>
      </c>
      <c r="T48" s="9">
        <v>46875122110</v>
      </c>
      <c r="U48" s="9">
        <v>46875122110</v>
      </c>
      <c r="V48" s="9">
        <v>46875122110</v>
      </c>
      <c r="W48" s="9">
        <v>46875122110</v>
      </c>
      <c r="X48" s="9">
        <v>46875122110</v>
      </c>
    </row>
    <row r="49" spans="1:24" x14ac:dyDescent="0.25">
      <c r="A49" s="5">
        <v>45</v>
      </c>
      <c r="B49" s="5" t="s">
        <v>410</v>
      </c>
      <c r="C49" s="5" t="s">
        <v>411</v>
      </c>
      <c r="D49" s="6">
        <v>43460</v>
      </c>
      <c r="E49" s="7">
        <v>1868663546000</v>
      </c>
      <c r="F49" s="7">
        <v>2096719180000</v>
      </c>
      <c r="G49" s="7">
        <v>1915989375000</v>
      </c>
      <c r="H49" s="8">
        <v>1838539299000</v>
      </c>
      <c r="I49" s="8">
        <v>1806280965000</v>
      </c>
      <c r="J49" s="7">
        <v>133292514000</v>
      </c>
      <c r="K49" s="7">
        <v>102310124000</v>
      </c>
      <c r="L49" s="7">
        <v>48665149000</v>
      </c>
      <c r="M49" s="8">
        <v>11296951000</v>
      </c>
      <c r="N49" s="8">
        <v>27395254000</v>
      </c>
      <c r="O49" s="7">
        <v>87686243000</v>
      </c>
      <c r="P49" s="7">
        <v>92716852000</v>
      </c>
      <c r="Q49" s="7">
        <v>71447083000</v>
      </c>
      <c r="R49" s="9">
        <v>19395150000</v>
      </c>
      <c r="S49" s="8">
        <v>6644400000</v>
      </c>
      <c r="T49" s="10">
        <v>840000000</v>
      </c>
      <c r="U49" s="10">
        <v>840000000</v>
      </c>
      <c r="V49" s="9">
        <v>840000000</v>
      </c>
      <c r="W49" s="9">
        <v>840000000</v>
      </c>
      <c r="X49" s="9">
        <v>840000000</v>
      </c>
    </row>
    <row r="50" spans="1:24" x14ac:dyDescent="0.25">
      <c r="A50" s="5">
        <v>46</v>
      </c>
      <c r="B50" s="5" t="s">
        <v>416</v>
      </c>
      <c r="C50" s="5" t="s">
        <v>417</v>
      </c>
      <c r="D50" s="6">
        <v>41626</v>
      </c>
      <c r="E50" s="7">
        <v>3337628000000</v>
      </c>
      <c r="F50" s="7">
        <v>3529557000000</v>
      </c>
      <c r="G50" s="7">
        <v>3849516000000</v>
      </c>
      <c r="H50" s="17">
        <v>4068970000000</v>
      </c>
      <c r="I50" s="17">
        <v>4081442000000</v>
      </c>
      <c r="J50" s="7">
        <v>663849000000</v>
      </c>
      <c r="K50" s="7">
        <v>807689000000</v>
      </c>
      <c r="L50" s="7">
        <v>934016000000</v>
      </c>
      <c r="M50" s="17">
        <v>1260898000000</v>
      </c>
      <c r="N50" s="17">
        <v>1104714000000</v>
      </c>
      <c r="O50" s="7">
        <v>654882000000</v>
      </c>
      <c r="P50" s="7">
        <v>640028000000</v>
      </c>
      <c r="Q50" s="7">
        <v>773988000000</v>
      </c>
      <c r="R50" s="9">
        <v>1018142000000</v>
      </c>
      <c r="S50" s="9">
        <v>1086000000000</v>
      </c>
      <c r="T50" s="10">
        <v>15000000000</v>
      </c>
      <c r="U50" s="10">
        <v>15000000000</v>
      </c>
      <c r="V50" s="9">
        <v>30000000000</v>
      </c>
      <c r="W50" s="9">
        <v>30000000000</v>
      </c>
      <c r="X50" s="9">
        <v>30000000000</v>
      </c>
    </row>
    <row r="51" spans="1:24" x14ac:dyDescent="0.25">
      <c r="A51" s="5">
        <v>47</v>
      </c>
      <c r="B51" s="5" t="s">
        <v>420</v>
      </c>
      <c r="C51" s="5" t="s">
        <v>421</v>
      </c>
      <c r="D51" s="6">
        <v>34351</v>
      </c>
      <c r="E51" s="7">
        <v>7869975060326</v>
      </c>
      <c r="F51" s="7">
        <v>8372769580743</v>
      </c>
      <c r="G51" s="7">
        <v>9104657533366</v>
      </c>
      <c r="H51" s="17">
        <v>9644326662784</v>
      </c>
      <c r="I51" s="17">
        <v>11328974079150</v>
      </c>
      <c r="J51" s="7">
        <v>540378145887</v>
      </c>
      <c r="K51" s="7">
        <v>595154912874</v>
      </c>
      <c r="L51" s="7">
        <v>834369751682</v>
      </c>
      <c r="M51" s="17">
        <v>877817637643</v>
      </c>
      <c r="N51" s="17">
        <v>1037527882044</v>
      </c>
      <c r="O51" s="7">
        <v>180000000000</v>
      </c>
      <c r="P51" s="7">
        <v>180000000000</v>
      </c>
      <c r="Q51" s="7">
        <v>225000000000</v>
      </c>
      <c r="R51" s="9">
        <v>360197286000</v>
      </c>
      <c r="S51" s="9">
        <v>338239822500</v>
      </c>
      <c r="T51" s="10">
        <v>4500000000</v>
      </c>
      <c r="U51" s="10">
        <v>4500000000</v>
      </c>
      <c r="V51" s="9">
        <v>4500000000</v>
      </c>
      <c r="W51" s="9">
        <v>4509864300</v>
      </c>
      <c r="X51" s="9">
        <v>4509864300</v>
      </c>
    </row>
    <row r="52" spans="1:24" x14ac:dyDescent="0.25">
      <c r="A52" s="5">
        <v>48</v>
      </c>
      <c r="B52" s="19" t="s">
        <v>424</v>
      </c>
      <c r="C52" s="19" t="s">
        <v>425</v>
      </c>
      <c r="D52" s="6">
        <v>43003</v>
      </c>
      <c r="E52" s="7">
        <v>914065000000</v>
      </c>
      <c r="F52" s="7">
        <v>923795000000</v>
      </c>
      <c r="G52" s="7">
        <v>973684000000</v>
      </c>
      <c r="H52" s="8">
        <v>985400000000</v>
      </c>
      <c r="I52" s="8">
        <v>1045929000000</v>
      </c>
      <c r="J52" s="7">
        <v>914065000000</v>
      </c>
      <c r="K52" s="7">
        <v>923795000000</v>
      </c>
      <c r="L52" s="7">
        <v>40085000000</v>
      </c>
      <c r="M52" s="8">
        <v>38851000000</v>
      </c>
      <c r="N52" s="8">
        <v>38417000000</v>
      </c>
      <c r="O52" s="52">
        <v>30723000000</v>
      </c>
      <c r="P52" s="52">
        <v>30362000000</v>
      </c>
      <c r="Q52" s="52">
        <v>22771000000</v>
      </c>
      <c r="R52" s="52">
        <v>30362000000</v>
      </c>
      <c r="S52" s="9">
        <v>25302000000</v>
      </c>
      <c r="T52" s="10">
        <v>2131776780</v>
      </c>
      <c r="U52" s="10">
        <v>2530150002</v>
      </c>
      <c r="V52" s="10">
        <v>2530150002</v>
      </c>
      <c r="W52" s="10">
        <v>2530150002</v>
      </c>
      <c r="X52" s="10">
        <v>2530150002</v>
      </c>
    </row>
    <row r="53" spans="1:24" x14ac:dyDescent="0.25">
      <c r="A53" s="5">
        <v>49</v>
      </c>
      <c r="B53" s="5" t="s">
        <v>438</v>
      </c>
      <c r="C53" s="5" t="s">
        <v>439</v>
      </c>
      <c r="D53" s="6">
        <v>29962</v>
      </c>
      <c r="E53" s="7">
        <v>19522970000000</v>
      </c>
      <c r="F53" s="7">
        <v>20649371000000</v>
      </c>
      <c r="G53" s="9">
        <v>20534632000000</v>
      </c>
      <c r="H53" s="17">
        <v>19068532000000</v>
      </c>
      <c r="I53" s="17">
        <v>18318114000000</v>
      </c>
      <c r="J53" s="7">
        <v>9109445000000</v>
      </c>
      <c r="K53" s="7">
        <v>7392837000000</v>
      </c>
      <c r="L53" s="9">
        <v>7163536000000</v>
      </c>
      <c r="M53" s="17">
        <v>5758148000000</v>
      </c>
      <c r="N53" s="17">
        <v>5364761000000</v>
      </c>
      <c r="O53" s="7">
        <v>6981450000000</v>
      </c>
      <c r="P53" s="7">
        <v>9191962000000</v>
      </c>
      <c r="Q53" s="9">
        <v>7401100000000</v>
      </c>
      <c r="R53" s="9">
        <v>6332900000000</v>
      </c>
      <c r="S53" s="9">
        <v>5836950000000</v>
      </c>
      <c r="T53" s="10">
        <v>7630000000</v>
      </c>
      <c r="U53" s="10">
        <v>7630000000</v>
      </c>
      <c r="V53" s="9">
        <v>38150000000</v>
      </c>
      <c r="W53" s="9">
        <v>38150000000</v>
      </c>
      <c r="X53" s="9">
        <v>38150000000</v>
      </c>
    </row>
  </sheetData>
  <mergeCells count="4">
    <mergeCell ref="E3:I3"/>
    <mergeCell ref="J3:N3"/>
    <mergeCell ref="O3:S3"/>
    <mergeCell ref="T3:X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76EAF-A457-43B8-8B32-72E9F0D6D0B8}">
  <dimension ref="A1:D246"/>
  <sheetViews>
    <sheetView topLeftCell="A230" workbookViewId="0">
      <selection activeCell="G240" sqref="G240"/>
    </sheetView>
  </sheetViews>
  <sheetFormatPr defaultRowHeight="15" x14ac:dyDescent="0.25"/>
  <cols>
    <col min="1" max="1" width="5.28515625" customWidth="1"/>
    <col min="2" max="2" width="25.140625" customWidth="1"/>
    <col min="3" max="3" width="8" customWidth="1"/>
    <col min="4" max="4" width="31" customWidth="1"/>
  </cols>
  <sheetData>
    <row r="1" spans="1:4" x14ac:dyDescent="0.25">
      <c r="A1" s="89" t="s">
        <v>498</v>
      </c>
      <c r="B1" s="89" t="s">
        <v>499</v>
      </c>
      <c r="C1" s="89" t="s">
        <v>500</v>
      </c>
      <c r="D1" s="89" t="s">
        <v>502</v>
      </c>
    </row>
    <row r="2" spans="1:4" ht="15.75" x14ac:dyDescent="0.25">
      <c r="A2" s="96">
        <v>1</v>
      </c>
      <c r="B2" s="97" t="s">
        <v>10</v>
      </c>
      <c r="C2" s="90">
        <v>2018</v>
      </c>
      <c r="D2" s="91">
        <v>0.25140000000000001</v>
      </c>
    </row>
    <row r="3" spans="1:4" ht="15.75" x14ac:dyDescent="0.25">
      <c r="A3" s="96"/>
      <c r="B3" s="97"/>
      <c r="C3" s="90">
        <v>2019</v>
      </c>
      <c r="D3" s="91">
        <v>0.24</v>
      </c>
    </row>
    <row r="4" spans="1:4" ht="15.75" x14ac:dyDescent="0.25">
      <c r="A4" s="96"/>
      <c r="B4" s="97"/>
      <c r="C4" s="90">
        <v>2020</v>
      </c>
      <c r="D4" s="91">
        <v>0.22</v>
      </c>
    </row>
    <row r="5" spans="1:4" ht="15.75" x14ac:dyDescent="0.25">
      <c r="A5" s="96"/>
      <c r="B5" s="97"/>
      <c r="C5" s="90">
        <v>2021</v>
      </c>
      <c r="D5" s="91">
        <v>0.26</v>
      </c>
    </row>
    <row r="6" spans="1:4" ht="15.75" x14ac:dyDescent="0.25">
      <c r="A6" s="96"/>
      <c r="B6" s="97"/>
      <c r="C6" s="90">
        <v>2022</v>
      </c>
      <c r="D6" s="92">
        <v>0.34760000000000002</v>
      </c>
    </row>
    <row r="7" spans="1:4" ht="15.75" x14ac:dyDescent="0.25">
      <c r="A7" s="96">
        <v>2</v>
      </c>
      <c r="B7" s="97" t="s">
        <v>18</v>
      </c>
      <c r="C7" s="90">
        <v>2018</v>
      </c>
      <c r="D7" s="91">
        <v>0.18</v>
      </c>
    </row>
    <row r="8" spans="1:4" ht="15.75" x14ac:dyDescent="0.25">
      <c r="A8" s="96"/>
      <c r="B8" s="97"/>
      <c r="C8" s="90">
        <v>2019</v>
      </c>
      <c r="D8" s="91">
        <v>0.2</v>
      </c>
    </row>
    <row r="9" spans="1:4" ht="15.75" x14ac:dyDescent="0.25">
      <c r="A9" s="96"/>
      <c r="B9" s="97"/>
      <c r="C9" s="90">
        <v>2020</v>
      </c>
      <c r="D9" s="91">
        <v>0.26</v>
      </c>
    </row>
    <row r="10" spans="1:4" ht="15.75" x14ac:dyDescent="0.25">
      <c r="A10" s="96"/>
      <c r="B10" s="97"/>
      <c r="C10" s="90">
        <v>2021</v>
      </c>
      <c r="D10" s="91">
        <v>0.2878</v>
      </c>
    </row>
    <row r="11" spans="1:4" ht="15.75" x14ac:dyDescent="0.25">
      <c r="A11" s="96"/>
      <c r="B11" s="97"/>
      <c r="C11" s="90">
        <v>2022</v>
      </c>
      <c r="D11" s="92">
        <v>0.28999999999999998</v>
      </c>
    </row>
    <row r="12" spans="1:4" ht="15.75" x14ac:dyDescent="0.25">
      <c r="A12" s="96">
        <v>3</v>
      </c>
      <c r="B12" s="97" t="s">
        <v>24</v>
      </c>
      <c r="C12" s="90">
        <v>2018</v>
      </c>
      <c r="D12" s="91">
        <v>0.189</v>
      </c>
    </row>
    <row r="13" spans="1:4" ht="15.75" x14ac:dyDescent="0.25">
      <c r="A13" s="96"/>
      <c r="B13" s="97"/>
      <c r="C13" s="90">
        <v>2019</v>
      </c>
      <c r="D13" s="91">
        <v>0.19</v>
      </c>
    </row>
    <row r="14" spans="1:4" ht="15.75" x14ac:dyDescent="0.25">
      <c r="A14" s="96"/>
      <c r="B14" s="97"/>
      <c r="C14" s="90">
        <v>2020</v>
      </c>
      <c r="D14" s="91">
        <v>0.15</v>
      </c>
    </row>
    <row r="15" spans="1:4" ht="15.75" x14ac:dyDescent="0.25">
      <c r="A15" s="96"/>
      <c r="B15" s="97"/>
      <c r="C15" s="90">
        <v>2021</v>
      </c>
      <c r="D15" s="91">
        <v>0.2</v>
      </c>
    </row>
    <row r="16" spans="1:4" ht="15.75" x14ac:dyDescent="0.25">
      <c r="A16" s="96"/>
      <c r="B16" s="97"/>
      <c r="C16" s="90">
        <v>2022</v>
      </c>
      <c r="D16" s="92">
        <v>0.25</v>
      </c>
    </row>
    <row r="17" spans="1:4" ht="15.75" x14ac:dyDescent="0.25">
      <c r="A17" s="96">
        <v>4</v>
      </c>
      <c r="B17" s="97" t="s">
        <v>30</v>
      </c>
      <c r="C17" s="90">
        <v>2018</v>
      </c>
      <c r="D17" s="92">
        <v>0.2</v>
      </c>
    </row>
    <row r="18" spans="1:4" ht="15.75" x14ac:dyDescent="0.25">
      <c r="A18" s="96"/>
      <c r="B18" s="97"/>
      <c r="C18" s="90">
        <v>2019</v>
      </c>
      <c r="D18" s="92">
        <v>0.25890000000000002</v>
      </c>
    </row>
    <row r="19" spans="1:4" ht="15.75" x14ac:dyDescent="0.25">
      <c r="A19" s="96"/>
      <c r="B19" s="97"/>
      <c r="C19" s="90">
        <v>2020</v>
      </c>
      <c r="D19" s="92">
        <v>0.31900000000000001</v>
      </c>
    </row>
    <row r="20" spans="1:4" ht="15.75" x14ac:dyDescent="0.25">
      <c r="A20" s="96"/>
      <c r="B20" s="97"/>
      <c r="C20" s="90">
        <v>2021</v>
      </c>
      <c r="D20" s="92">
        <v>0.32</v>
      </c>
    </row>
    <row r="21" spans="1:4" ht="15.75" x14ac:dyDescent="0.25">
      <c r="A21" s="96"/>
      <c r="B21" s="97"/>
      <c r="C21" s="90">
        <v>2022</v>
      </c>
      <c r="D21" s="92">
        <v>0.33560000000000001</v>
      </c>
    </row>
    <row r="22" spans="1:4" ht="15.75" x14ac:dyDescent="0.25">
      <c r="A22" s="96">
        <v>5</v>
      </c>
      <c r="B22" s="97" t="s">
        <v>36</v>
      </c>
      <c r="C22" s="90">
        <v>2018</v>
      </c>
      <c r="D22" s="92">
        <v>0.23</v>
      </c>
    </row>
    <row r="23" spans="1:4" ht="15.75" x14ac:dyDescent="0.25">
      <c r="A23" s="96"/>
      <c r="B23" s="97"/>
      <c r="C23" s="90">
        <v>2019</v>
      </c>
      <c r="D23" s="92">
        <v>0.23699999999999999</v>
      </c>
    </row>
    <row r="24" spans="1:4" ht="15.75" x14ac:dyDescent="0.25">
      <c r="A24" s="96"/>
      <c r="B24" s="97"/>
      <c r="C24" s="90">
        <v>2020</v>
      </c>
      <c r="D24" s="92">
        <v>0.29870000000000002</v>
      </c>
    </row>
    <row r="25" spans="1:4" ht="15.75" x14ac:dyDescent="0.25">
      <c r="A25" s="96"/>
      <c r="B25" s="97"/>
      <c r="C25" s="90">
        <v>2021</v>
      </c>
      <c r="D25" s="92">
        <v>0.31780000000000003</v>
      </c>
    </row>
    <row r="26" spans="1:4" ht="15.75" x14ac:dyDescent="0.25">
      <c r="A26" s="96"/>
      <c r="B26" s="97"/>
      <c r="C26" s="90">
        <v>2022</v>
      </c>
      <c r="D26" s="92">
        <v>0.33</v>
      </c>
    </row>
    <row r="27" spans="1:4" ht="15.75" x14ac:dyDescent="0.25">
      <c r="A27" s="96">
        <v>6</v>
      </c>
      <c r="B27" s="97" t="s">
        <v>40</v>
      </c>
      <c r="C27" s="90">
        <v>2018</v>
      </c>
      <c r="D27" s="92">
        <v>0.19</v>
      </c>
    </row>
    <row r="28" spans="1:4" ht="15.75" x14ac:dyDescent="0.25">
      <c r="A28" s="96"/>
      <c r="B28" s="97"/>
      <c r="C28" s="90">
        <v>2019</v>
      </c>
      <c r="D28" s="92">
        <v>0.245</v>
      </c>
    </row>
    <row r="29" spans="1:4" ht="15.75" x14ac:dyDescent="0.25">
      <c r="A29" s="96"/>
      <c r="B29" s="97"/>
      <c r="C29" s="90">
        <v>2020</v>
      </c>
      <c r="D29" s="92">
        <v>0.26440000000000002</v>
      </c>
    </row>
    <row r="30" spans="1:4" ht="15.75" x14ac:dyDescent="0.25">
      <c r="A30" s="96"/>
      <c r="B30" s="97"/>
      <c r="C30" s="90">
        <v>2021</v>
      </c>
      <c r="D30" s="92">
        <v>0.23130000000000001</v>
      </c>
    </row>
    <row r="31" spans="1:4" ht="15.75" x14ac:dyDescent="0.25">
      <c r="A31" s="96"/>
      <c r="B31" s="97"/>
      <c r="C31" s="90">
        <v>2022</v>
      </c>
      <c r="D31" s="92">
        <v>0.34</v>
      </c>
    </row>
    <row r="32" spans="1:4" ht="15.75" x14ac:dyDescent="0.25">
      <c r="A32" s="96">
        <v>7</v>
      </c>
      <c r="B32" s="97" t="s">
        <v>82</v>
      </c>
      <c r="C32" s="90">
        <v>2018</v>
      </c>
      <c r="D32" s="92">
        <v>0.17499999999999999</v>
      </c>
    </row>
    <row r="33" spans="1:4" ht="15.75" x14ac:dyDescent="0.25">
      <c r="A33" s="96"/>
      <c r="B33" s="97"/>
      <c r="C33" s="90">
        <v>2019</v>
      </c>
      <c r="D33" s="92">
        <v>0.2087</v>
      </c>
    </row>
    <row r="34" spans="1:4" ht="15.75" x14ac:dyDescent="0.25">
      <c r="A34" s="96"/>
      <c r="B34" s="97"/>
      <c r="C34" s="90">
        <v>2020</v>
      </c>
      <c r="D34" s="92">
        <v>0.22</v>
      </c>
    </row>
    <row r="35" spans="1:4" ht="15.75" x14ac:dyDescent="0.25">
      <c r="A35" s="96"/>
      <c r="B35" s="97"/>
      <c r="C35" s="90">
        <v>2021</v>
      </c>
      <c r="D35" s="92">
        <v>0.2132</v>
      </c>
    </row>
    <row r="36" spans="1:4" ht="15.75" x14ac:dyDescent="0.25">
      <c r="A36" s="96"/>
      <c r="B36" s="97"/>
      <c r="C36" s="90">
        <v>2022</v>
      </c>
      <c r="D36" s="92">
        <v>0.36</v>
      </c>
    </row>
    <row r="37" spans="1:4" ht="15.75" x14ac:dyDescent="0.25">
      <c r="A37" s="96">
        <v>8</v>
      </c>
      <c r="B37" s="97" t="s">
        <v>89</v>
      </c>
      <c r="C37" s="90">
        <v>2018</v>
      </c>
      <c r="D37" s="91">
        <v>0.18</v>
      </c>
    </row>
    <row r="38" spans="1:4" ht="15.75" x14ac:dyDescent="0.25">
      <c r="A38" s="96"/>
      <c r="B38" s="97"/>
      <c r="C38" s="90">
        <v>2019</v>
      </c>
      <c r="D38" s="92">
        <v>0.17</v>
      </c>
    </row>
    <row r="39" spans="1:4" ht="15.75" x14ac:dyDescent="0.25">
      <c r="A39" s="96"/>
      <c r="B39" s="97"/>
      <c r="C39" s="90">
        <v>2020</v>
      </c>
      <c r="D39" s="91">
        <v>0.11</v>
      </c>
    </row>
    <row r="40" spans="1:4" ht="15.75" x14ac:dyDescent="0.25">
      <c r="A40" s="96"/>
      <c r="B40" s="97"/>
      <c r="C40" s="90">
        <v>2021</v>
      </c>
      <c r="D40" s="91">
        <v>0.11</v>
      </c>
    </row>
    <row r="41" spans="1:4" ht="15.75" x14ac:dyDescent="0.25">
      <c r="A41" s="96"/>
      <c r="B41" s="97"/>
      <c r="C41" s="90">
        <v>2022</v>
      </c>
      <c r="D41" s="92">
        <v>0.1895</v>
      </c>
    </row>
    <row r="42" spans="1:4" ht="15.75" x14ac:dyDescent="0.25">
      <c r="A42" s="96">
        <v>9</v>
      </c>
      <c r="B42" s="97" t="s">
        <v>99</v>
      </c>
      <c r="C42" s="90">
        <v>2018</v>
      </c>
      <c r="D42" s="92">
        <v>0.12</v>
      </c>
    </row>
    <row r="43" spans="1:4" ht="15.75" x14ac:dyDescent="0.25">
      <c r="A43" s="96"/>
      <c r="B43" s="97"/>
      <c r="C43" s="90">
        <v>2019</v>
      </c>
      <c r="D43" s="92">
        <v>0.20760000000000001</v>
      </c>
    </row>
    <row r="44" spans="1:4" ht="15.75" x14ac:dyDescent="0.25">
      <c r="A44" s="96"/>
      <c r="B44" s="97"/>
      <c r="C44" s="90">
        <v>2020</v>
      </c>
      <c r="D44" s="92">
        <v>0.25559999999999999</v>
      </c>
    </row>
    <row r="45" spans="1:4" ht="15.75" x14ac:dyDescent="0.25">
      <c r="A45" s="96"/>
      <c r="B45" s="97"/>
      <c r="C45" s="90">
        <v>2021</v>
      </c>
      <c r="D45" s="92">
        <v>0.23</v>
      </c>
    </row>
    <row r="46" spans="1:4" ht="15.75" x14ac:dyDescent="0.25">
      <c r="A46" s="96"/>
      <c r="B46" s="97"/>
      <c r="C46" s="90">
        <v>2022</v>
      </c>
      <c r="D46" s="92">
        <v>0.27979999999999999</v>
      </c>
    </row>
    <row r="47" spans="1:4" ht="15.75" x14ac:dyDescent="0.25">
      <c r="A47" s="96">
        <v>10</v>
      </c>
      <c r="B47" s="97" t="s">
        <v>111</v>
      </c>
      <c r="C47" s="90">
        <v>2018</v>
      </c>
      <c r="D47" s="92">
        <v>0.21</v>
      </c>
    </row>
    <row r="48" spans="1:4" ht="15.75" x14ac:dyDescent="0.25">
      <c r="A48" s="96"/>
      <c r="B48" s="97"/>
      <c r="C48" s="90">
        <v>2019</v>
      </c>
      <c r="D48" s="92">
        <v>0.23569999999999999</v>
      </c>
    </row>
    <row r="49" spans="1:4" ht="15.75" x14ac:dyDescent="0.25">
      <c r="A49" s="96"/>
      <c r="B49" s="97"/>
      <c r="C49" s="90">
        <v>2020</v>
      </c>
      <c r="D49" s="92">
        <v>0.25</v>
      </c>
    </row>
    <row r="50" spans="1:4" ht="15.75" x14ac:dyDescent="0.25">
      <c r="A50" s="96"/>
      <c r="B50" s="97"/>
      <c r="C50" s="90">
        <v>2021</v>
      </c>
      <c r="D50" s="92">
        <v>0.26900000000000002</v>
      </c>
    </row>
    <row r="51" spans="1:4" ht="15.75" x14ac:dyDescent="0.25">
      <c r="A51" s="96"/>
      <c r="B51" s="97"/>
      <c r="C51" s="90">
        <v>2022</v>
      </c>
      <c r="D51" s="92">
        <v>0.34760000000000002</v>
      </c>
    </row>
    <row r="52" spans="1:4" ht="15.75" x14ac:dyDescent="0.25">
      <c r="A52" s="96">
        <v>11</v>
      </c>
      <c r="B52" s="97" t="s">
        <v>113</v>
      </c>
      <c r="C52" s="90">
        <v>2018</v>
      </c>
      <c r="D52" s="92">
        <v>0.17</v>
      </c>
    </row>
    <row r="53" spans="1:4" ht="15.75" x14ac:dyDescent="0.25">
      <c r="A53" s="96"/>
      <c r="B53" s="97"/>
      <c r="C53" s="90">
        <v>2019</v>
      </c>
      <c r="D53" s="92">
        <v>0.21340000000000001</v>
      </c>
    </row>
    <row r="54" spans="1:4" ht="15.75" x14ac:dyDescent="0.25">
      <c r="A54" s="96"/>
      <c r="B54" s="97"/>
      <c r="C54" s="90">
        <v>2020</v>
      </c>
      <c r="D54" s="92">
        <v>0.2656</v>
      </c>
    </row>
    <row r="55" spans="1:4" ht="15.75" x14ac:dyDescent="0.25">
      <c r="A55" s="96"/>
      <c r="B55" s="97"/>
      <c r="C55" s="90">
        <v>2021</v>
      </c>
      <c r="D55" s="92">
        <v>0.28000000000000003</v>
      </c>
    </row>
    <row r="56" spans="1:4" ht="15.75" x14ac:dyDescent="0.25">
      <c r="A56" s="96"/>
      <c r="B56" s="97"/>
      <c r="C56" s="90">
        <v>2022</v>
      </c>
      <c r="D56" s="92">
        <v>0.37990000000000002</v>
      </c>
    </row>
    <row r="57" spans="1:4" ht="15.75" x14ac:dyDescent="0.25">
      <c r="A57" s="96">
        <v>12</v>
      </c>
      <c r="B57" s="97" t="s">
        <v>115</v>
      </c>
      <c r="C57" s="90">
        <v>2018</v>
      </c>
      <c r="D57" s="92">
        <v>0.22</v>
      </c>
    </row>
    <row r="58" spans="1:4" ht="15.75" x14ac:dyDescent="0.25">
      <c r="A58" s="96"/>
      <c r="B58" s="97"/>
      <c r="C58" s="90">
        <v>2019</v>
      </c>
      <c r="D58" s="92">
        <v>0.24979999999999999</v>
      </c>
    </row>
    <row r="59" spans="1:4" ht="15.75" x14ac:dyDescent="0.25">
      <c r="A59" s="96"/>
      <c r="B59" s="97"/>
      <c r="C59" s="90">
        <v>2020</v>
      </c>
      <c r="D59" s="91">
        <v>0.1</v>
      </c>
    </row>
    <row r="60" spans="1:4" ht="15.75" x14ac:dyDescent="0.25">
      <c r="A60" s="96"/>
      <c r="B60" s="97"/>
      <c r="C60" s="90">
        <v>2021</v>
      </c>
      <c r="D60" s="91">
        <v>0.21</v>
      </c>
    </row>
    <row r="61" spans="1:4" ht="15.75" x14ac:dyDescent="0.25">
      <c r="A61" s="96"/>
      <c r="B61" s="97"/>
      <c r="C61" s="90">
        <v>2022</v>
      </c>
      <c r="D61" s="92">
        <v>0.25979999999999998</v>
      </c>
    </row>
    <row r="62" spans="1:4" ht="15.75" x14ac:dyDescent="0.25">
      <c r="A62" s="96">
        <v>13</v>
      </c>
      <c r="B62" s="97" t="s">
        <v>129</v>
      </c>
      <c r="C62" s="90">
        <v>2018</v>
      </c>
      <c r="D62" s="91">
        <v>0.15279999999999999</v>
      </c>
    </row>
    <row r="63" spans="1:4" ht="15.75" x14ac:dyDescent="0.25">
      <c r="A63" s="96"/>
      <c r="B63" s="97"/>
      <c r="C63" s="90">
        <v>2019</v>
      </c>
      <c r="D63" s="92">
        <v>0.1888</v>
      </c>
    </row>
    <row r="64" spans="1:4" ht="15.75" x14ac:dyDescent="0.25">
      <c r="A64" s="96"/>
      <c r="B64" s="97"/>
      <c r="C64" s="90">
        <v>2020</v>
      </c>
      <c r="D64" s="92">
        <v>0.22</v>
      </c>
    </row>
    <row r="65" spans="1:4" ht="15.75" x14ac:dyDescent="0.25">
      <c r="A65" s="96"/>
      <c r="B65" s="97"/>
      <c r="C65" s="90">
        <v>2021</v>
      </c>
      <c r="D65" s="92">
        <v>0.25559999999999999</v>
      </c>
    </row>
    <row r="66" spans="1:4" ht="15.75" x14ac:dyDescent="0.25">
      <c r="A66" s="96"/>
      <c r="B66" s="97"/>
      <c r="C66" s="90">
        <v>2022</v>
      </c>
      <c r="D66" s="92">
        <v>0.27560000000000001</v>
      </c>
    </row>
    <row r="67" spans="1:4" ht="15.75" x14ac:dyDescent="0.25">
      <c r="A67" s="96">
        <v>14</v>
      </c>
      <c r="B67" s="97" t="s">
        <v>131</v>
      </c>
      <c r="C67" s="90">
        <v>2018</v>
      </c>
      <c r="D67" s="91">
        <v>0.15</v>
      </c>
    </row>
    <row r="68" spans="1:4" ht="15.75" x14ac:dyDescent="0.25">
      <c r="A68" s="96"/>
      <c r="B68" s="97"/>
      <c r="C68" s="90">
        <v>2019</v>
      </c>
      <c r="D68" s="92">
        <v>0.18659999999999999</v>
      </c>
    </row>
    <row r="69" spans="1:4" ht="15.75" x14ac:dyDescent="0.25">
      <c r="A69" s="96"/>
      <c r="B69" s="97"/>
      <c r="C69" s="90">
        <v>2020</v>
      </c>
      <c r="D69" s="92">
        <v>0.14000000000000001</v>
      </c>
    </row>
    <row r="70" spans="1:4" ht="15.75" x14ac:dyDescent="0.25">
      <c r="A70" s="96"/>
      <c r="B70" s="97"/>
      <c r="C70" s="90">
        <v>2021</v>
      </c>
      <c r="D70" s="92">
        <v>0.18</v>
      </c>
    </row>
    <row r="71" spans="1:4" ht="15.75" x14ac:dyDescent="0.25">
      <c r="A71" s="96"/>
      <c r="B71" s="97"/>
      <c r="C71" s="90">
        <v>2022</v>
      </c>
      <c r="D71" s="92">
        <v>0.25</v>
      </c>
    </row>
    <row r="72" spans="1:4" ht="15.75" x14ac:dyDescent="0.25">
      <c r="A72" s="96">
        <v>15</v>
      </c>
      <c r="B72" s="97" t="s">
        <v>135</v>
      </c>
      <c r="C72" s="90">
        <v>2018</v>
      </c>
      <c r="D72" s="91">
        <v>0.2</v>
      </c>
    </row>
    <row r="73" spans="1:4" ht="15.75" x14ac:dyDescent="0.25">
      <c r="A73" s="96"/>
      <c r="B73" s="97"/>
      <c r="C73" s="90">
        <v>2019</v>
      </c>
      <c r="D73" s="92">
        <v>0.22</v>
      </c>
    </row>
    <row r="74" spans="1:4" ht="15.75" x14ac:dyDescent="0.25">
      <c r="A74" s="96"/>
      <c r="B74" s="97"/>
      <c r="C74" s="90">
        <v>2020</v>
      </c>
      <c r="D74" s="92">
        <v>0.22</v>
      </c>
    </row>
    <row r="75" spans="1:4" ht="15.75" x14ac:dyDescent="0.25">
      <c r="A75" s="96"/>
      <c r="B75" s="97"/>
      <c r="C75" s="90">
        <v>2021</v>
      </c>
      <c r="D75" s="92">
        <v>0.21</v>
      </c>
    </row>
    <row r="76" spans="1:4" ht="15.75" x14ac:dyDescent="0.25">
      <c r="A76" s="96"/>
      <c r="B76" s="97"/>
      <c r="C76" s="90">
        <v>2022</v>
      </c>
      <c r="D76" s="92">
        <v>0.23</v>
      </c>
    </row>
    <row r="77" spans="1:4" ht="15.75" x14ac:dyDescent="0.25">
      <c r="A77" s="96">
        <v>16</v>
      </c>
      <c r="B77" s="97" t="s">
        <v>147</v>
      </c>
      <c r="C77" s="90">
        <v>2018</v>
      </c>
      <c r="D77" s="92">
        <v>0.23</v>
      </c>
    </row>
    <row r="78" spans="1:4" ht="15.75" x14ac:dyDescent="0.25">
      <c r="A78" s="96"/>
      <c r="B78" s="97"/>
      <c r="C78" s="90">
        <v>2019</v>
      </c>
      <c r="D78" s="92">
        <v>0.30669999999999997</v>
      </c>
    </row>
    <row r="79" spans="1:4" ht="15.75" x14ac:dyDescent="0.25">
      <c r="A79" s="96"/>
      <c r="B79" s="97"/>
      <c r="C79" s="90">
        <v>2020</v>
      </c>
      <c r="D79" s="92">
        <v>0.32</v>
      </c>
    </row>
    <row r="80" spans="1:4" ht="15.75" x14ac:dyDescent="0.25">
      <c r="A80" s="96"/>
      <c r="B80" s="97"/>
      <c r="C80" s="90">
        <v>2021</v>
      </c>
      <c r="D80" s="92">
        <v>0.3387</v>
      </c>
    </row>
    <row r="81" spans="1:4" ht="15.75" x14ac:dyDescent="0.25">
      <c r="A81" s="96"/>
      <c r="B81" s="97"/>
      <c r="C81" s="90">
        <v>2022</v>
      </c>
      <c r="D81" s="92">
        <v>0.38</v>
      </c>
    </row>
    <row r="82" spans="1:4" ht="15.75" x14ac:dyDescent="0.25">
      <c r="A82" s="96">
        <v>17</v>
      </c>
      <c r="B82" s="97" t="s">
        <v>168</v>
      </c>
      <c r="C82" s="90">
        <v>2018</v>
      </c>
      <c r="D82" s="92">
        <v>0.21</v>
      </c>
    </row>
    <row r="83" spans="1:4" ht="15.75" x14ac:dyDescent="0.25">
      <c r="A83" s="96"/>
      <c r="B83" s="97"/>
      <c r="C83" s="90">
        <v>2019</v>
      </c>
      <c r="D83" s="92">
        <v>0.2545</v>
      </c>
    </row>
    <row r="84" spans="1:4" ht="15.75" x14ac:dyDescent="0.25">
      <c r="A84" s="96"/>
      <c r="B84" s="97"/>
      <c r="C84" s="90">
        <v>2020</v>
      </c>
      <c r="D84" s="92">
        <v>0.29870000000000002</v>
      </c>
    </row>
    <row r="85" spans="1:4" ht="15.75" x14ac:dyDescent="0.25">
      <c r="A85" s="96"/>
      <c r="B85" s="97"/>
      <c r="C85" s="90">
        <v>2021</v>
      </c>
      <c r="D85" s="92">
        <v>0.31879999999999997</v>
      </c>
    </row>
    <row r="86" spans="1:4" ht="15.75" x14ac:dyDescent="0.25">
      <c r="A86" s="96"/>
      <c r="B86" s="97"/>
      <c r="C86" s="90">
        <v>2022</v>
      </c>
      <c r="D86" s="92">
        <v>0.35</v>
      </c>
    </row>
    <row r="87" spans="1:4" ht="15.75" x14ac:dyDescent="0.25">
      <c r="A87" s="96">
        <v>18</v>
      </c>
      <c r="B87" s="97" t="s">
        <v>170</v>
      </c>
      <c r="C87" s="90">
        <v>2018</v>
      </c>
      <c r="D87" s="92">
        <v>0.16</v>
      </c>
    </row>
    <row r="88" spans="1:4" ht="15.75" x14ac:dyDescent="0.25">
      <c r="A88" s="96"/>
      <c r="B88" s="97"/>
      <c r="C88" s="90">
        <v>2019</v>
      </c>
      <c r="D88" s="92">
        <v>0.1888</v>
      </c>
    </row>
    <row r="89" spans="1:4" ht="15.75" x14ac:dyDescent="0.25">
      <c r="A89" s="96"/>
      <c r="B89" s="97"/>
      <c r="C89" s="90">
        <v>2020</v>
      </c>
      <c r="D89" s="92">
        <v>0.24340000000000001</v>
      </c>
    </row>
    <row r="90" spans="1:4" ht="15.75" x14ac:dyDescent="0.25">
      <c r="A90" s="96"/>
      <c r="B90" s="97"/>
      <c r="C90" s="90">
        <v>2021</v>
      </c>
      <c r="D90" s="92">
        <v>0.27560000000000001</v>
      </c>
    </row>
    <row r="91" spans="1:4" ht="15.75" x14ac:dyDescent="0.25">
      <c r="A91" s="96"/>
      <c r="B91" s="97"/>
      <c r="C91" s="90">
        <v>2022</v>
      </c>
      <c r="D91" s="92">
        <v>0.38979999999999998</v>
      </c>
    </row>
    <row r="92" spans="1:4" ht="15.75" x14ac:dyDescent="0.25">
      <c r="A92" s="96">
        <v>19</v>
      </c>
      <c r="B92" s="97" t="s">
        <v>172</v>
      </c>
      <c r="C92" s="90">
        <v>2018</v>
      </c>
      <c r="D92" s="92">
        <v>0.13170000000000001</v>
      </c>
    </row>
    <row r="93" spans="1:4" ht="15.75" x14ac:dyDescent="0.25">
      <c r="A93" s="96"/>
      <c r="B93" s="97"/>
      <c r="C93" s="90">
        <v>2019</v>
      </c>
      <c r="D93" s="92">
        <v>0.21</v>
      </c>
    </row>
    <row r="94" spans="1:4" ht="15.75" x14ac:dyDescent="0.25">
      <c r="A94" s="96"/>
      <c r="B94" s="97"/>
      <c r="C94" s="90">
        <v>2020</v>
      </c>
      <c r="D94" s="92">
        <v>0.22900000000000001</v>
      </c>
    </row>
    <row r="95" spans="1:4" ht="15.75" x14ac:dyDescent="0.25">
      <c r="A95" s="96"/>
      <c r="B95" s="97"/>
      <c r="C95" s="90">
        <v>2021</v>
      </c>
      <c r="D95" s="92">
        <v>0.25</v>
      </c>
    </row>
    <row r="96" spans="1:4" ht="15.75" x14ac:dyDescent="0.25">
      <c r="A96" s="96"/>
      <c r="B96" s="97"/>
      <c r="C96" s="90">
        <v>2022</v>
      </c>
      <c r="D96" s="92">
        <v>0.31</v>
      </c>
    </row>
    <row r="97" spans="1:4" ht="15.75" x14ac:dyDescent="0.25">
      <c r="A97" s="96">
        <v>20</v>
      </c>
      <c r="B97" s="97" t="s">
        <v>184</v>
      </c>
      <c r="C97" s="90">
        <v>2018</v>
      </c>
      <c r="D97" s="92">
        <v>0.25</v>
      </c>
    </row>
    <row r="98" spans="1:4" ht="15.75" x14ac:dyDescent="0.25">
      <c r="A98" s="96"/>
      <c r="B98" s="97"/>
      <c r="C98" s="90">
        <v>2019</v>
      </c>
      <c r="D98" s="92">
        <v>0.32669999999999999</v>
      </c>
    </row>
    <row r="99" spans="1:4" ht="15.75" x14ac:dyDescent="0.25">
      <c r="A99" s="96"/>
      <c r="B99" s="97"/>
      <c r="C99" s="90">
        <v>2020</v>
      </c>
      <c r="D99" s="92">
        <v>0.33</v>
      </c>
    </row>
    <row r="100" spans="1:4" ht="15.75" x14ac:dyDescent="0.25">
      <c r="A100" s="96"/>
      <c r="B100" s="97"/>
      <c r="C100" s="90">
        <v>2021</v>
      </c>
      <c r="D100" s="92">
        <v>0.34</v>
      </c>
    </row>
    <row r="101" spans="1:4" ht="15.75" x14ac:dyDescent="0.25">
      <c r="A101" s="96"/>
      <c r="B101" s="97"/>
      <c r="C101" s="90">
        <v>2022</v>
      </c>
      <c r="D101" s="92">
        <v>0.45669999999999999</v>
      </c>
    </row>
    <row r="102" spans="1:4" ht="15.75" x14ac:dyDescent="0.25">
      <c r="A102" s="96">
        <v>21</v>
      </c>
      <c r="B102" s="97" t="s">
        <v>208</v>
      </c>
      <c r="C102" s="90">
        <v>2018</v>
      </c>
      <c r="D102" s="92">
        <v>0.24</v>
      </c>
    </row>
    <row r="103" spans="1:4" ht="15.75" x14ac:dyDescent="0.25">
      <c r="A103" s="96"/>
      <c r="B103" s="97"/>
      <c r="C103" s="90">
        <v>2019</v>
      </c>
      <c r="D103" s="92">
        <v>0.2888</v>
      </c>
    </row>
    <row r="104" spans="1:4" ht="15.75" x14ac:dyDescent="0.25">
      <c r="A104" s="96"/>
      <c r="B104" s="97"/>
      <c r="C104" s="90">
        <v>2020</v>
      </c>
      <c r="D104" s="92">
        <v>0.31</v>
      </c>
    </row>
    <row r="105" spans="1:4" ht="15.75" x14ac:dyDescent="0.25">
      <c r="A105" s="96"/>
      <c r="B105" s="97"/>
      <c r="C105" s="90">
        <v>2021</v>
      </c>
      <c r="D105" s="92">
        <v>0.33</v>
      </c>
    </row>
    <row r="106" spans="1:4" ht="15.75" x14ac:dyDescent="0.25">
      <c r="A106" s="96"/>
      <c r="B106" s="97"/>
      <c r="C106" s="90">
        <v>2022</v>
      </c>
      <c r="D106" s="92">
        <v>0.34760000000000002</v>
      </c>
    </row>
    <row r="107" spans="1:4" ht="15.75" x14ac:dyDescent="0.25">
      <c r="A107" s="96">
        <v>22</v>
      </c>
      <c r="B107" s="97" t="s">
        <v>210</v>
      </c>
      <c r="C107" s="90">
        <v>2018</v>
      </c>
      <c r="D107" s="92">
        <v>0.21</v>
      </c>
    </row>
    <row r="108" spans="1:4" ht="15.75" x14ac:dyDescent="0.25">
      <c r="A108" s="96"/>
      <c r="B108" s="97"/>
      <c r="C108" s="90">
        <v>2019</v>
      </c>
      <c r="D108" s="92">
        <v>0.25</v>
      </c>
    </row>
    <row r="109" spans="1:4" ht="15.75" x14ac:dyDescent="0.25">
      <c r="A109" s="96"/>
      <c r="B109" s="97"/>
      <c r="C109" s="90">
        <v>2020</v>
      </c>
      <c r="D109" s="92">
        <v>0.27560000000000001</v>
      </c>
    </row>
    <row r="110" spans="1:4" ht="15.75" x14ac:dyDescent="0.25">
      <c r="A110" s="96"/>
      <c r="B110" s="97"/>
      <c r="C110" s="90">
        <v>2021</v>
      </c>
      <c r="D110" s="92">
        <v>0.35</v>
      </c>
    </row>
    <row r="111" spans="1:4" ht="15.75" x14ac:dyDescent="0.25">
      <c r="A111" s="96"/>
      <c r="B111" s="97"/>
      <c r="C111" s="90">
        <v>2022</v>
      </c>
      <c r="D111" s="92">
        <v>0.36</v>
      </c>
    </row>
    <row r="112" spans="1:4" ht="15.75" x14ac:dyDescent="0.25">
      <c r="A112" s="96">
        <v>23</v>
      </c>
      <c r="B112" s="97" t="s">
        <v>214</v>
      </c>
      <c r="C112" s="90">
        <v>2018</v>
      </c>
      <c r="D112" s="92">
        <v>0.19900000000000001</v>
      </c>
    </row>
    <row r="113" spans="1:4" ht="15.75" x14ac:dyDescent="0.25">
      <c r="A113" s="96"/>
      <c r="B113" s="97"/>
      <c r="C113" s="90">
        <v>2019</v>
      </c>
      <c r="D113" s="92">
        <v>0.27979999999999999</v>
      </c>
    </row>
    <row r="114" spans="1:4" ht="15.75" x14ac:dyDescent="0.25">
      <c r="A114" s="96"/>
      <c r="B114" s="97"/>
      <c r="C114" s="90">
        <v>2020</v>
      </c>
      <c r="D114" s="92">
        <v>0.28899999999999998</v>
      </c>
    </row>
    <row r="115" spans="1:4" ht="15.75" x14ac:dyDescent="0.25">
      <c r="A115" s="96"/>
      <c r="B115" s="97"/>
      <c r="C115" s="90">
        <v>2021</v>
      </c>
      <c r="D115" s="92">
        <v>0.36870000000000003</v>
      </c>
    </row>
    <row r="116" spans="1:4" ht="15.75" x14ac:dyDescent="0.25">
      <c r="A116" s="96"/>
      <c r="B116" s="97"/>
      <c r="C116" s="90">
        <v>2022</v>
      </c>
      <c r="D116" s="92">
        <v>0.42980000000000002</v>
      </c>
    </row>
    <row r="117" spans="1:4" ht="15.75" x14ac:dyDescent="0.25">
      <c r="A117" s="96">
        <v>24</v>
      </c>
      <c r="B117" s="97" t="s">
        <v>222</v>
      </c>
      <c r="C117" s="90">
        <v>2018</v>
      </c>
      <c r="D117" s="92">
        <v>0.28999999999999998</v>
      </c>
    </row>
    <row r="118" spans="1:4" ht="15.75" x14ac:dyDescent="0.25">
      <c r="A118" s="96"/>
      <c r="B118" s="97"/>
      <c r="C118" s="90">
        <v>2019</v>
      </c>
      <c r="D118" s="92">
        <v>0.311</v>
      </c>
    </row>
    <row r="119" spans="1:4" ht="15.75" x14ac:dyDescent="0.25">
      <c r="A119" s="96"/>
      <c r="B119" s="97"/>
      <c r="C119" s="90">
        <v>2020</v>
      </c>
      <c r="D119" s="92">
        <v>0.33450000000000002</v>
      </c>
    </row>
    <row r="120" spans="1:4" ht="15.75" x14ac:dyDescent="0.25">
      <c r="A120" s="96"/>
      <c r="B120" s="97"/>
      <c r="C120" s="90">
        <v>2021</v>
      </c>
      <c r="D120" s="92">
        <v>0.33</v>
      </c>
    </row>
    <row r="121" spans="1:4" ht="15.75" x14ac:dyDescent="0.25">
      <c r="A121" s="96"/>
      <c r="B121" s="97"/>
      <c r="C121" s="90">
        <v>2022</v>
      </c>
      <c r="D121" s="92">
        <v>0.37</v>
      </c>
    </row>
    <row r="122" spans="1:4" ht="15.75" x14ac:dyDescent="0.25">
      <c r="A122" s="96">
        <v>25</v>
      </c>
      <c r="B122" s="97" t="s">
        <v>224</v>
      </c>
      <c r="C122" s="90">
        <v>2018</v>
      </c>
      <c r="D122" s="92">
        <v>0.15</v>
      </c>
    </row>
    <row r="123" spans="1:4" ht="15.75" x14ac:dyDescent="0.25">
      <c r="A123" s="96"/>
      <c r="B123" s="97"/>
      <c r="C123" s="90">
        <v>2019</v>
      </c>
      <c r="D123" s="92">
        <v>0.18</v>
      </c>
    </row>
    <row r="124" spans="1:4" ht="15.75" x14ac:dyDescent="0.25">
      <c r="A124" s="96"/>
      <c r="B124" s="97"/>
      <c r="C124" s="90">
        <v>2020</v>
      </c>
      <c r="D124" s="92">
        <v>0.24529999999999999</v>
      </c>
    </row>
    <row r="125" spans="1:4" ht="15.75" x14ac:dyDescent="0.25">
      <c r="A125" s="96"/>
      <c r="B125" s="97"/>
      <c r="C125" s="90">
        <v>2021</v>
      </c>
      <c r="D125" s="92">
        <v>0.27889999999999998</v>
      </c>
    </row>
    <row r="126" spans="1:4" ht="15.75" x14ac:dyDescent="0.25">
      <c r="A126" s="96"/>
      <c r="B126" s="97"/>
      <c r="C126" s="90">
        <v>2022</v>
      </c>
      <c r="D126" s="92">
        <v>0.28000000000000003</v>
      </c>
    </row>
    <row r="127" spans="1:4" ht="15.75" x14ac:dyDescent="0.25">
      <c r="A127" s="96">
        <v>26</v>
      </c>
      <c r="B127" s="97" t="s">
        <v>236</v>
      </c>
      <c r="C127" s="90">
        <v>2018</v>
      </c>
      <c r="D127" s="92">
        <v>0.23400000000000001</v>
      </c>
    </row>
    <row r="128" spans="1:4" ht="15.75" x14ac:dyDescent="0.25">
      <c r="A128" s="96"/>
      <c r="B128" s="97"/>
      <c r="C128" s="90">
        <v>2019</v>
      </c>
      <c r="D128" s="92">
        <v>0.27539999999999998</v>
      </c>
    </row>
    <row r="129" spans="1:4" ht="15.75" x14ac:dyDescent="0.25">
      <c r="A129" s="96"/>
      <c r="B129" s="97"/>
      <c r="C129" s="90">
        <v>2020</v>
      </c>
      <c r="D129" s="92">
        <v>0.29770000000000002</v>
      </c>
    </row>
    <row r="130" spans="1:4" ht="15.75" x14ac:dyDescent="0.25">
      <c r="A130" s="96"/>
      <c r="B130" s="97"/>
      <c r="C130" s="90">
        <v>2021</v>
      </c>
      <c r="D130" s="92">
        <v>0.34499999999999997</v>
      </c>
    </row>
    <row r="131" spans="1:4" ht="15.75" x14ac:dyDescent="0.25">
      <c r="A131" s="96"/>
      <c r="B131" s="97"/>
      <c r="C131" s="90">
        <v>2022</v>
      </c>
      <c r="D131" s="92">
        <v>0.36530000000000001</v>
      </c>
    </row>
    <row r="132" spans="1:4" ht="15.75" x14ac:dyDescent="0.25">
      <c r="A132" s="96">
        <v>27</v>
      </c>
      <c r="B132" s="97" t="s">
        <v>242</v>
      </c>
      <c r="C132" s="90">
        <v>2018</v>
      </c>
      <c r="D132" s="92">
        <v>0.22</v>
      </c>
    </row>
    <row r="133" spans="1:4" ht="15.75" x14ac:dyDescent="0.25">
      <c r="A133" s="96"/>
      <c r="B133" s="97"/>
      <c r="C133" s="90">
        <v>2019</v>
      </c>
      <c r="D133" s="92">
        <v>0.24</v>
      </c>
    </row>
    <row r="134" spans="1:4" ht="15.75" x14ac:dyDescent="0.25">
      <c r="A134" s="96"/>
      <c r="B134" s="97"/>
      <c r="C134" s="90">
        <v>2020</v>
      </c>
      <c r="D134" s="92">
        <v>0.27</v>
      </c>
    </row>
    <row r="135" spans="1:4" ht="15.75" x14ac:dyDescent="0.25">
      <c r="A135" s="96"/>
      <c r="B135" s="97"/>
      <c r="C135" s="90">
        <v>2021</v>
      </c>
      <c r="D135" s="92">
        <v>0.28560000000000002</v>
      </c>
    </row>
    <row r="136" spans="1:4" ht="15.75" x14ac:dyDescent="0.25">
      <c r="A136" s="96"/>
      <c r="B136" s="97"/>
      <c r="C136" s="90">
        <v>2022</v>
      </c>
      <c r="D136" s="92">
        <v>0.34760000000000002</v>
      </c>
    </row>
    <row r="137" spans="1:4" ht="15.75" x14ac:dyDescent="0.25">
      <c r="A137" s="96">
        <v>28</v>
      </c>
      <c r="B137" s="97" t="s">
        <v>274</v>
      </c>
      <c r="C137" s="90">
        <v>2018</v>
      </c>
      <c r="D137" s="92">
        <v>0.11</v>
      </c>
    </row>
    <row r="138" spans="1:4" ht="15.75" x14ac:dyDescent="0.25">
      <c r="A138" s="96"/>
      <c r="B138" s="97"/>
      <c r="C138" s="90">
        <v>2019</v>
      </c>
      <c r="D138" s="92">
        <v>0.18</v>
      </c>
    </row>
    <row r="139" spans="1:4" ht="15.75" x14ac:dyDescent="0.25">
      <c r="A139" s="96"/>
      <c r="B139" s="97"/>
      <c r="C139" s="90">
        <v>2020</v>
      </c>
      <c r="D139" s="92">
        <v>0.23960000000000001</v>
      </c>
    </row>
    <row r="140" spans="1:4" ht="15.75" x14ac:dyDescent="0.25">
      <c r="A140" s="96"/>
      <c r="B140" s="97"/>
      <c r="C140" s="90">
        <v>2021</v>
      </c>
      <c r="D140" s="92">
        <v>0.23</v>
      </c>
    </row>
    <row r="141" spans="1:4" ht="15.75" x14ac:dyDescent="0.25">
      <c r="A141" s="96"/>
      <c r="B141" s="97"/>
      <c r="C141" s="90">
        <v>2022</v>
      </c>
      <c r="D141" s="92">
        <v>0.25700000000000001</v>
      </c>
    </row>
    <row r="142" spans="1:4" ht="15.75" x14ac:dyDescent="0.25">
      <c r="A142" s="96">
        <v>29</v>
      </c>
      <c r="B142" s="97" t="s">
        <v>296</v>
      </c>
      <c r="C142" s="90">
        <v>2018</v>
      </c>
      <c r="D142" s="92">
        <v>0.189</v>
      </c>
    </row>
    <row r="143" spans="1:4" ht="15.75" x14ac:dyDescent="0.25">
      <c r="A143" s="96"/>
      <c r="B143" s="97"/>
      <c r="C143" s="90">
        <v>2019</v>
      </c>
      <c r="D143" s="92">
        <v>0.19</v>
      </c>
    </row>
    <row r="144" spans="1:4" ht="15.75" x14ac:dyDescent="0.25">
      <c r="A144" s="96"/>
      <c r="B144" s="97"/>
      <c r="C144" s="90">
        <v>2020</v>
      </c>
      <c r="D144" s="92">
        <v>0.26979999999999998</v>
      </c>
    </row>
    <row r="145" spans="1:4" ht="15.75" x14ac:dyDescent="0.25">
      <c r="A145" s="96"/>
      <c r="B145" s="97"/>
      <c r="C145" s="90">
        <v>2021</v>
      </c>
      <c r="D145" s="92">
        <v>0.29670000000000002</v>
      </c>
    </row>
    <row r="146" spans="1:4" ht="15.75" x14ac:dyDescent="0.25">
      <c r="A146" s="96"/>
      <c r="B146" s="97"/>
      <c r="C146" s="90">
        <v>2022</v>
      </c>
      <c r="D146" s="92">
        <v>0.34760000000000002</v>
      </c>
    </row>
    <row r="147" spans="1:4" ht="15.75" x14ac:dyDescent="0.25">
      <c r="A147" s="96">
        <v>30</v>
      </c>
      <c r="B147" s="97" t="s">
        <v>316</v>
      </c>
      <c r="C147" s="90">
        <v>2018</v>
      </c>
      <c r="D147" s="92">
        <v>0.13</v>
      </c>
    </row>
    <row r="148" spans="1:4" ht="15.75" x14ac:dyDescent="0.25">
      <c r="A148" s="96"/>
      <c r="B148" s="97"/>
      <c r="C148" s="90">
        <v>2019</v>
      </c>
      <c r="D148" s="92">
        <v>0.1578</v>
      </c>
    </row>
    <row r="149" spans="1:4" ht="15.75" x14ac:dyDescent="0.25">
      <c r="A149" s="96"/>
      <c r="B149" s="97"/>
      <c r="C149" s="90">
        <v>2020</v>
      </c>
      <c r="D149" s="92">
        <v>0.1678</v>
      </c>
    </row>
    <row r="150" spans="1:4" ht="15.75" x14ac:dyDescent="0.25">
      <c r="A150" s="96"/>
      <c r="B150" s="97"/>
      <c r="C150" s="90">
        <v>2021</v>
      </c>
      <c r="D150" s="92">
        <v>0.17</v>
      </c>
    </row>
    <row r="151" spans="1:4" ht="15.75" x14ac:dyDescent="0.25">
      <c r="A151" s="96"/>
      <c r="B151" s="97"/>
      <c r="C151" s="90">
        <v>2022</v>
      </c>
      <c r="D151" s="92">
        <v>0.24</v>
      </c>
    </row>
    <row r="152" spans="1:4" ht="15.75" x14ac:dyDescent="0.25">
      <c r="A152" s="96">
        <v>31</v>
      </c>
      <c r="B152" s="97" t="s">
        <v>320</v>
      </c>
      <c r="C152" s="90">
        <v>2018</v>
      </c>
      <c r="D152" s="92">
        <v>0.27</v>
      </c>
    </row>
    <row r="153" spans="1:4" ht="15.75" x14ac:dyDescent="0.25">
      <c r="A153" s="96"/>
      <c r="B153" s="97"/>
      <c r="C153" s="90">
        <v>2019</v>
      </c>
      <c r="D153" s="92">
        <v>0.33779999999999999</v>
      </c>
    </row>
    <row r="154" spans="1:4" ht="15.75" x14ac:dyDescent="0.25">
      <c r="A154" s="96"/>
      <c r="B154" s="97"/>
      <c r="C154" s="90">
        <v>2020</v>
      </c>
      <c r="D154" s="92">
        <v>0.33</v>
      </c>
    </row>
    <row r="155" spans="1:4" ht="15.75" x14ac:dyDescent="0.25">
      <c r="A155" s="96"/>
      <c r="B155" s="97"/>
      <c r="C155" s="90">
        <v>2021</v>
      </c>
      <c r="D155" s="92">
        <v>0.34</v>
      </c>
    </row>
    <row r="156" spans="1:4" ht="15.75" x14ac:dyDescent="0.25">
      <c r="A156" s="96"/>
      <c r="B156" s="97"/>
      <c r="C156" s="90">
        <v>2022</v>
      </c>
      <c r="D156" s="92">
        <v>0.34760000000000002</v>
      </c>
    </row>
    <row r="157" spans="1:4" ht="15.75" x14ac:dyDescent="0.25">
      <c r="A157" s="96">
        <v>32</v>
      </c>
      <c r="B157" s="97" t="s">
        <v>330</v>
      </c>
      <c r="C157" s="90">
        <v>2018</v>
      </c>
      <c r="D157" s="92">
        <v>0.28120000000000001</v>
      </c>
    </row>
    <row r="158" spans="1:4" ht="15.75" x14ac:dyDescent="0.25">
      <c r="A158" s="96"/>
      <c r="B158" s="97"/>
      <c r="C158" s="90">
        <v>2019</v>
      </c>
      <c r="D158" s="92">
        <v>0.35560000000000003</v>
      </c>
    </row>
    <row r="159" spans="1:4" ht="15.75" x14ac:dyDescent="0.25">
      <c r="A159" s="96"/>
      <c r="B159" s="97"/>
      <c r="C159" s="90">
        <v>2020</v>
      </c>
      <c r="D159" s="92">
        <v>0.37</v>
      </c>
    </row>
    <row r="160" spans="1:4" ht="15.75" x14ac:dyDescent="0.25">
      <c r="A160" s="96"/>
      <c r="B160" s="97"/>
      <c r="C160" s="90">
        <v>2021</v>
      </c>
      <c r="D160" s="92">
        <v>0.38869999999999999</v>
      </c>
    </row>
    <row r="161" spans="1:4" ht="15.75" x14ac:dyDescent="0.25">
      <c r="A161" s="96"/>
      <c r="B161" s="97"/>
      <c r="C161" s="90">
        <v>2022</v>
      </c>
      <c r="D161" s="92">
        <v>0.41</v>
      </c>
    </row>
    <row r="162" spans="1:4" ht="15.75" x14ac:dyDescent="0.25">
      <c r="A162" s="96">
        <v>33</v>
      </c>
      <c r="B162" s="97" t="s">
        <v>338</v>
      </c>
      <c r="C162" s="90">
        <v>2018</v>
      </c>
      <c r="D162" s="92">
        <v>0.12870000000000001</v>
      </c>
    </row>
    <row r="163" spans="1:4" ht="15.75" x14ac:dyDescent="0.25">
      <c r="A163" s="96"/>
      <c r="B163" s="97"/>
      <c r="C163" s="90">
        <v>2019</v>
      </c>
      <c r="D163" s="92">
        <v>0.19</v>
      </c>
    </row>
    <row r="164" spans="1:4" ht="15.75" x14ac:dyDescent="0.25">
      <c r="A164" s="96"/>
      <c r="B164" s="97"/>
      <c r="C164" s="90">
        <v>2020</v>
      </c>
      <c r="D164" s="92">
        <v>0.19700000000000001</v>
      </c>
    </row>
    <row r="165" spans="1:4" ht="15.75" x14ac:dyDescent="0.25">
      <c r="A165" s="96"/>
      <c r="B165" s="97"/>
      <c r="C165" s="90">
        <v>2021</v>
      </c>
      <c r="D165" s="92">
        <v>0.27</v>
      </c>
    </row>
    <row r="166" spans="1:4" ht="15.75" x14ac:dyDescent="0.25">
      <c r="A166" s="96"/>
      <c r="B166" s="97"/>
      <c r="C166" s="90">
        <v>2022</v>
      </c>
      <c r="D166" s="92">
        <v>0.33</v>
      </c>
    </row>
    <row r="167" spans="1:4" ht="15.75" x14ac:dyDescent="0.25">
      <c r="A167" s="96">
        <v>34</v>
      </c>
      <c r="B167" s="97" t="s">
        <v>340</v>
      </c>
      <c r="C167" s="90">
        <v>2018</v>
      </c>
      <c r="D167" s="92">
        <v>0.23899999999999999</v>
      </c>
    </row>
    <row r="168" spans="1:4" ht="15.75" x14ac:dyDescent="0.25">
      <c r="A168" s="96"/>
      <c r="B168" s="97"/>
      <c r="C168" s="90">
        <v>2019</v>
      </c>
      <c r="D168" s="92">
        <v>0.30869999999999997</v>
      </c>
    </row>
    <row r="169" spans="1:4" ht="15.75" x14ac:dyDescent="0.25">
      <c r="A169" s="96"/>
      <c r="B169" s="97"/>
      <c r="C169" s="90">
        <v>2020</v>
      </c>
      <c r="D169" s="92">
        <v>0.34560000000000002</v>
      </c>
    </row>
    <row r="170" spans="1:4" ht="15.75" x14ac:dyDescent="0.25">
      <c r="A170" s="96"/>
      <c r="B170" s="97"/>
      <c r="C170" s="90">
        <v>2021</v>
      </c>
      <c r="D170" s="92">
        <v>0.35</v>
      </c>
    </row>
    <row r="171" spans="1:4" ht="15.75" x14ac:dyDescent="0.25">
      <c r="A171" s="96"/>
      <c r="B171" s="97"/>
      <c r="C171" s="90">
        <v>2022</v>
      </c>
      <c r="D171" s="92">
        <v>0.34760000000000002</v>
      </c>
    </row>
    <row r="172" spans="1:4" ht="15.75" x14ac:dyDescent="0.25">
      <c r="A172" s="96">
        <v>35</v>
      </c>
      <c r="B172" s="97" t="s">
        <v>344</v>
      </c>
      <c r="C172" s="90">
        <v>2018</v>
      </c>
      <c r="D172" s="92">
        <v>0.14799999999999999</v>
      </c>
    </row>
    <row r="173" spans="1:4" ht="15.75" x14ac:dyDescent="0.25">
      <c r="A173" s="96"/>
      <c r="B173" s="97"/>
      <c r="C173" s="90">
        <v>2019</v>
      </c>
      <c r="D173" s="92">
        <v>0.18</v>
      </c>
    </row>
    <row r="174" spans="1:4" ht="15.75" x14ac:dyDescent="0.25">
      <c r="A174" s="96"/>
      <c r="B174" s="97"/>
      <c r="C174" s="90">
        <v>2020</v>
      </c>
      <c r="D174" s="92">
        <v>0.28999999999999998</v>
      </c>
    </row>
    <row r="175" spans="1:4" ht="15.75" x14ac:dyDescent="0.25">
      <c r="A175" s="96"/>
      <c r="B175" s="97"/>
      <c r="C175" s="90">
        <v>2021</v>
      </c>
      <c r="D175" s="92">
        <v>0.34</v>
      </c>
    </row>
    <row r="176" spans="1:4" ht="15.75" x14ac:dyDescent="0.25">
      <c r="A176" s="96"/>
      <c r="B176" s="97"/>
      <c r="C176" s="90">
        <v>2022</v>
      </c>
      <c r="D176" s="92">
        <v>0.38</v>
      </c>
    </row>
    <row r="177" spans="1:4" ht="15.75" x14ac:dyDescent="0.25">
      <c r="A177" s="96">
        <v>36</v>
      </c>
      <c r="B177" s="97" t="s">
        <v>350</v>
      </c>
      <c r="C177" s="90">
        <v>2018</v>
      </c>
      <c r="D177" s="92">
        <v>0.28899999999999998</v>
      </c>
    </row>
    <row r="178" spans="1:4" ht="15.75" x14ac:dyDescent="0.25">
      <c r="A178" s="96"/>
      <c r="B178" s="97"/>
      <c r="C178" s="90">
        <v>2019</v>
      </c>
      <c r="D178" s="92">
        <v>0.29759999999999998</v>
      </c>
    </row>
    <row r="179" spans="1:4" ht="15.75" x14ac:dyDescent="0.25">
      <c r="A179" s="96"/>
      <c r="B179" s="97"/>
      <c r="C179" s="90">
        <v>2020</v>
      </c>
      <c r="D179" s="92">
        <v>0.3105</v>
      </c>
    </row>
    <row r="180" spans="1:4" ht="15.75" x14ac:dyDescent="0.25">
      <c r="A180" s="96"/>
      <c r="B180" s="97"/>
      <c r="C180" s="90">
        <v>2021</v>
      </c>
      <c r="D180" s="92">
        <v>0.33979999999999999</v>
      </c>
    </row>
    <row r="181" spans="1:4" ht="15.75" x14ac:dyDescent="0.25">
      <c r="A181" s="96"/>
      <c r="B181" s="97"/>
      <c r="C181" s="90">
        <v>2022</v>
      </c>
      <c r="D181" s="92">
        <v>0.39</v>
      </c>
    </row>
    <row r="182" spans="1:4" ht="15.75" x14ac:dyDescent="0.25">
      <c r="A182" s="96">
        <v>37</v>
      </c>
      <c r="B182" s="97" t="s">
        <v>360</v>
      </c>
      <c r="C182" s="90">
        <v>2018</v>
      </c>
      <c r="D182" s="92">
        <v>0.28999999999999998</v>
      </c>
    </row>
    <row r="183" spans="1:4" ht="15.75" x14ac:dyDescent="0.25">
      <c r="A183" s="96"/>
      <c r="B183" s="97"/>
      <c r="C183" s="90">
        <v>2019</v>
      </c>
      <c r="D183" s="92">
        <v>0.315</v>
      </c>
    </row>
    <row r="184" spans="1:4" ht="15.75" x14ac:dyDescent="0.25">
      <c r="A184" s="96"/>
      <c r="B184" s="97"/>
      <c r="C184" s="90">
        <v>2020</v>
      </c>
      <c r="D184" s="92">
        <v>0.31</v>
      </c>
    </row>
    <row r="185" spans="1:4" ht="15.75" x14ac:dyDescent="0.25">
      <c r="A185" s="96"/>
      <c r="B185" s="97"/>
      <c r="C185" s="90">
        <v>2021</v>
      </c>
      <c r="D185" s="92">
        <v>0.34460000000000002</v>
      </c>
    </row>
    <row r="186" spans="1:4" ht="15.75" x14ac:dyDescent="0.25">
      <c r="A186" s="96"/>
      <c r="B186" s="97"/>
      <c r="C186" s="90">
        <v>2022</v>
      </c>
      <c r="D186" s="92">
        <v>0.3715</v>
      </c>
    </row>
    <row r="187" spans="1:4" ht="15.75" x14ac:dyDescent="0.25">
      <c r="A187" s="96">
        <v>38</v>
      </c>
      <c r="B187" s="97" t="s">
        <v>374</v>
      </c>
      <c r="C187" s="90">
        <v>2018</v>
      </c>
      <c r="D187" s="92">
        <v>0.27700000000000002</v>
      </c>
    </row>
    <row r="188" spans="1:4" ht="15.75" x14ac:dyDescent="0.25">
      <c r="A188" s="96"/>
      <c r="B188" s="97"/>
      <c r="C188" s="90">
        <v>2019</v>
      </c>
      <c r="D188" s="92">
        <v>0.32669999999999999</v>
      </c>
    </row>
    <row r="189" spans="1:4" ht="15.75" x14ac:dyDescent="0.25">
      <c r="A189" s="96"/>
      <c r="B189" s="97"/>
      <c r="C189" s="90">
        <v>2020</v>
      </c>
      <c r="D189" s="92">
        <v>0.32</v>
      </c>
    </row>
    <row r="190" spans="1:4" ht="15.75" x14ac:dyDescent="0.25">
      <c r="A190" s="96"/>
      <c r="B190" s="97"/>
      <c r="C190" s="90">
        <v>2021</v>
      </c>
      <c r="D190" s="92">
        <v>0.33979999999999999</v>
      </c>
    </row>
    <row r="191" spans="1:4" ht="15.75" x14ac:dyDescent="0.25">
      <c r="A191" s="96"/>
      <c r="B191" s="97"/>
      <c r="C191" s="90">
        <v>2022</v>
      </c>
      <c r="D191" s="92">
        <v>0.3579</v>
      </c>
    </row>
    <row r="192" spans="1:4" ht="15.75" x14ac:dyDescent="0.25">
      <c r="A192" s="96">
        <v>39</v>
      </c>
      <c r="B192" s="97" t="s">
        <v>378</v>
      </c>
      <c r="C192" s="90">
        <v>2018</v>
      </c>
      <c r="D192" s="92">
        <v>0.28999999999999998</v>
      </c>
    </row>
    <row r="193" spans="1:4" ht="15.75" x14ac:dyDescent="0.25">
      <c r="A193" s="96"/>
      <c r="B193" s="97"/>
      <c r="C193" s="90">
        <v>2019</v>
      </c>
      <c r="D193" s="92">
        <v>0.34</v>
      </c>
    </row>
    <row r="194" spans="1:4" ht="15.75" x14ac:dyDescent="0.25">
      <c r="A194" s="96"/>
      <c r="B194" s="97"/>
      <c r="C194" s="90">
        <v>2020</v>
      </c>
      <c r="D194" s="92">
        <v>0.33779999999999999</v>
      </c>
    </row>
    <row r="195" spans="1:4" ht="15.75" x14ac:dyDescent="0.25">
      <c r="A195" s="96"/>
      <c r="B195" s="97"/>
      <c r="C195" s="90">
        <v>2021</v>
      </c>
      <c r="D195" s="92">
        <v>0.34</v>
      </c>
    </row>
    <row r="196" spans="1:4" ht="15.75" x14ac:dyDescent="0.25">
      <c r="A196" s="96"/>
      <c r="B196" s="97"/>
      <c r="C196" s="90">
        <v>2022</v>
      </c>
      <c r="D196" s="92">
        <v>0.34</v>
      </c>
    </row>
    <row r="197" spans="1:4" ht="15.75" x14ac:dyDescent="0.25">
      <c r="A197" s="96">
        <v>40</v>
      </c>
      <c r="B197" s="97" t="s">
        <v>386</v>
      </c>
      <c r="C197" s="90">
        <v>2018</v>
      </c>
      <c r="D197" s="92">
        <v>0.31</v>
      </c>
    </row>
    <row r="198" spans="1:4" ht="15.75" x14ac:dyDescent="0.25">
      <c r="A198" s="96"/>
      <c r="B198" s="97"/>
      <c r="C198" s="90">
        <v>2019</v>
      </c>
      <c r="D198" s="92">
        <v>0.33</v>
      </c>
    </row>
    <row r="199" spans="1:4" ht="15.75" x14ac:dyDescent="0.25">
      <c r="A199" s="96"/>
      <c r="B199" s="97"/>
      <c r="C199" s="90">
        <v>2020</v>
      </c>
      <c r="D199" s="92">
        <v>0.29670000000000002</v>
      </c>
    </row>
    <row r="200" spans="1:4" ht="15.75" x14ac:dyDescent="0.25">
      <c r="A200" s="96"/>
      <c r="B200" s="97"/>
      <c r="C200" s="90">
        <v>2021</v>
      </c>
      <c r="D200" s="92">
        <v>0.31</v>
      </c>
    </row>
    <row r="201" spans="1:4" ht="15.75" x14ac:dyDescent="0.25">
      <c r="A201" s="96"/>
      <c r="B201" s="97"/>
      <c r="C201" s="90">
        <v>2022</v>
      </c>
      <c r="D201" s="92">
        <v>0.35680000000000001</v>
      </c>
    </row>
    <row r="202" spans="1:4" ht="15.75" x14ac:dyDescent="0.25">
      <c r="A202" s="96">
        <v>41</v>
      </c>
      <c r="B202" s="97" t="s">
        <v>394</v>
      </c>
      <c r="C202" s="90">
        <v>2018</v>
      </c>
      <c r="D202" s="92">
        <v>0.18</v>
      </c>
    </row>
    <row r="203" spans="1:4" ht="15.75" x14ac:dyDescent="0.25">
      <c r="A203" s="96"/>
      <c r="B203" s="97"/>
      <c r="C203" s="90">
        <v>2019</v>
      </c>
      <c r="D203" s="92">
        <v>0.19</v>
      </c>
    </row>
    <row r="204" spans="1:4" ht="15.75" x14ac:dyDescent="0.25">
      <c r="A204" s="96"/>
      <c r="B204" s="97"/>
      <c r="C204" s="90">
        <v>2020</v>
      </c>
      <c r="D204" s="91">
        <v>0.14000000000000001</v>
      </c>
    </row>
    <row r="205" spans="1:4" ht="15.75" x14ac:dyDescent="0.25">
      <c r="A205" s="96"/>
      <c r="B205" s="97"/>
      <c r="C205" s="90">
        <v>2021</v>
      </c>
      <c r="D205" s="91">
        <v>0.13</v>
      </c>
    </row>
    <row r="206" spans="1:4" ht="15.75" x14ac:dyDescent="0.25">
      <c r="A206" s="96"/>
      <c r="B206" s="97"/>
      <c r="C206" s="90">
        <v>2022</v>
      </c>
      <c r="D206" s="92">
        <v>0.17879999999999999</v>
      </c>
    </row>
    <row r="207" spans="1:4" ht="15.75" x14ac:dyDescent="0.25">
      <c r="A207" s="96">
        <v>42</v>
      </c>
      <c r="B207" s="97" t="s">
        <v>400</v>
      </c>
      <c r="C207" s="90">
        <v>2018</v>
      </c>
      <c r="D207" s="92">
        <v>0.19</v>
      </c>
    </row>
    <row r="208" spans="1:4" ht="15.75" x14ac:dyDescent="0.25">
      <c r="A208" s="96"/>
      <c r="B208" s="97"/>
      <c r="C208" s="90">
        <v>2019</v>
      </c>
      <c r="D208" s="92">
        <v>0.25380000000000003</v>
      </c>
    </row>
    <row r="209" spans="1:4" ht="15.75" x14ac:dyDescent="0.25">
      <c r="A209" s="96"/>
      <c r="B209" s="97"/>
      <c r="C209" s="90">
        <v>2020</v>
      </c>
      <c r="D209" s="92">
        <v>0.27</v>
      </c>
    </row>
    <row r="210" spans="1:4" ht="15.75" x14ac:dyDescent="0.25">
      <c r="A210" s="96"/>
      <c r="B210" s="97"/>
      <c r="C210" s="90">
        <v>2021</v>
      </c>
      <c r="D210" s="92">
        <v>0.28770000000000001</v>
      </c>
    </row>
    <row r="211" spans="1:4" ht="15.75" x14ac:dyDescent="0.25">
      <c r="A211" s="96"/>
      <c r="B211" s="97"/>
      <c r="C211" s="90">
        <v>2022</v>
      </c>
      <c r="D211" s="92">
        <v>0.31</v>
      </c>
    </row>
    <row r="212" spans="1:4" ht="15.75" x14ac:dyDescent="0.25">
      <c r="A212" s="96">
        <v>43</v>
      </c>
      <c r="B212" s="97" t="s">
        <v>404</v>
      </c>
      <c r="C212" s="90">
        <v>2018</v>
      </c>
      <c r="D212" s="92">
        <v>0.1772</v>
      </c>
    </row>
    <row r="213" spans="1:4" ht="15.75" x14ac:dyDescent="0.25">
      <c r="A213" s="96"/>
      <c r="B213" s="97"/>
      <c r="C213" s="90">
        <v>2019</v>
      </c>
      <c r="D213" s="92">
        <v>0.16</v>
      </c>
    </row>
    <row r="214" spans="1:4" ht="15.75" x14ac:dyDescent="0.25">
      <c r="A214" s="96"/>
      <c r="B214" s="97"/>
      <c r="C214" s="90">
        <v>2020</v>
      </c>
      <c r="D214" s="91">
        <v>0.16</v>
      </c>
    </row>
    <row r="215" spans="1:4" ht="15.75" x14ac:dyDescent="0.25">
      <c r="A215" s="96"/>
      <c r="B215" s="97"/>
      <c r="C215" s="90">
        <v>2021</v>
      </c>
      <c r="D215" s="91">
        <v>0.24</v>
      </c>
    </row>
    <row r="216" spans="1:4" ht="15.75" x14ac:dyDescent="0.25">
      <c r="A216" s="96"/>
      <c r="B216" s="97"/>
      <c r="C216" s="90">
        <v>2022</v>
      </c>
      <c r="D216" s="92">
        <v>0.27560000000000001</v>
      </c>
    </row>
    <row r="217" spans="1:4" ht="15.75" x14ac:dyDescent="0.25">
      <c r="A217" s="96">
        <v>44</v>
      </c>
      <c r="B217" s="97" t="s">
        <v>406</v>
      </c>
      <c r="C217" s="90">
        <v>2018</v>
      </c>
      <c r="D217" s="91">
        <v>0.1681</v>
      </c>
    </row>
    <row r="218" spans="1:4" ht="15.75" x14ac:dyDescent="0.25">
      <c r="A218" s="96"/>
      <c r="B218" s="97"/>
      <c r="C218" s="90">
        <v>2019</v>
      </c>
      <c r="D218" s="91">
        <v>0.09</v>
      </c>
    </row>
    <row r="219" spans="1:4" ht="15.75" x14ac:dyDescent="0.25">
      <c r="A219" s="96"/>
      <c r="B219" s="97"/>
      <c r="C219" s="90">
        <v>2020</v>
      </c>
      <c r="D219" s="91">
        <v>0.18</v>
      </c>
    </row>
    <row r="220" spans="1:4" ht="15.75" x14ac:dyDescent="0.25">
      <c r="A220" s="96"/>
      <c r="B220" s="97"/>
      <c r="C220" s="90">
        <v>2021</v>
      </c>
      <c r="D220" s="91">
        <v>0.17</v>
      </c>
    </row>
    <row r="221" spans="1:4" ht="15.75" x14ac:dyDescent="0.25">
      <c r="A221" s="96"/>
      <c r="B221" s="97"/>
      <c r="C221" s="90">
        <v>2022</v>
      </c>
      <c r="D221" s="92">
        <v>0.19</v>
      </c>
    </row>
    <row r="222" spans="1:4" ht="15.75" x14ac:dyDescent="0.25">
      <c r="A222" s="96">
        <v>45</v>
      </c>
      <c r="B222" s="97" t="s">
        <v>410</v>
      </c>
      <c r="C222" s="90">
        <v>2018</v>
      </c>
      <c r="D222" s="92">
        <v>0.19800000000000001</v>
      </c>
    </row>
    <row r="223" spans="1:4" ht="15.75" x14ac:dyDescent="0.25">
      <c r="A223" s="96"/>
      <c r="B223" s="97"/>
      <c r="C223" s="90">
        <v>2019</v>
      </c>
      <c r="D223" s="92">
        <v>0.27</v>
      </c>
    </row>
    <row r="224" spans="1:4" ht="15.75" x14ac:dyDescent="0.25">
      <c r="A224" s="96"/>
      <c r="B224" s="97"/>
      <c r="C224" s="90">
        <v>2020</v>
      </c>
      <c r="D224" s="91">
        <v>0.32</v>
      </c>
    </row>
    <row r="225" spans="1:4" ht="15.75" x14ac:dyDescent="0.25">
      <c r="A225" s="96"/>
      <c r="B225" s="97"/>
      <c r="C225" s="90">
        <v>2021</v>
      </c>
      <c r="D225" s="92">
        <v>0.25</v>
      </c>
    </row>
    <row r="226" spans="1:4" ht="15.75" x14ac:dyDescent="0.25">
      <c r="A226" s="96"/>
      <c r="B226" s="97"/>
      <c r="C226" s="90">
        <v>2022</v>
      </c>
      <c r="D226" s="92">
        <v>0.25</v>
      </c>
    </row>
    <row r="227" spans="1:4" ht="15.75" x14ac:dyDescent="0.25">
      <c r="A227" s="96">
        <v>46</v>
      </c>
      <c r="B227" s="97" t="s">
        <v>416</v>
      </c>
      <c r="C227" s="90">
        <v>2018</v>
      </c>
      <c r="D227" s="92">
        <v>0.31780000000000003</v>
      </c>
    </row>
    <row r="228" spans="1:4" ht="15.75" x14ac:dyDescent="0.25">
      <c r="A228" s="96"/>
      <c r="B228" s="97"/>
      <c r="C228" s="90">
        <v>2019</v>
      </c>
      <c r="D228" s="92">
        <v>0.35980000000000001</v>
      </c>
    </row>
    <row r="229" spans="1:4" ht="15.75" x14ac:dyDescent="0.25">
      <c r="A229" s="96"/>
      <c r="B229" s="97"/>
      <c r="C229" s="90">
        <v>2020</v>
      </c>
      <c r="D229" s="92">
        <v>0.34</v>
      </c>
    </row>
    <row r="230" spans="1:4" ht="15.75" x14ac:dyDescent="0.25">
      <c r="A230" s="96"/>
      <c r="B230" s="97"/>
      <c r="C230" s="90">
        <v>2021</v>
      </c>
      <c r="D230" s="92">
        <v>0.29759999999999998</v>
      </c>
    </row>
    <row r="231" spans="1:4" ht="15.75" x14ac:dyDescent="0.25">
      <c r="A231" s="96"/>
      <c r="B231" s="97"/>
      <c r="C231" s="90">
        <v>2022</v>
      </c>
      <c r="D231" s="92">
        <v>0.34870000000000001</v>
      </c>
    </row>
    <row r="232" spans="1:4" ht="15.75" x14ac:dyDescent="0.25">
      <c r="A232" s="96">
        <v>47</v>
      </c>
      <c r="B232" s="97" t="s">
        <v>420</v>
      </c>
      <c r="C232" s="90">
        <v>2018</v>
      </c>
      <c r="D232" s="92">
        <v>0.23649999999999999</v>
      </c>
    </row>
    <row r="233" spans="1:4" ht="15.75" x14ac:dyDescent="0.25">
      <c r="A233" s="96"/>
      <c r="B233" s="97"/>
      <c r="C233" s="90">
        <v>2019</v>
      </c>
      <c r="D233" s="92">
        <v>0.24</v>
      </c>
    </row>
    <row r="234" spans="1:4" ht="15.75" x14ac:dyDescent="0.25">
      <c r="A234" s="96"/>
      <c r="B234" s="97"/>
      <c r="C234" s="90">
        <v>2020</v>
      </c>
      <c r="D234" s="92">
        <v>0.27</v>
      </c>
    </row>
    <row r="235" spans="1:4" ht="15.75" x14ac:dyDescent="0.25">
      <c r="A235" s="96"/>
      <c r="B235" s="97"/>
      <c r="C235" s="90">
        <v>2021</v>
      </c>
      <c r="D235" s="92">
        <v>0.29759999999999998</v>
      </c>
    </row>
    <row r="236" spans="1:4" ht="15.75" x14ac:dyDescent="0.25">
      <c r="A236" s="96"/>
      <c r="B236" s="97"/>
      <c r="C236" s="90">
        <v>2022</v>
      </c>
      <c r="D236" s="92">
        <v>0.32540000000000002</v>
      </c>
    </row>
    <row r="237" spans="1:4" ht="15.75" x14ac:dyDescent="0.25">
      <c r="A237" s="96">
        <v>48</v>
      </c>
      <c r="B237" s="97" t="s">
        <v>501</v>
      </c>
      <c r="C237" s="90">
        <v>2018</v>
      </c>
      <c r="D237" s="92">
        <v>0.25719999999999998</v>
      </c>
    </row>
    <row r="238" spans="1:4" ht="15.75" x14ac:dyDescent="0.25">
      <c r="A238" s="96"/>
      <c r="B238" s="97"/>
      <c r="C238" s="90">
        <v>2019</v>
      </c>
      <c r="D238" s="92">
        <v>0.27500000000000002</v>
      </c>
    </row>
    <row r="239" spans="1:4" ht="15.75" x14ac:dyDescent="0.25">
      <c r="A239" s="96"/>
      <c r="B239" s="97"/>
      <c r="C239" s="90">
        <v>2020</v>
      </c>
      <c r="D239" s="92">
        <v>0.28999999999999998</v>
      </c>
    </row>
    <row r="240" spans="1:4" ht="15.75" x14ac:dyDescent="0.25">
      <c r="A240" s="96"/>
      <c r="B240" s="97"/>
      <c r="C240" s="90">
        <v>2021</v>
      </c>
      <c r="D240" s="92">
        <v>0.3367</v>
      </c>
    </row>
    <row r="241" spans="1:4" ht="15.75" x14ac:dyDescent="0.25">
      <c r="A241" s="96"/>
      <c r="B241" s="97"/>
      <c r="C241" s="90">
        <v>2022</v>
      </c>
      <c r="D241" s="92">
        <v>0.37880000000000003</v>
      </c>
    </row>
    <row r="242" spans="1:4" ht="15.75" x14ac:dyDescent="0.25">
      <c r="A242" s="96">
        <v>49</v>
      </c>
      <c r="B242" s="97" t="s">
        <v>438</v>
      </c>
      <c r="C242" s="90">
        <v>2018</v>
      </c>
      <c r="D242" s="91">
        <v>0.28420000000000001</v>
      </c>
    </row>
    <row r="243" spans="1:4" ht="15.75" x14ac:dyDescent="0.25">
      <c r="A243" s="96"/>
      <c r="B243" s="97"/>
      <c r="C243" s="90">
        <v>2019</v>
      </c>
      <c r="D243" s="91">
        <v>0.12</v>
      </c>
    </row>
    <row r="244" spans="1:4" ht="15.75" x14ac:dyDescent="0.25">
      <c r="A244" s="96"/>
      <c r="B244" s="97"/>
      <c r="C244" s="90">
        <v>2020</v>
      </c>
      <c r="D244" s="91">
        <v>0.26</v>
      </c>
    </row>
    <row r="245" spans="1:4" ht="15.75" x14ac:dyDescent="0.25">
      <c r="A245" s="96"/>
      <c r="B245" s="97"/>
      <c r="C245" s="90">
        <v>2021</v>
      </c>
      <c r="D245" s="91">
        <v>0.25</v>
      </c>
    </row>
    <row r="246" spans="1:4" ht="15.75" x14ac:dyDescent="0.25">
      <c r="A246" s="96"/>
      <c r="B246" s="97"/>
      <c r="C246" s="90">
        <v>2022</v>
      </c>
      <c r="D246" s="92">
        <v>0.26</v>
      </c>
    </row>
  </sheetData>
  <mergeCells count="98">
    <mergeCell ref="A2:A6"/>
    <mergeCell ref="B2:B6"/>
    <mergeCell ref="A7:A11"/>
    <mergeCell ref="B7:B11"/>
    <mergeCell ref="A12:A16"/>
    <mergeCell ref="B12:B16"/>
    <mergeCell ref="A17:A21"/>
    <mergeCell ref="B17:B21"/>
    <mergeCell ref="A22:A26"/>
    <mergeCell ref="B22:B26"/>
    <mergeCell ref="A27:A31"/>
    <mergeCell ref="B27:B31"/>
    <mergeCell ref="A32:A36"/>
    <mergeCell ref="B32:B36"/>
    <mergeCell ref="A37:A41"/>
    <mergeCell ref="B37:B41"/>
    <mergeCell ref="A42:A46"/>
    <mergeCell ref="B42:B46"/>
    <mergeCell ref="A47:A51"/>
    <mergeCell ref="B47:B51"/>
    <mergeCell ref="A52:A56"/>
    <mergeCell ref="B52:B56"/>
    <mergeCell ref="A57:A61"/>
    <mergeCell ref="B57:B61"/>
    <mergeCell ref="A62:A66"/>
    <mergeCell ref="B62:B66"/>
    <mergeCell ref="A67:A71"/>
    <mergeCell ref="B67:B71"/>
    <mergeCell ref="A72:A76"/>
    <mergeCell ref="B72:B76"/>
    <mergeCell ref="A77:A81"/>
    <mergeCell ref="B77:B81"/>
    <mergeCell ref="A82:A86"/>
    <mergeCell ref="B82:B86"/>
    <mergeCell ref="A87:A91"/>
    <mergeCell ref="B87:B91"/>
    <mergeCell ref="A92:A96"/>
    <mergeCell ref="B92:B96"/>
    <mergeCell ref="A97:A101"/>
    <mergeCell ref="B97:B101"/>
    <mergeCell ref="A102:A106"/>
    <mergeCell ref="B102:B106"/>
    <mergeCell ref="A107:A111"/>
    <mergeCell ref="B107:B111"/>
    <mergeCell ref="A112:A116"/>
    <mergeCell ref="B112:B116"/>
    <mergeCell ref="A117:A121"/>
    <mergeCell ref="B117:B121"/>
    <mergeCell ref="A122:A126"/>
    <mergeCell ref="B122:B126"/>
    <mergeCell ref="A127:A131"/>
    <mergeCell ref="B127:B131"/>
    <mergeCell ref="A132:A136"/>
    <mergeCell ref="B132:B136"/>
    <mergeCell ref="A137:A141"/>
    <mergeCell ref="B137:B141"/>
    <mergeCell ref="A142:A146"/>
    <mergeCell ref="B142:B146"/>
    <mergeCell ref="A147:A151"/>
    <mergeCell ref="B147:B151"/>
    <mergeCell ref="A152:A156"/>
    <mergeCell ref="B152:B156"/>
    <mergeCell ref="A157:A161"/>
    <mergeCell ref="B157:B161"/>
    <mergeCell ref="A162:A166"/>
    <mergeCell ref="B162:B166"/>
    <mergeCell ref="A167:A171"/>
    <mergeCell ref="B167:B171"/>
    <mergeCell ref="A172:A176"/>
    <mergeCell ref="B172:B176"/>
    <mergeCell ref="A177:A181"/>
    <mergeCell ref="B177:B181"/>
    <mergeCell ref="A182:A186"/>
    <mergeCell ref="B182:B186"/>
    <mergeCell ref="A187:A191"/>
    <mergeCell ref="B187:B191"/>
    <mergeCell ref="A192:A196"/>
    <mergeCell ref="B192:B196"/>
    <mergeCell ref="A197:A201"/>
    <mergeCell ref="B197:B201"/>
    <mergeCell ref="A202:A206"/>
    <mergeCell ref="B202:B206"/>
    <mergeCell ref="A207:A211"/>
    <mergeCell ref="B207:B211"/>
    <mergeCell ref="A212:A216"/>
    <mergeCell ref="B212:B216"/>
    <mergeCell ref="A217:A221"/>
    <mergeCell ref="B217:B221"/>
    <mergeCell ref="A237:A241"/>
    <mergeCell ref="B237:B241"/>
    <mergeCell ref="A242:A246"/>
    <mergeCell ref="B242:B246"/>
    <mergeCell ref="A222:A226"/>
    <mergeCell ref="B222:B226"/>
    <mergeCell ref="A227:A231"/>
    <mergeCell ref="B227:B231"/>
    <mergeCell ref="A232:A236"/>
    <mergeCell ref="B232:B23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0FB18-B91E-48CB-8E2B-446E1720CC7B}">
  <dimension ref="A3:S53"/>
  <sheetViews>
    <sheetView topLeftCell="F1" zoomScale="95" zoomScaleNormal="95" workbookViewId="0">
      <selection activeCell="M14" sqref="M14"/>
    </sheetView>
  </sheetViews>
  <sheetFormatPr defaultRowHeight="15" x14ac:dyDescent="0.25"/>
  <cols>
    <col min="1" max="1" width="3.85546875" bestFit="1" customWidth="1"/>
    <col min="2" max="2" width="6.85546875" bestFit="1" customWidth="1"/>
    <col min="3" max="3" width="46.42578125" hidden="1" customWidth="1"/>
    <col min="4" max="4" width="14" hidden="1" customWidth="1"/>
    <col min="5" max="6" width="17.7109375" bestFit="1" customWidth="1"/>
    <col min="7" max="7" width="17.140625" customWidth="1"/>
    <col min="8" max="9" width="17.7109375" bestFit="1" customWidth="1"/>
    <col min="10" max="14" width="19" bestFit="1" customWidth="1"/>
    <col min="15" max="15" width="5.28515625" bestFit="1" customWidth="1"/>
    <col min="16" max="16" width="5.42578125" customWidth="1"/>
    <col min="17" max="17" width="6.42578125" customWidth="1"/>
    <col min="18" max="18" width="6.28515625" customWidth="1"/>
    <col min="19" max="19" width="6.7109375" customWidth="1"/>
  </cols>
  <sheetData>
    <row r="3" spans="1:19" x14ac:dyDescent="0.25">
      <c r="A3" s="1" t="s">
        <v>0</v>
      </c>
      <c r="B3" s="1" t="s">
        <v>1</v>
      </c>
      <c r="C3" s="2" t="s">
        <v>2</v>
      </c>
      <c r="D3" s="2" t="s">
        <v>3</v>
      </c>
      <c r="E3" s="93" t="s">
        <v>492</v>
      </c>
      <c r="F3" s="93"/>
      <c r="G3" s="93"/>
      <c r="H3" s="93"/>
      <c r="I3" s="94"/>
      <c r="J3" s="95" t="s">
        <v>4</v>
      </c>
      <c r="K3" s="95"/>
      <c r="L3" s="95"/>
      <c r="M3" s="95"/>
      <c r="N3" s="95"/>
      <c r="O3" s="93" t="s">
        <v>493</v>
      </c>
      <c r="P3" s="93"/>
      <c r="Q3" s="93"/>
      <c r="R3" s="93"/>
      <c r="S3" s="94"/>
    </row>
    <row r="4" spans="1:19" x14ac:dyDescent="0.25">
      <c r="A4" s="3"/>
      <c r="B4" s="3"/>
      <c r="C4" s="3"/>
      <c r="D4" s="3"/>
      <c r="E4" s="3">
        <v>2018</v>
      </c>
      <c r="F4" s="3">
        <v>2019</v>
      </c>
      <c r="G4" s="4">
        <v>2020</v>
      </c>
      <c r="H4" s="4">
        <v>2021</v>
      </c>
      <c r="I4" s="4">
        <v>2022</v>
      </c>
      <c r="J4" s="3">
        <v>2018</v>
      </c>
      <c r="K4" s="3">
        <v>2019</v>
      </c>
      <c r="L4" s="4">
        <v>2020</v>
      </c>
      <c r="M4" s="4">
        <v>2021</v>
      </c>
      <c r="N4" s="4">
        <v>2022</v>
      </c>
      <c r="O4" s="3">
        <v>2018</v>
      </c>
      <c r="P4" s="3">
        <v>2019</v>
      </c>
      <c r="Q4" s="4">
        <v>2020</v>
      </c>
      <c r="R4" s="4">
        <v>2021</v>
      </c>
      <c r="S4" s="4">
        <v>2022</v>
      </c>
    </row>
    <row r="5" spans="1:19" x14ac:dyDescent="0.25">
      <c r="A5" s="5">
        <v>1</v>
      </c>
      <c r="B5" s="5" t="s">
        <v>10</v>
      </c>
      <c r="C5" s="5" t="s">
        <v>11</v>
      </c>
      <c r="D5" s="6">
        <v>32847</v>
      </c>
      <c r="E5" s="71">
        <v>7225876000000</v>
      </c>
      <c r="F5" s="71">
        <v>7651750000000</v>
      </c>
      <c r="G5" s="71">
        <v>7749167000000</v>
      </c>
      <c r="H5" s="71">
        <v>6199754000000</v>
      </c>
      <c r="I5" s="71">
        <v>4587433000000</v>
      </c>
      <c r="J5" s="71">
        <v>27788562000000</v>
      </c>
      <c r="K5" s="71">
        <v>27707749000000</v>
      </c>
      <c r="L5" s="71">
        <v>27344672000000</v>
      </c>
      <c r="M5" s="71">
        <v>26136114000000</v>
      </c>
      <c r="N5" s="71">
        <v>25706169000000</v>
      </c>
      <c r="O5" s="72">
        <f>E5/J5</f>
        <v>0.26003058380638766</v>
      </c>
      <c r="P5" s="72">
        <f t="shared" ref="P5:S20" si="0">F5/K5</f>
        <v>0.2761592073033432</v>
      </c>
      <c r="Q5" s="72">
        <f t="shared" si="0"/>
        <v>0.28338855189047429</v>
      </c>
      <c r="R5" s="72">
        <f t="shared" si="0"/>
        <v>0.23721024479767727</v>
      </c>
      <c r="S5" s="72">
        <f t="shared" si="0"/>
        <v>0.17845650201708391</v>
      </c>
    </row>
    <row r="6" spans="1:19" x14ac:dyDescent="0.25">
      <c r="A6" s="5">
        <v>2</v>
      </c>
      <c r="B6" s="5" t="s">
        <v>18</v>
      </c>
      <c r="C6" s="5" t="s">
        <v>19</v>
      </c>
      <c r="D6" s="6">
        <v>33427</v>
      </c>
      <c r="E6" s="71">
        <v>5254183000000</v>
      </c>
      <c r="F6" s="71">
        <v>4017670000000</v>
      </c>
      <c r="G6" s="71">
        <v>4034067000000</v>
      </c>
      <c r="H6" s="71">
        <v>3827743000000</v>
      </c>
      <c r="I6" s="71">
        <v>6067314000000</v>
      </c>
      <c r="J6" s="71">
        <v>51155890227000</v>
      </c>
      <c r="K6" s="71">
        <v>79807067000000</v>
      </c>
      <c r="L6" s="71">
        <v>78006244000000</v>
      </c>
      <c r="M6" s="71">
        <v>81766327000000</v>
      </c>
      <c r="N6" s="71">
        <v>82960012000000</v>
      </c>
      <c r="O6" s="72">
        <f t="shared" ref="O6:S53" si="1">E6/J6</f>
        <v>0.10270924768750971</v>
      </c>
      <c r="P6" s="72">
        <f t="shared" si="0"/>
        <v>5.0342283597516496E-2</v>
      </c>
      <c r="Q6" s="72">
        <f t="shared" si="0"/>
        <v>5.1714667866844095E-2</v>
      </c>
      <c r="R6" s="72">
        <f t="shared" si="0"/>
        <v>4.6813194874217597E-2</v>
      </c>
      <c r="S6" s="72">
        <f t="shared" si="0"/>
        <v>7.3135404078774724E-2</v>
      </c>
    </row>
    <row r="7" spans="1:19" x14ac:dyDescent="0.25">
      <c r="A7" s="5">
        <v>3</v>
      </c>
      <c r="B7" s="5" t="s">
        <v>24</v>
      </c>
      <c r="C7" s="5" t="s">
        <v>25</v>
      </c>
      <c r="D7" s="6">
        <v>42633</v>
      </c>
      <c r="E7" s="71">
        <v>865016441670</v>
      </c>
      <c r="F7" s="71">
        <v>1602280750520</v>
      </c>
      <c r="G7" s="71">
        <v>1542217223260</v>
      </c>
      <c r="H7" s="71">
        <v>1738917107150</v>
      </c>
      <c r="I7" s="71">
        <v>1538311584460</v>
      </c>
      <c r="J7" s="71">
        <v>8881778299672</v>
      </c>
      <c r="K7" s="71">
        <v>10337895087207</v>
      </c>
      <c r="L7" s="71">
        <v>8509017299594</v>
      </c>
      <c r="M7" s="71">
        <v>9082511044439</v>
      </c>
      <c r="N7" s="71">
        <v>9447528704261</v>
      </c>
      <c r="O7" s="72">
        <f t="shared" si="1"/>
        <v>9.7392257775894345E-2</v>
      </c>
      <c r="P7" s="72">
        <f t="shared" si="0"/>
        <v>0.15499100513244712</v>
      </c>
      <c r="Q7" s="72">
        <f t="shared" si="0"/>
        <v>0.18124504498699109</v>
      </c>
      <c r="R7" s="72">
        <f t="shared" si="0"/>
        <v>0.19145774760325743</v>
      </c>
      <c r="S7" s="72">
        <f t="shared" si="0"/>
        <v>0.16282687596029158</v>
      </c>
    </row>
    <row r="8" spans="1:19" x14ac:dyDescent="0.25">
      <c r="A8" s="5">
        <v>4</v>
      </c>
      <c r="B8" s="5" t="s">
        <v>30</v>
      </c>
      <c r="C8" s="5" t="s">
        <v>31</v>
      </c>
      <c r="D8" s="6">
        <v>37089</v>
      </c>
      <c r="E8" s="71">
        <v>192813271610</v>
      </c>
      <c r="F8" s="71">
        <v>348977786130</v>
      </c>
      <c r="G8" s="71">
        <v>435881790280</v>
      </c>
      <c r="H8" s="71">
        <v>602550379680</v>
      </c>
      <c r="I8" s="71">
        <v>599860507460</v>
      </c>
      <c r="J8" s="71">
        <v>1652905985730</v>
      </c>
      <c r="K8" s="71">
        <v>1799137069343</v>
      </c>
      <c r="L8" s="71">
        <v>1970340289520</v>
      </c>
      <c r="M8" s="71">
        <v>2243523072803</v>
      </c>
      <c r="N8" s="71">
        <v>2578868615545</v>
      </c>
      <c r="O8" s="72">
        <f t="shared" si="1"/>
        <v>0.11665108195784329</v>
      </c>
      <c r="P8" s="72">
        <f t="shared" si="0"/>
        <v>0.1939695379949222</v>
      </c>
      <c r="Q8" s="72">
        <f t="shared" si="0"/>
        <v>0.22122157913452928</v>
      </c>
      <c r="R8" s="72">
        <f t="shared" si="0"/>
        <v>0.26857329304270944</v>
      </c>
      <c r="S8" s="72">
        <f t="shared" si="0"/>
        <v>0.23260607533246888</v>
      </c>
    </row>
    <row r="9" spans="1:19" x14ac:dyDescent="0.25">
      <c r="A9" s="5">
        <v>5</v>
      </c>
      <c r="B9" s="5" t="s">
        <v>36</v>
      </c>
      <c r="C9" s="5" t="s">
        <v>37</v>
      </c>
      <c r="D9" s="6">
        <v>42928</v>
      </c>
      <c r="E9" s="71">
        <v>5426961710</v>
      </c>
      <c r="F9" s="71">
        <v>27975310470</v>
      </c>
      <c r="G9" s="71">
        <v>39663959660</v>
      </c>
      <c r="H9" s="71">
        <v>104216468220</v>
      </c>
      <c r="I9" s="71">
        <v>51262645930</v>
      </c>
      <c r="J9" s="71">
        <v>318080326465</v>
      </c>
      <c r="K9" s="71">
        <v>441254067741</v>
      </c>
      <c r="L9" s="71">
        <v>719726855599</v>
      </c>
      <c r="M9" s="71">
        <v>1078458868349</v>
      </c>
      <c r="N9" s="71">
        <v>1005368365991</v>
      </c>
      <c r="O9" s="72">
        <f t="shared" si="1"/>
        <v>1.7061607582942281E-2</v>
      </c>
      <c r="P9" s="72">
        <f t="shared" si="0"/>
        <v>6.3399552582528218E-2</v>
      </c>
      <c r="Q9" s="72">
        <f t="shared" si="0"/>
        <v>5.5109739690051257E-2</v>
      </c>
      <c r="R9" s="72">
        <f t="shared" si="0"/>
        <v>9.6634624906505484E-2</v>
      </c>
      <c r="S9" s="72">
        <f t="shared" si="0"/>
        <v>5.0988918752650408E-2</v>
      </c>
    </row>
    <row r="10" spans="1:19" x14ac:dyDescent="0.25">
      <c r="A10" s="5">
        <v>6</v>
      </c>
      <c r="B10" s="5" t="s">
        <v>40</v>
      </c>
      <c r="C10" s="5" t="s">
        <v>41</v>
      </c>
      <c r="D10" s="6">
        <v>33176</v>
      </c>
      <c r="E10" s="71">
        <v>160457753000</v>
      </c>
      <c r="F10" s="71">
        <v>229961857690</v>
      </c>
      <c r="G10" s="71">
        <v>474357810880</v>
      </c>
      <c r="H10" s="71">
        <v>370908976530</v>
      </c>
      <c r="I10" s="71">
        <v>405569883000</v>
      </c>
      <c r="J10" s="71">
        <v>1558071752917</v>
      </c>
      <c r="K10" s="71">
        <v>2918467252139</v>
      </c>
      <c r="L10" s="71">
        <v>3107410113178</v>
      </c>
      <c r="M10" s="71">
        <v>3236330922409</v>
      </c>
      <c r="N10" s="71">
        <v>3304972191991</v>
      </c>
      <c r="O10" s="72">
        <f t="shared" si="1"/>
        <v>0.10298482897183217</v>
      </c>
      <c r="P10" s="72">
        <f t="shared" si="0"/>
        <v>7.8795421645199745E-2</v>
      </c>
      <c r="Q10" s="72">
        <f t="shared" si="0"/>
        <v>0.15265375138876225</v>
      </c>
      <c r="R10" s="72">
        <f t="shared" si="0"/>
        <v>0.11460786471548765</v>
      </c>
      <c r="S10" s="72">
        <f t="shared" si="0"/>
        <v>0.12271506670550057</v>
      </c>
    </row>
    <row r="11" spans="1:19" x14ac:dyDescent="0.25">
      <c r="A11" s="5">
        <v>7</v>
      </c>
      <c r="B11" s="5" t="s">
        <v>82</v>
      </c>
      <c r="C11" s="5" t="s">
        <v>83</v>
      </c>
      <c r="D11" s="6">
        <v>34243</v>
      </c>
      <c r="E11" s="71">
        <v>848387000</v>
      </c>
      <c r="F11" s="71">
        <v>832056000</v>
      </c>
      <c r="G11" s="71">
        <v>1230432000</v>
      </c>
      <c r="H11" s="71">
        <v>2596641000</v>
      </c>
      <c r="I11" s="71">
        <v>1980830000</v>
      </c>
      <c r="J11" s="71">
        <v>7042491000</v>
      </c>
      <c r="K11" s="71">
        <v>7182435000</v>
      </c>
      <c r="L11" s="71">
        <v>7683159000</v>
      </c>
      <c r="M11" s="71">
        <v>9241551000</v>
      </c>
      <c r="N11" s="71">
        <v>9248254000</v>
      </c>
      <c r="O11" s="72">
        <f t="shared" si="1"/>
        <v>0.12046689161548094</v>
      </c>
      <c r="P11" s="72">
        <f t="shared" si="0"/>
        <v>0.11584594918018749</v>
      </c>
      <c r="Q11" s="72">
        <f t="shared" si="0"/>
        <v>0.16014662718811365</v>
      </c>
      <c r="R11" s="72">
        <f t="shared" si="0"/>
        <v>0.28097458965491834</v>
      </c>
      <c r="S11" s="72">
        <f t="shared" si="0"/>
        <v>0.21418421250108399</v>
      </c>
    </row>
    <row r="12" spans="1:19" x14ac:dyDescent="0.25">
      <c r="A12" s="5">
        <v>8</v>
      </c>
      <c r="B12" s="5" t="s">
        <v>89</v>
      </c>
      <c r="C12" s="5" t="s">
        <v>90</v>
      </c>
      <c r="D12" s="6">
        <v>33099</v>
      </c>
      <c r="E12" s="71">
        <v>137994243520</v>
      </c>
      <c r="F12" s="71">
        <v>192995237590</v>
      </c>
      <c r="G12" s="71">
        <v>369130745860</v>
      </c>
      <c r="H12" s="71">
        <v>384882594670</v>
      </c>
      <c r="I12" s="71">
        <v>430400877590</v>
      </c>
      <c r="J12" s="71">
        <v>853267454400</v>
      </c>
      <c r="K12" s="71">
        <v>968234349565</v>
      </c>
      <c r="L12" s="71">
        <v>1081979820386</v>
      </c>
      <c r="M12" s="71">
        <v>1165564745263</v>
      </c>
      <c r="N12" s="71">
        <v>1221291885832</v>
      </c>
      <c r="O12" s="72">
        <f t="shared" si="1"/>
        <v>0.16172448955882737</v>
      </c>
      <c r="P12" s="72">
        <f t="shared" si="0"/>
        <v>0.19932698904630602</v>
      </c>
      <c r="Q12" s="72">
        <f t="shared" si="0"/>
        <v>0.34116232013302367</v>
      </c>
      <c r="R12" s="72">
        <f t="shared" si="0"/>
        <v>0.33021125272895452</v>
      </c>
      <c r="S12" s="72">
        <f t="shared" si="0"/>
        <v>0.35241442490776165</v>
      </c>
    </row>
    <row r="13" spans="1:19" x14ac:dyDescent="0.25">
      <c r="A13" s="5">
        <v>9</v>
      </c>
      <c r="B13" s="5" t="s">
        <v>99</v>
      </c>
      <c r="C13" s="5" t="s">
        <v>100</v>
      </c>
      <c r="D13" s="6">
        <v>43342</v>
      </c>
      <c r="E13" s="71">
        <v>308310115000</v>
      </c>
      <c r="F13" s="71">
        <v>82780113000</v>
      </c>
      <c r="G13" s="71">
        <v>63949036000</v>
      </c>
      <c r="H13" s="71">
        <v>38172994000</v>
      </c>
      <c r="I13" s="71">
        <v>53314885000</v>
      </c>
      <c r="J13" s="71">
        <v>1868245599000</v>
      </c>
      <c r="K13" s="71">
        <v>1872712715000</v>
      </c>
      <c r="L13" s="71">
        <v>2279580714000</v>
      </c>
      <c r="M13" s="71">
        <v>2275216679000</v>
      </c>
      <c r="N13" s="71">
        <v>2182945756000</v>
      </c>
      <c r="O13" s="72">
        <f t="shared" si="1"/>
        <v>0.16502654424291247</v>
      </c>
      <c r="P13" s="72">
        <f t="shared" si="0"/>
        <v>4.420331657757768E-2</v>
      </c>
      <c r="Q13" s="72">
        <f t="shared" si="0"/>
        <v>2.805298167652422E-2</v>
      </c>
      <c r="R13" s="72">
        <f t="shared" si="0"/>
        <v>1.6777740051016916E-2</v>
      </c>
      <c r="S13" s="72">
        <f t="shared" si="0"/>
        <v>2.4423366844301925E-2</v>
      </c>
    </row>
    <row r="14" spans="1:19" x14ac:dyDescent="0.25">
      <c r="A14" s="5">
        <v>10</v>
      </c>
      <c r="B14" s="11" t="s">
        <v>111</v>
      </c>
      <c r="C14" s="11" t="s">
        <v>112</v>
      </c>
      <c r="D14" s="6">
        <v>43199</v>
      </c>
      <c r="E14" s="71">
        <v>4535430</v>
      </c>
      <c r="F14" s="71">
        <v>21367660</v>
      </c>
      <c r="G14" s="71">
        <v>1644190</v>
      </c>
      <c r="H14" s="71">
        <v>2400730</v>
      </c>
      <c r="I14" s="71">
        <v>1588310</v>
      </c>
      <c r="J14" s="71">
        <v>304204072</v>
      </c>
      <c r="K14" s="71">
        <v>356285764</v>
      </c>
      <c r="L14" s="71">
        <v>349209327</v>
      </c>
      <c r="M14" s="71">
        <v>210575452</v>
      </c>
      <c r="N14" s="71">
        <v>146631100</v>
      </c>
      <c r="O14" s="72">
        <f t="shared" si="1"/>
        <v>1.4909169263191191E-2</v>
      </c>
      <c r="P14" s="72">
        <f t="shared" si="0"/>
        <v>5.9973375753514531E-2</v>
      </c>
      <c r="Q14" s="72">
        <f t="shared" si="0"/>
        <v>4.7083221233664239E-3</v>
      </c>
      <c r="R14" s="72">
        <f t="shared" si="0"/>
        <v>1.1400806585945261E-2</v>
      </c>
      <c r="S14" s="72">
        <f t="shared" si="0"/>
        <v>1.0832013126819617E-2</v>
      </c>
    </row>
    <row r="15" spans="1:19" x14ac:dyDescent="0.25">
      <c r="A15" s="5">
        <v>11</v>
      </c>
      <c r="B15" s="5" t="s">
        <v>113</v>
      </c>
      <c r="C15" s="5" t="s">
        <v>114</v>
      </c>
      <c r="D15" s="6">
        <v>39594</v>
      </c>
      <c r="E15" s="71">
        <v>726714000</v>
      </c>
      <c r="F15" s="71">
        <v>660158000</v>
      </c>
      <c r="G15" s="71">
        <v>918917000</v>
      </c>
      <c r="H15" s="71">
        <v>2021128000</v>
      </c>
      <c r="I15" s="71">
        <v>1403973000</v>
      </c>
      <c r="J15" s="71">
        <v>3173486000</v>
      </c>
      <c r="K15" s="71">
        <v>3451211000</v>
      </c>
      <c r="L15" s="71">
        <v>3593747000</v>
      </c>
      <c r="M15" s="71">
        <v>4993060000</v>
      </c>
      <c r="N15" s="71">
        <v>4929871000</v>
      </c>
      <c r="O15" s="72">
        <f t="shared" si="1"/>
        <v>0.2289954958049287</v>
      </c>
      <c r="P15" s="72">
        <f t="shared" si="0"/>
        <v>0.1912830018216794</v>
      </c>
      <c r="Q15" s="72">
        <f t="shared" si="0"/>
        <v>0.25569885693121969</v>
      </c>
      <c r="R15" s="72">
        <f t="shared" si="0"/>
        <v>0.4047874449736234</v>
      </c>
      <c r="S15" s="72">
        <f t="shared" si="0"/>
        <v>0.2847889934645349</v>
      </c>
    </row>
    <row r="16" spans="1:19" x14ac:dyDescent="0.25">
      <c r="A16" s="5">
        <v>12</v>
      </c>
      <c r="B16" s="5" t="s">
        <v>115</v>
      </c>
      <c r="C16" s="5" t="s">
        <v>116</v>
      </c>
      <c r="D16" s="6">
        <v>32818</v>
      </c>
      <c r="E16" s="71">
        <v>26538660</v>
      </c>
      <c r="F16" s="71">
        <v>12198510</v>
      </c>
      <c r="G16" s="71">
        <v>61811690</v>
      </c>
      <c r="H16" s="71">
        <v>81085830</v>
      </c>
      <c r="I16" s="71">
        <v>84173030</v>
      </c>
      <c r="J16" s="71">
        <v>236410388</v>
      </c>
      <c r="K16" s="71">
        <v>219757421</v>
      </c>
      <c r="L16" s="71">
        <v>242256371</v>
      </c>
      <c r="M16" s="71">
        <v>292723782</v>
      </c>
      <c r="N16" s="71">
        <v>317577675</v>
      </c>
      <c r="O16" s="72">
        <f t="shared" si="1"/>
        <v>0.11225674228832956</v>
      </c>
      <c r="P16" s="72">
        <f t="shared" si="0"/>
        <v>5.5508978693374816E-2</v>
      </c>
      <c r="Q16" s="72">
        <f t="shared" si="0"/>
        <v>0.25514990480890182</v>
      </c>
      <c r="R16" s="72">
        <f t="shared" si="0"/>
        <v>0.27700458584536874</v>
      </c>
      <c r="S16" s="72">
        <f t="shared" si="0"/>
        <v>0.26504706289571522</v>
      </c>
    </row>
    <row r="17" spans="1:19" x14ac:dyDescent="0.25">
      <c r="A17" s="5">
        <v>13</v>
      </c>
      <c r="B17" s="5" t="s">
        <v>129</v>
      </c>
      <c r="C17" s="5" t="s">
        <v>130</v>
      </c>
      <c r="D17" s="6">
        <v>33182</v>
      </c>
      <c r="E17" s="71">
        <v>106627245300</v>
      </c>
      <c r="F17" s="71">
        <v>179838323570</v>
      </c>
      <c r="G17" s="71">
        <v>240409766770</v>
      </c>
      <c r="H17" s="71">
        <v>284171918150</v>
      </c>
      <c r="I17" s="71">
        <v>279809554890</v>
      </c>
      <c r="J17" s="71">
        <v>570197810698</v>
      </c>
      <c r="K17" s="71">
        <v>617594780669</v>
      </c>
      <c r="L17" s="71">
        <v>665863417235</v>
      </c>
      <c r="M17" s="71">
        <v>809371584010</v>
      </c>
      <c r="N17" s="71">
        <v>863638556466</v>
      </c>
      <c r="O17" s="72">
        <f t="shared" si="1"/>
        <v>0.18700044668616614</v>
      </c>
      <c r="P17" s="72">
        <f t="shared" si="0"/>
        <v>0.29119145627363124</v>
      </c>
      <c r="Q17" s="72">
        <f t="shared" si="0"/>
        <v>0.36104966956782569</v>
      </c>
      <c r="R17" s="72">
        <f t="shared" si="0"/>
        <v>0.35110192124868195</v>
      </c>
      <c r="S17" s="72">
        <f t="shared" si="0"/>
        <v>0.32398918829536488</v>
      </c>
    </row>
    <row r="18" spans="1:19" x14ac:dyDescent="0.25">
      <c r="A18" s="5">
        <v>14</v>
      </c>
      <c r="B18" s="5" t="s">
        <v>131</v>
      </c>
      <c r="C18" s="5" t="s">
        <v>132</v>
      </c>
      <c r="D18" s="6">
        <v>41990</v>
      </c>
      <c r="E18" s="71">
        <v>310407597060</v>
      </c>
      <c r="F18" s="71">
        <v>245245989500</v>
      </c>
      <c r="G18" s="71">
        <v>239309324590</v>
      </c>
      <c r="H18" s="71">
        <v>129489091350</v>
      </c>
      <c r="I18" s="71">
        <v>254402488230</v>
      </c>
      <c r="J18" s="71">
        <v>2370198817803</v>
      </c>
      <c r="K18" s="71">
        <v>2501132856219</v>
      </c>
      <c r="L18" s="71">
        <v>2697100062756</v>
      </c>
      <c r="M18" s="71">
        <v>1383431547987</v>
      </c>
      <c r="N18" s="71">
        <v>3435475875401</v>
      </c>
      <c r="O18" s="72">
        <f t="shared" si="1"/>
        <v>0.13096268326879221</v>
      </c>
      <c r="P18" s="72">
        <f t="shared" si="0"/>
        <v>9.8053963383113535E-2</v>
      </c>
      <c r="Q18" s="72">
        <f t="shared" si="0"/>
        <v>8.8728381973883677E-2</v>
      </c>
      <c r="R18" s="72">
        <f t="shared" si="0"/>
        <v>9.3599926601657057E-2</v>
      </c>
      <c r="S18" s="72">
        <f t="shared" si="0"/>
        <v>7.405160084272322E-2</v>
      </c>
    </row>
    <row r="19" spans="1:19" x14ac:dyDescent="0.25">
      <c r="A19" s="5">
        <v>15</v>
      </c>
      <c r="B19" s="36" t="s">
        <v>135</v>
      </c>
      <c r="C19" s="5" t="s">
        <v>136</v>
      </c>
      <c r="D19" s="6">
        <v>43082</v>
      </c>
      <c r="E19" s="71">
        <v>209492929000</v>
      </c>
      <c r="F19" s="71">
        <v>393876050000</v>
      </c>
      <c r="G19" s="71">
        <v>493503855000</v>
      </c>
      <c r="H19" s="71">
        <v>241514090000</v>
      </c>
      <c r="I19" s="71">
        <v>303029852000</v>
      </c>
      <c r="J19" s="71">
        <v>2295734967000</v>
      </c>
      <c r="K19" s="71">
        <v>2338919728000</v>
      </c>
      <c r="L19" s="71">
        <v>2421301079000</v>
      </c>
      <c r="M19" s="71">
        <v>2795959663000</v>
      </c>
      <c r="N19" s="71">
        <v>3040363137000</v>
      </c>
      <c r="O19" s="72">
        <f t="shared" si="1"/>
        <v>9.1253098467964394E-2</v>
      </c>
      <c r="P19" s="72">
        <f t="shared" si="0"/>
        <v>0.16840084133062647</v>
      </c>
      <c r="Q19" s="72">
        <f t="shared" si="0"/>
        <v>0.20381763312302228</v>
      </c>
      <c r="R19" s="72">
        <f t="shared" si="0"/>
        <v>8.6379676071886166E-2</v>
      </c>
      <c r="S19" s="72">
        <f t="shared" si="0"/>
        <v>9.9668966615286264E-2</v>
      </c>
    </row>
    <row r="20" spans="1:19" x14ac:dyDescent="0.25">
      <c r="A20" s="5">
        <v>16</v>
      </c>
      <c r="B20" s="36" t="s">
        <v>147</v>
      </c>
      <c r="C20" s="5" t="s">
        <v>148</v>
      </c>
      <c r="D20" s="6">
        <v>33315</v>
      </c>
      <c r="E20" s="71">
        <v>2803131000000</v>
      </c>
      <c r="F20" s="71">
        <v>1961373000000</v>
      </c>
      <c r="G20" s="71">
        <v>2877522000000</v>
      </c>
      <c r="H20" s="71">
        <v>2020764000000</v>
      </c>
      <c r="I20" s="71">
        <v>2397093000000</v>
      </c>
      <c r="J20" s="71">
        <v>27645118000000</v>
      </c>
      <c r="K20" s="71">
        <v>29109408000000</v>
      </c>
      <c r="L20" s="71">
        <v>31159291000000</v>
      </c>
      <c r="M20" s="71">
        <v>35446051000000</v>
      </c>
      <c r="N20" s="71">
        <v>39847545000000</v>
      </c>
      <c r="O20" s="72">
        <f t="shared" si="1"/>
        <v>0.10139696274763595</v>
      </c>
      <c r="P20" s="72">
        <f t="shared" si="0"/>
        <v>6.7379350346114905E-2</v>
      </c>
      <c r="Q20" s="72">
        <f t="shared" si="0"/>
        <v>9.2348763648056054E-2</v>
      </c>
      <c r="R20" s="72">
        <f t="shared" si="0"/>
        <v>5.700956645353808E-2</v>
      </c>
      <c r="S20" s="72">
        <f t="shared" si="0"/>
        <v>6.0156604378011243E-2</v>
      </c>
    </row>
    <row r="21" spans="1:19" x14ac:dyDescent="0.25">
      <c r="A21" s="5">
        <v>17</v>
      </c>
      <c r="B21" s="5" t="s">
        <v>168</v>
      </c>
      <c r="C21" s="5" t="s">
        <v>169</v>
      </c>
      <c r="D21" s="6">
        <v>40736</v>
      </c>
      <c r="E21" s="71">
        <v>23319959820</v>
      </c>
      <c r="F21" s="71">
        <v>18838991530</v>
      </c>
      <c r="G21" s="71">
        <v>25095517220</v>
      </c>
      <c r="H21" s="71">
        <v>96169853080</v>
      </c>
      <c r="I21" s="71">
        <v>55462034810</v>
      </c>
      <c r="J21" s="71">
        <v>526129315163</v>
      </c>
      <c r="K21" s="71">
        <v>925114449507</v>
      </c>
      <c r="L21" s="71">
        <v>953551967212</v>
      </c>
      <c r="M21" s="71">
        <v>1210809442028</v>
      </c>
      <c r="N21" s="71">
        <v>1568806950187</v>
      </c>
      <c r="O21" s="72">
        <f t="shared" si="1"/>
        <v>4.4323627572007175E-2</v>
      </c>
      <c r="P21" s="72">
        <f t="shared" si="1"/>
        <v>2.0363957713599036E-2</v>
      </c>
      <c r="Q21" s="72">
        <f t="shared" si="1"/>
        <v>2.6317933456080425E-2</v>
      </c>
      <c r="R21" s="72">
        <f t="shared" si="1"/>
        <v>7.9426084519892665E-2</v>
      </c>
      <c r="S21" s="72">
        <f t="shared" si="1"/>
        <v>3.5353001721077915E-2</v>
      </c>
    </row>
    <row r="22" spans="1:19" x14ac:dyDescent="0.25">
      <c r="A22" s="5">
        <v>18</v>
      </c>
      <c r="B22" s="5" t="s">
        <v>170</v>
      </c>
      <c r="C22" s="5" t="s">
        <v>171</v>
      </c>
      <c r="D22" s="6">
        <v>34669</v>
      </c>
      <c r="E22" s="71">
        <v>355227070733</v>
      </c>
      <c r="F22" s="71">
        <v>101255876051</v>
      </c>
      <c r="G22" s="71">
        <v>102305191504</v>
      </c>
      <c r="H22" s="71">
        <v>145027000000</v>
      </c>
      <c r="I22" s="71">
        <v>84477000000</v>
      </c>
      <c r="J22" s="71">
        <v>10965118708784</v>
      </c>
      <c r="K22" s="71">
        <v>10751992944302</v>
      </c>
      <c r="L22" s="71">
        <v>11513044288721</v>
      </c>
      <c r="M22" s="71">
        <v>13302224000000</v>
      </c>
      <c r="N22" s="71">
        <v>12877846000000</v>
      </c>
      <c r="O22" s="72">
        <f t="shared" si="1"/>
        <v>3.2396098954079966E-2</v>
      </c>
      <c r="P22" s="72">
        <f t="shared" si="1"/>
        <v>9.4174053661986792E-3</v>
      </c>
      <c r="Q22" s="72">
        <f t="shared" si="1"/>
        <v>8.8860243162814431E-3</v>
      </c>
      <c r="R22" s="72">
        <f t="shared" si="1"/>
        <v>1.0902462625798514E-2</v>
      </c>
      <c r="S22" s="72">
        <f t="shared" si="1"/>
        <v>6.5598703385643838E-3</v>
      </c>
    </row>
    <row r="23" spans="1:19" x14ac:dyDescent="0.25">
      <c r="A23" s="5">
        <v>19</v>
      </c>
      <c r="B23" s="5" t="s">
        <v>172</v>
      </c>
      <c r="C23" s="5" t="s">
        <v>173</v>
      </c>
      <c r="D23" s="6">
        <v>33070</v>
      </c>
      <c r="E23" s="71">
        <v>756256000</v>
      </c>
      <c r="F23" s="71">
        <v>773765000</v>
      </c>
      <c r="G23" s="71">
        <v>870791000</v>
      </c>
      <c r="H23" s="71">
        <v>1059457000</v>
      </c>
      <c r="I23" s="71">
        <v>2253811000</v>
      </c>
      <c r="J23" s="71">
        <v>8751013000</v>
      </c>
      <c r="K23" s="71">
        <v>8502050000</v>
      </c>
      <c r="L23" s="71">
        <v>8496277000</v>
      </c>
      <c r="M23" s="71">
        <v>13302224000</v>
      </c>
      <c r="N23" s="71">
        <v>9640721000</v>
      </c>
      <c r="O23" s="72">
        <f t="shared" si="1"/>
        <v>8.6419252262566637E-2</v>
      </c>
      <c r="P23" s="72">
        <f t="shared" si="1"/>
        <v>9.1009227186384462E-2</v>
      </c>
      <c r="Q23" s="72">
        <f t="shared" si="1"/>
        <v>0.1024908910102625</v>
      </c>
      <c r="R23" s="72">
        <f t="shared" si="1"/>
        <v>7.9645102954212774E-2</v>
      </c>
      <c r="S23" s="72">
        <f t="shared" si="1"/>
        <v>0.23378033655366648</v>
      </c>
    </row>
    <row r="24" spans="1:19" x14ac:dyDescent="0.25">
      <c r="A24" s="5">
        <v>20</v>
      </c>
      <c r="B24" s="5" t="s">
        <v>184</v>
      </c>
      <c r="C24" s="5" t="s">
        <v>185</v>
      </c>
      <c r="D24" s="6">
        <v>32966</v>
      </c>
      <c r="E24" s="71">
        <v>153293000</v>
      </c>
      <c r="F24" s="71">
        <v>182364000</v>
      </c>
      <c r="G24" s="71">
        <v>161037000</v>
      </c>
      <c r="H24" s="71">
        <v>205428000</v>
      </c>
      <c r="I24" s="71">
        <v>391073000</v>
      </c>
      <c r="J24" s="71">
        <v>2965136000</v>
      </c>
      <c r="K24" s="71">
        <v>3062331000</v>
      </c>
      <c r="L24" s="71">
        <v>3073164000</v>
      </c>
      <c r="M24" s="71">
        <v>3161834000</v>
      </c>
      <c r="N24" s="71">
        <v>3545180000</v>
      </c>
      <c r="O24" s="72">
        <f t="shared" si="1"/>
        <v>5.1698471840751992E-2</v>
      </c>
      <c r="P24" s="72">
        <f t="shared" si="1"/>
        <v>5.955071479862889E-2</v>
      </c>
      <c r="Q24" s="72">
        <f t="shared" si="1"/>
        <v>5.2401043354666395E-2</v>
      </c>
      <c r="R24" s="72">
        <f t="shared" si="1"/>
        <v>6.4971152818269401E-2</v>
      </c>
      <c r="S24" s="72">
        <f t="shared" si="1"/>
        <v>0.11031118307109936</v>
      </c>
    </row>
    <row r="25" spans="1:19" x14ac:dyDescent="0.25">
      <c r="A25" s="5">
        <v>21</v>
      </c>
      <c r="B25" s="5" t="s">
        <v>208</v>
      </c>
      <c r="C25" s="5" t="s">
        <v>209</v>
      </c>
      <c r="D25" s="6">
        <v>32967</v>
      </c>
      <c r="E25" s="71">
        <v>25784000000000</v>
      </c>
      <c r="F25" s="71">
        <v>24730000000000</v>
      </c>
      <c r="G25" s="71">
        <v>48405000000000</v>
      </c>
      <c r="H25" s="71">
        <v>64598000000000</v>
      </c>
      <c r="I25" s="71">
        <v>61581000000000</v>
      </c>
      <c r="J25" s="71">
        <v>344711000000000</v>
      </c>
      <c r="K25" s="71">
        <v>351958000000000</v>
      </c>
      <c r="L25" s="71">
        <v>338203000000000</v>
      </c>
      <c r="M25" s="71">
        <v>367311000000000</v>
      </c>
      <c r="N25" s="71">
        <v>413297000000000</v>
      </c>
      <c r="O25" s="72">
        <f t="shared" si="1"/>
        <v>7.4798889504541485E-2</v>
      </c>
      <c r="P25" s="72">
        <f t="shared" si="1"/>
        <v>7.0264065598736214E-2</v>
      </c>
      <c r="Q25" s="72">
        <f t="shared" si="1"/>
        <v>0.1431241000227674</v>
      </c>
      <c r="R25" s="72">
        <f t="shared" si="1"/>
        <v>0.17586731679693773</v>
      </c>
      <c r="S25" s="72">
        <f t="shared" si="1"/>
        <v>0.1489993878494158</v>
      </c>
    </row>
    <row r="26" spans="1:19" x14ac:dyDescent="0.25">
      <c r="A26" s="5">
        <v>22</v>
      </c>
      <c r="B26" s="5" t="s">
        <v>210</v>
      </c>
      <c r="C26" s="5" t="s">
        <v>211</v>
      </c>
      <c r="D26" s="6">
        <v>35961</v>
      </c>
      <c r="E26" s="71">
        <v>889615000000</v>
      </c>
      <c r="F26" s="71">
        <v>788153000000</v>
      </c>
      <c r="G26" s="71">
        <v>1503144000000</v>
      </c>
      <c r="H26" s="71">
        <v>1837380000000</v>
      </c>
      <c r="I26" s="71">
        <v>2073909000000</v>
      </c>
      <c r="J26" s="71">
        <v>15889648000000</v>
      </c>
      <c r="K26" s="71">
        <v>16015709000000</v>
      </c>
      <c r="L26" s="71">
        <v>15180094000000</v>
      </c>
      <c r="M26" s="71">
        <v>16947148000000</v>
      </c>
      <c r="N26" s="71">
        <v>18521261000000</v>
      </c>
      <c r="O26" s="72">
        <f t="shared" si="1"/>
        <v>5.598708039347379E-2</v>
      </c>
      <c r="P26" s="72">
        <f t="shared" si="1"/>
        <v>4.9211246283258521E-2</v>
      </c>
      <c r="Q26" s="72">
        <f t="shared" si="1"/>
        <v>9.9020730701667586E-2</v>
      </c>
      <c r="R26" s="72">
        <f t="shared" si="1"/>
        <v>0.10841824240869319</v>
      </c>
      <c r="S26" s="72">
        <f t="shared" si="1"/>
        <v>0.111974503247916</v>
      </c>
    </row>
    <row r="27" spans="1:19" x14ac:dyDescent="0.25">
      <c r="A27" s="5">
        <v>23</v>
      </c>
      <c r="B27" s="5" t="s">
        <v>214</v>
      </c>
      <c r="C27" s="5" t="s">
        <v>215</v>
      </c>
      <c r="D27" s="6">
        <v>33121</v>
      </c>
      <c r="E27" s="71">
        <v>5761270</v>
      </c>
      <c r="F27" s="71">
        <v>14238670</v>
      </c>
      <c r="G27" s="71">
        <v>11504720</v>
      </c>
      <c r="H27" s="71">
        <v>1772790</v>
      </c>
      <c r="I27" s="71">
        <v>13209580</v>
      </c>
      <c r="J27" s="71">
        <v>296400018</v>
      </c>
      <c r="K27" s="71">
        <v>279484828</v>
      </c>
      <c r="L27" s="71">
        <v>263740526</v>
      </c>
      <c r="M27" s="71">
        <v>289992314</v>
      </c>
      <c r="N27" s="71">
        <v>290896966</v>
      </c>
      <c r="O27" s="72">
        <f t="shared" si="1"/>
        <v>1.9437481950490301E-2</v>
      </c>
      <c r="P27" s="72">
        <f t="shared" si="1"/>
        <v>5.0946128639226172E-2</v>
      </c>
      <c r="Q27" s="72">
        <f t="shared" si="1"/>
        <v>4.3621358364925686E-2</v>
      </c>
      <c r="R27" s="72">
        <f t="shared" si="1"/>
        <v>6.1132309872185099E-3</v>
      </c>
      <c r="S27" s="72">
        <f t="shared" si="1"/>
        <v>4.5409823903079141E-2</v>
      </c>
    </row>
    <row r="28" spans="1:19" x14ac:dyDescent="0.25">
      <c r="A28" s="5">
        <v>24</v>
      </c>
      <c r="B28" s="5" t="s">
        <v>222</v>
      </c>
      <c r="C28" s="5" t="s">
        <v>223</v>
      </c>
      <c r="D28" s="6">
        <v>34227</v>
      </c>
      <c r="E28" s="71">
        <v>1586188828480</v>
      </c>
      <c r="F28" s="71">
        <v>2378548285890</v>
      </c>
      <c r="G28" s="71">
        <v>3899185418440</v>
      </c>
      <c r="H28" s="71">
        <v>3652420000000</v>
      </c>
      <c r="I28" s="71">
        <v>4553034000000</v>
      </c>
      <c r="J28" s="71">
        <v>40955996273862</v>
      </c>
      <c r="K28" s="71">
        <v>44697971458665</v>
      </c>
      <c r="L28" s="71">
        <v>48408700495082</v>
      </c>
      <c r="M28" s="71">
        <v>51023608000000</v>
      </c>
      <c r="N28" s="71">
        <v>57445068000000</v>
      </c>
      <c r="O28" s="72">
        <f t="shared" si="1"/>
        <v>3.8729098857065311E-2</v>
      </c>
      <c r="P28" s="72">
        <f t="shared" si="1"/>
        <v>5.3213785956474371E-2</v>
      </c>
      <c r="Q28" s="72">
        <f t="shared" si="1"/>
        <v>8.0547202849126906E-2</v>
      </c>
      <c r="R28" s="72">
        <f t="shared" si="1"/>
        <v>7.1582942546908876E-2</v>
      </c>
      <c r="S28" s="72">
        <f t="shared" si="1"/>
        <v>7.9258919146896992E-2</v>
      </c>
    </row>
    <row r="29" spans="1:19" x14ac:dyDescent="0.25">
      <c r="A29" s="5">
        <v>25</v>
      </c>
      <c r="B29" s="5" t="s">
        <v>224</v>
      </c>
      <c r="C29" s="5" t="s">
        <v>225</v>
      </c>
      <c r="D29" s="6">
        <v>33095</v>
      </c>
      <c r="E29" s="71">
        <v>247812341240</v>
      </c>
      <c r="F29" s="71">
        <v>133482995370</v>
      </c>
      <c r="G29" s="71">
        <v>317648457230</v>
      </c>
      <c r="H29" s="71">
        <v>75386297860</v>
      </c>
      <c r="I29" s="71">
        <v>102493991520</v>
      </c>
      <c r="J29" s="71">
        <v>2482337567967</v>
      </c>
      <c r="K29" s="71">
        <v>2834422741208</v>
      </c>
      <c r="L29" s="71">
        <v>2826260084696</v>
      </c>
      <c r="M29" s="71">
        <v>3538818568392</v>
      </c>
      <c r="N29" s="71">
        <v>3882465049707</v>
      </c>
      <c r="O29" s="72">
        <f t="shared" si="1"/>
        <v>9.9830234387885797E-2</v>
      </c>
      <c r="P29" s="72">
        <f t="shared" si="1"/>
        <v>4.7093538105438364E-2</v>
      </c>
      <c r="Q29" s="72">
        <f t="shared" si="1"/>
        <v>0.1123917996613419</v>
      </c>
      <c r="R29" s="72">
        <f t="shared" si="1"/>
        <v>2.1302673873516691E-2</v>
      </c>
      <c r="S29" s="72">
        <f t="shared" si="1"/>
        <v>2.6399205197670736E-2</v>
      </c>
    </row>
    <row r="30" spans="1:19" x14ac:dyDescent="0.25">
      <c r="A30" s="5">
        <v>26</v>
      </c>
      <c r="B30" s="5" t="s">
        <v>236</v>
      </c>
      <c r="C30" s="5" t="s">
        <v>237</v>
      </c>
      <c r="D30" s="6">
        <v>35317</v>
      </c>
      <c r="E30" s="71">
        <v>66860000000</v>
      </c>
      <c r="F30" s="71">
        <v>244032000000</v>
      </c>
      <c r="G30" s="71">
        <v>692815000000</v>
      </c>
      <c r="H30" s="71">
        <v>661401000000</v>
      </c>
      <c r="I30" s="71">
        <v>981578000000</v>
      </c>
      <c r="J30" s="71">
        <v>2801203000000</v>
      </c>
      <c r="K30" s="71">
        <v>3106981000000</v>
      </c>
      <c r="L30" s="71">
        <v>3375526000000</v>
      </c>
      <c r="M30" s="71">
        <v>3868862000000</v>
      </c>
      <c r="N30" s="71">
        <v>4379577000000</v>
      </c>
      <c r="O30" s="72">
        <f t="shared" si="1"/>
        <v>2.3868316576842165E-2</v>
      </c>
      <c r="P30" s="72">
        <f t="shared" si="1"/>
        <v>7.8543125947664313E-2</v>
      </c>
      <c r="Q30" s="72">
        <f t="shared" si="1"/>
        <v>0.20524653046665911</v>
      </c>
      <c r="R30" s="72">
        <f t="shared" si="1"/>
        <v>0.17095492162811701</v>
      </c>
      <c r="S30" s="72">
        <f t="shared" si="1"/>
        <v>0.22412621127565516</v>
      </c>
    </row>
    <row r="31" spans="1:19" x14ac:dyDescent="0.25">
      <c r="A31" s="5">
        <v>27</v>
      </c>
      <c r="B31" s="5" t="s">
        <v>242</v>
      </c>
      <c r="C31" s="5" t="s">
        <v>243</v>
      </c>
      <c r="D31" s="6">
        <v>43017</v>
      </c>
      <c r="E31" s="71">
        <v>45370598560</v>
      </c>
      <c r="F31" s="71">
        <v>19911778580</v>
      </c>
      <c r="G31" s="71">
        <v>53213460060</v>
      </c>
      <c r="H31" s="71">
        <v>36815216400</v>
      </c>
      <c r="I31" s="71">
        <v>19737202320</v>
      </c>
      <c r="J31" s="71">
        <v>514962171773</v>
      </c>
      <c r="K31" s="71">
        <v>590884444113</v>
      </c>
      <c r="L31" s="71">
        <v>554235931111</v>
      </c>
      <c r="M31" s="71">
        <v>524473606697</v>
      </c>
      <c r="N31" s="71">
        <v>525780962665</v>
      </c>
      <c r="O31" s="72">
        <f t="shared" si="1"/>
        <v>8.8104721175519221E-2</v>
      </c>
      <c r="P31" s="72">
        <f t="shared" si="1"/>
        <v>3.3698261611693564E-2</v>
      </c>
      <c r="Q31" s="72">
        <f t="shared" si="1"/>
        <v>9.6012288400952911E-2</v>
      </c>
      <c r="R31" s="72">
        <f t="shared" si="1"/>
        <v>7.0194602607084031E-2</v>
      </c>
      <c r="S31" s="72">
        <f t="shared" si="1"/>
        <v>3.7538830276316999E-2</v>
      </c>
    </row>
    <row r="32" spans="1:19" x14ac:dyDescent="0.25">
      <c r="A32" s="5">
        <v>28</v>
      </c>
      <c r="B32" s="5" t="s">
        <v>274</v>
      </c>
      <c r="C32" s="5" t="s">
        <v>275</v>
      </c>
      <c r="D32" s="6">
        <v>41088</v>
      </c>
      <c r="E32" s="71">
        <v>94720775320</v>
      </c>
      <c r="F32" s="71">
        <v>83507005470</v>
      </c>
      <c r="G32" s="71">
        <v>106826878360</v>
      </c>
      <c r="H32" s="71">
        <v>92012064450</v>
      </c>
      <c r="I32" s="71">
        <v>102658753220</v>
      </c>
      <c r="J32" s="71">
        <v>633014281325</v>
      </c>
      <c r="K32" s="71">
        <v>1147246311331</v>
      </c>
      <c r="L32" s="71">
        <v>1068940700530</v>
      </c>
      <c r="M32" s="71">
        <v>1060742742644</v>
      </c>
      <c r="N32" s="71">
        <v>1177807599498</v>
      </c>
      <c r="O32" s="72">
        <f t="shared" si="1"/>
        <v>0.14963449974893819</v>
      </c>
      <c r="P32" s="72">
        <f t="shared" si="1"/>
        <v>7.2789081686493048E-2</v>
      </c>
      <c r="Q32" s="72">
        <f t="shared" si="1"/>
        <v>9.9937141795642462E-2</v>
      </c>
      <c r="R32" s="72">
        <f t="shared" si="1"/>
        <v>8.6743053476520962E-2</v>
      </c>
      <c r="S32" s="72">
        <f t="shared" si="1"/>
        <v>8.7160885414353559E-2</v>
      </c>
    </row>
    <row r="33" spans="1:19" x14ac:dyDescent="0.25">
      <c r="A33" s="5">
        <v>29</v>
      </c>
      <c r="B33" s="5" t="s">
        <v>296</v>
      </c>
      <c r="C33" s="5" t="s">
        <v>297</v>
      </c>
      <c r="D33" s="6">
        <v>30152</v>
      </c>
      <c r="E33" s="71">
        <v>387321809620</v>
      </c>
      <c r="F33" s="71">
        <v>570342260770</v>
      </c>
      <c r="G33" s="71">
        <v>1026016335330</v>
      </c>
      <c r="H33" s="71">
        <v>950133212470</v>
      </c>
      <c r="I33" s="71">
        <v>557076332160</v>
      </c>
      <c r="J33" s="71">
        <v>4165196478857</v>
      </c>
      <c r="K33" s="71">
        <v>4400655628146</v>
      </c>
      <c r="L33" s="71">
        <v>3743659818718</v>
      </c>
      <c r="M33" s="71">
        <v>4698864127234</v>
      </c>
      <c r="N33" s="71">
        <v>5128133329237</v>
      </c>
      <c r="O33" s="72">
        <f t="shared" si="1"/>
        <v>9.2990045388276044E-2</v>
      </c>
      <c r="P33" s="72">
        <f t="shared" si="1"/>
        <v>0.12960392926957698</v>
      </c>
      <c r="Q33" s="72">
        <f t="shared" si="1"/>
        <v>0.27406772650655925</v>
      </c>
      <c r="R33" s="72">
        <f t="shared" si="1"/>
        <v>0.20220487052671998</v>
      </c>
      <c r="S33" s="72">
        <f t="shared" si="1"/>
        <v>0.10863140569765291</v>
      </c>
    </row>
    <row r="34" spans="1:19" x14ac:dyDescent="0.25">
      <c r="A34" s="5">
        <v>30</v>
      </c>
      <c r="B34" s="5" t="s">
        <v>316</v>
      </c>
      <c r="C34" s="50" t="s">
        <v>317</v>
      </c>
      <c r="D34" s="6">
        <v>34827</v>
      </c>
      <c r="E34" s="71">
        <v>53134000000</v>
      </c>
      <c r="F34" s="71">
        <v>24208000000</v>
      </c>
      <c r="G34" s="71">
        <v>64022000000</v>
      </c>
      <c r="H34" s="71">
        <v>60029000000</v>
      </c>
      <c r="I34" s="71">
        <v>65385000000</v>
      </c>
      <c r="J34" s="71">
        <v>3392980000000</v>
      </c>
      <c r="K34" s="71">
        <v>2999767000000</v>
      </c>
      <c r="L34" s="71">
        <v>2963007000000</v>
      </c>
      <c r="M34" s="71">
        <v>2993218000000</v>
      </c>
      <c r="N34" s="71">
        <v>3173651000000</v>
      </c>
      <c r="O34" s="72">
        <f t="shared" si="1"/>
        <v>1.5659980312291849E-2</v>
      </c>
      <c r="P34" s="72">
        <f t="shared" si="1"/>
        <v>8.069960100234452E-3</v>
      </c>
      <c r="Q34" s="72">
        <f t="shared" si="1"/>
        <v>2.1607103864418817E-2</v>
      </c>
      <c r="R34" s="72">
        <f t="shared" si="1"/>
        <v>2.0055004346492638E-2</v>
      </c>
      <c r="S34" s="72">
        <f t="shared" si="1"/>
        <v>2.0602454397159613E-2</v>
      </c>
    </row>
    <row r="35" spans="1:19" x14ac:dyDescent="0.25">
      <c r="A35" s="5">
        <v>31</v>
      </c>
      <c r="B35" s="5" t="s">
        <v>320</v>
      </c>
      <c r="C35" s="5" t="s">
        <v>321</v>
      </c>
      <c r="D35" s="6">
        <v>35255</v>
      </c>
      <c r="E35" s="71">
        <v>1010163064</v>
      </c>
      <c r="F35" s="71">
        <v>366378768108</v>
      </c>
      <c r="G35" s="71">
        <v>441806177838</v>
      </c>
      <c r="H35" s="71">
        <v>234899763801</v>
      </c>
      <c r="I35" s="71">
        <v>118054324561</v>
      </c>
      <c r="J35" s="71">
        <v>1168956042706</v>
      </c>
      <c r="K35" s="71">
        <v>1393079542074</v>
      </c>
      <c r="L35" s="71">
        <v>1566673828068</v>
      </c>
      <c r="M35" s="71">
        <v>1697387196209</v>
      </c>
      <c r="N35" s="71">
        <v>1718287453575</v>
      </c>
      <c r="O35" s="72">
        <f t="shared" si="1"/>
        <v>8.641582977419644E-4</v>
      </c>
      <c r="P35" s="72">
        <f t="shared" si="1"/>
        <v>0.26299917344456852</v>
      </c>
      <c r="Q35" s="72">
        <f t="shared" si="1"/>
        <v>0.28200265423647825</v>
      </c>
      <c r="R35" s="72">
        <f t="shared" si="1"/>
        <v>0.1383890277513774</v>
      </c>
      <c r="S35" s="72">
        <f t="shared" si="1"/>
        <v>6.8704642122236828E-2</v>
      </c>
    </row>
    <row r="36" spans="1:19" x14ac:dyDescent="0.25">
      <c r="A36" s="5">
        <v>32</v>
      </c>
      <c r="B36" s="5" t="s">
        <v>330</v>
      </c>
      <c r="C36" s="5" t="s">
        <v>331</v>
      </c>
      <c r="D36" s="6">
        <v>30724</v>
      </c>
      <c r="E36" s="71">
        <v>963342137000</v>
      </c>
      <c r="F36" s="71">
        <v>844219288000</v>
      </c>
      <c r="G36" s="71">
        <v>697228431000</v>
      </c>
      <c r="H36" s="71">
        <v>812799484000</v>
      </c>
      <c r="I36" s="71">
        <v>748590604000</v>
      </c>
      <c r="J36" s="71">
        <v>1523517170000</v>
      </c>
      <c r="K36" s="71">
        <v>1425983722000</v>
      </c>
      <c r="L36" s="71">
        <v>1225580913000</v>
      </c>
      <c r="M36" s="71">
        <v>1308722065000</v>
      </c>
      <c r="N36" s="71">
        <v>1307186367000</v>
      </c>
      <c r="O36" s="72">
        <f t="shared" si="1"/>
        <v>0.63231459150539149</v>
      </c>
      <c r="P36" s="72">
        <f t="shared" si="1"/>
        <v>0.59202589410764672</v>
      </c>
      <c r="Q36" s="72">
        <f t="shared" si="1"/>
        <v>0.56889628714379303</v>
      </c>
      <c r="R36" s="72">
        <f t="shared" si="1"/>
        <v>0.62106348302456416</v>
      </c>
      <c r="S36" s="72">
        <f t="shared" si="1"/>
        <v>0.57267320322351556</v>
      </c>
    </row>
    <row r="37" spans="1:19" x14ac:dyDescent="0.25">
      <c r="A37" s="5">
        <v>33</v>
      </c>
      <c r="B37" s="5" t="s">
        <v>338</v>
      </c>
      <c r="C37" s="5" t="s">
        <v>339</v>
      </c>
      <c r="D37" s="6">
        <v>43383</v>
      </c>
      <c r="E37" s="71">
        <v>217697179498</v>
      </c>
      <c r="F37" s="71">
        <v>485136396267</v>
      </c>
      <c r="G37" s="71">
        <v>859338834174</v>
      </c>
      <c r="H37" s="71">
        <v>904325920495</v>
      </c>
      <c r="I37" s="71">
        <v>1073175070556</v>
      </c>
      <c r="J37" s="71">
        <v>4212408305683</v>
      </c>
      <c r="K37" s="71">
        <v>5063067672414</v>
      </c>
      <c r="L37" s="71">
        <v>6570969641033</v>
      </c>
      <c r="M37" s="71">
        <v>6766602280143</v>
      </c>
      <c r="N37" s="71">
        <v>7327371934290</v>
      </c>
      <c r="O37" s="72">
        <f t="shared" si="1"/>
        <v>5.167998059549514E-2</v>
      </c>
      <c r="P37" s="72">
        <f t="shared" si="1"/>
        <v>9.5818667190694234E-2</v>
      </c>
      <c r="Q37" s="72">
        <f t="shared" si="1"/>
        <v>0.13077808620630094</v>
      </c>
      <c r="R37" s="72">
        <f t="shared" si="1"/>
        <v>0.13364549637397763</v>
      </c>
      <c r="S37" s="72">
        <f t="shared" si="1"/>
        <v>0.14646111596080558</v>
      </c>
    </row>
    <row r="38" spans="1:19" x14ac:dyDescent="0.25">
      <c r="A38" s="5">
        <v>34</v>
      </c>
      <c r="B38" s="5" t="s">
        <v>340</v>
      </c>
      <c r="C38" s="5" t="s">
        <v>341</v>
      </c>
      <c r="D38" s="6">
        <v>42908</v>
      </c>
      <c r="E38" s="71">
        <v>42927581553</v>
      </c>
      <c r="F38" s="71">
        <v>33251824546</v>
      </c>
      <c r="G38" s="71">
        <v>4787116907</v>
      </c>
      <c r="H38" s="71">
        <v>4842160614</v>
      </c>
      <c r="I38" s="71">
        <v>3947093730</v>
      </c>
      <c r="J38" s="71">
        <v>758846556031</v>
      </c>
      <c r="K38" s="71">
        <v>848676035300</v>
      </c>
      <c r="L38" s="71">
        <v>906924214166</v>
      </c>
      <c r="M38" s="71">
        <v>987563580363</v>
      </c>
      <c r="N38" s="71">
        <v>811603660216</v>
      </c>
      <c r="O38" s="72">
        <f t="shared" si="1"/>
        <v>5.6569514893135185E-2</v>
      </c>
      <c r="P38" s="72">
        <f t="shared" si="1"/>
        <v>3.9180821848287202E-2</v>
      </c>
      <c r="Q38" s="72">
        <f t="shared" si="1"/>
        <v>5.2784089698191521E-3</v>
      </c>
      <c r="R38" s="72">
        <f t="shared" si="1"/>
        <v>4.9031380969113509E-3</v>
      </c>
      <c r="S38" s="72">
        <f t="shared" si="1"/>
        <v>4.8633266746844405E-3</v>
      </c>
    </row>
    <row r="39" spans="1:19" x14ac:dyDescent="0.25">
      <c r="A39" s="5">
        <v>35</v>
      </c>
      <c r="B39" s="5" t="s">
        <v>344</v>
      </c>
      <c r="C39" s="5" t="s">
        <v>345</v>
      </c>
      <c r="D39" s="6">
        <v>40458</v>
      </c>
      <c r="E39" s="71">
        <v>4726822000000</v>
      </c>
      <c r="F39" s="71">
        <v>8359164000000</v>
      </c>
      <c r="G39" s="71">
        <v>9535418000000</v>
      </c>
      <c r="H39" s="71">
        <v>20377977000000</v>
      </c>
      <c r="I39" s="71">
        <v>15741068000000</v>
      </c>
      <c r="J39" s="71">
        <v>34367153000000</v>
      </c>
      <c r="K39" s="71">
        <v>38709314000000</v>
      </c>
      <c r="L39" s="71">
        <v>103588325000000</v>
      </c>
      <c r="M39" s="71">
        <v>118015311000000</v>
      </c>
      <c r="N39" s="71">
        <v>115305536000000</v>
      </c>
      <c r="O39" s="72">
        <f t="shared" si="1"/>
        <v>0.1375389459813561</v>
      </c>
      <c r="P39" s="72">
        <f t="shared" si="1"/>
        <v>0.21594709738333259</v>
      </c>
      <c r="Q39" s="72">
        <f t="shared" si="1"/>
        <v>9.2051087803572462E-2</v>
      </c>
      <c r="R39" s="72">
        <f t="shared" si="1"/>
        <v>0.17267231537440086</v>
      </c>
      <c r="S39" s="72">
        <f t="shared" si="1"/>
        <v>0.13651615131471223</v>
      </c>
    </row>
    <row r="40" spans="1:19" x14ac:dyDescent="0.25">
      <c r="A40" s="5">
        <v>36</v>
      </c>
      <c r="B40" s="5" t="s">
        <v>350</v>
      </c>
      <c r="C40" s="5" t="s">
        <v>351</v>
      </c>
      <c r="D40" s="6">
        <v>34529</v>
      </c>
      <c r="E40" s="71">
        <v>8809253000000</v>
      </c>
      <c r="F40" s="71">
        <v>13745118000000</v>
      </c>
      <c r="G40" s="71">
        <v>17336960000000</v>
      </c>
      <c r="H40" s="71">
        <v>29478126000000</v>
      </c>
      <c r="I40" s="71">
        <v>25945916000000</v>
      </c>
      <c r="J40" s="71">
        <v>96537796000000</v>
      </c>
      <c r="K40" s="71">
        <v>96198559000000</v>
      </c>
      <c r="L40" s="71">
        <v>163136516000000</v>
      </c>
      <c r="M40" s="71">
        <v>179271840000000</v>
      </c>
      <c r="N40" s="71">
        <v>180433300000000</v>
      </c>
      <c r="O40" s="72">
        <f t="shared" si="1"/>
        <v>9.1251855387293079E-2</v>
      </c>
      <c r="P40" s="72">
        <f t="shared" si="1"/>
        <v>0.14288278476187985</v>
      </c>
      <c r="Q40" s="72">
        <f t="shared" si="1"/>
        <v>0.10627271211308693</v>
      </c>
      <c r="R40" s="72">
        <f t="shared" si="1"/>
        <v>0.16443255114690628</v>
      </c>
      <c r="S40" s="72">
        <f t="shared" si="1"/>
        <v>0.14379782445923231</v>
      </c>
    </row>
    <row r="41" spans="1:19" x14ac:dyDescent="0.25">
      <c r="A41" s="5">
        <v>37</v>
      </c>
      <c r="B41" s="5" t="s">
        <v>360</v>
      </c>
      <c r="C41" s="5" t="s">
        <v>361</v>
      </c>
      <c r="D41" s="6">
        <v>33058</v>
      </c>
      <c r="E41" s="71">
        <v>2495655019108</v>
      </c>
      <c r="F41" s="71">
        <v>2982004859009</v>
      </c>
      <c r="G41" s="71">
        <v>3777791432101</v>
      </c>
      <c r="H41" s="71">
        <v>3009380167931</v>
      </c>
      <c r="I41" s="71">
        <v>3262074784511</v>
      </c>
      <c r="J41" s="71">
        <v>17591706426634</v>
      </c>
      <c r="K41" s="71">
        <v>19037918806473</v>
      </c>
      <c r="L41" s="71">
        <v>19777500514550</v>
      </c>
      <c r="M41" s="71">
        <v>19917653265528</v>
      </c>
      <c r="N41" s="71">
        <v>22276160695411</v>
      </c>
      <c r="O41" s="72">
        <f t="shared" si="1"/>
        <v>0.14186543127672685</v>
      </c>
      <c r="P41" s="72">
        <f t="shared" si="1"/>
        <v>0.15663502346669855</v>
      </c>
      <c r="Q41" s="72">
        <f t="shared" si="1"/>
        <v>0.19101460416202429</v>
      </c>
      <c r="R41" s="72">
        <f t="shared" si="1"/>
        <v>0.15109110133669273</v>
      </c>
      <c r="S41" s="72">
        <f t="shared" si="1"/>
        <v>0.1464379265850333</v>
      </c>
    </row>
    <row r="42" spans="1:19" x14ac:dyDescent="0.25">
      <c r="A42" s="5">
        <v>38</v>
      </c>
      <c r="B42" s="5" t="s">
        <v>374</v>
      </c>
      <c r="C42" s="5" t="s">
        <v>375</v>
      </c>
      <c r="D42" s="6">
        <v>40357</v>
      </c>
      <c r="E42" s="71">
        <v>1294525260890</v>
      </c>
      <c r="F42" s="71">
        <v>1185910198515</v>
      </c>
      <c r="G42" s="71">
        <v>1010872461721</v>
      </c>
      <c r="H42" s="71">
        <v>758901794493</v>
      </c>
      <c r="I42" s="71">
        <v>627450783230</v>
      </c>
      <c r="J42" s="71">
        <v>4393810380883</v>
      </c>
      <c r="K42" s="71">
        <v>4682083844951</v>
      </c>
      <c r="L42" s="71">
        <v>4452166671985</v>
      </c>
      <c r="M42" s="71">
        <v>4191284422677</v>
      </c>
      <c r="N42" s="71">
        <v>4130321616083</v>
      </c>
      <c r="O42" s="72">
        <f t="shared" si="1"/>
        <v>0.2946247445093082</v>
      </c>
      <c r="P42" s="72">
        <f t="shared" si="1"/>
        <v>0.25328683504757082</v>
      </c>
      <c r="Q42" s="72">
        <f t="shared" si="1"/>
        <v>0.2270518011110986</v>
      </c>
      <c r="R42" s="72">
        <f t="shared" si="1"/>
        <v>0.18106664162111064</v>
      </c>
      <c r="S42" s="72">
        <f t="shared" si="1"/>
        <v>0.15191329914522356</v>
      </c>
    </row>
    <row r="43" spans="1:19" x14ac:dyDescent="0.25">
      <c r="A43" s="5">
        <v>39</v>
      </c>
      <c r="B43" s="5" t="s">
        <v>378</v>
      </c>
      <c r="C43" s="5" t="s">
        <v>379</v>
      </c>
      <c r="D43" s="6">
        <v>34220</v>
      </c>
      <c r="E43" s="71">
        <v>20393369843</v>
      </c>
      <c r="F43" s="71">
        <v>22358640194</v>
      </c>
      <c r="G43" s="71">
        <v>71810853147</v>
      </c>
      <c r="H43" s="71">
        <v>127460249506</v>
      </c>
      <c r="I43" s="71">
        <v>96960982659</v>
      </c>
      <c r="J43" s="71">
        <v>747293725435</v>
      </c>
      <c r="K43" s="71">
        <v>790845543826</v>
      </c>
      <c r="L43" s="71">
        <v>773863042440</v>
      </c>
      <c r="M43" s="71">
        <v>889125250792</v>
      </c>
      <c r="N43" s="71">
        <v>1033289474829</v>
      </c>
      <c r="O43" s="72">
        <f t="shared" si="1"/>
        <v>2.7289630768850642E-2</v>
      </c>
      <c r="P43" s="72">
        <f t="shared" si="1"/>
        <v>2.8271816625319818E-2</v>
      </c>
      <c r="Q43" s="72">
        <f t="shared" si="1"/>
        <v>9.2795299954601104E-2</v>
      </c>
      <c r="R43" s="72">
        <f t="shared" si="1"/>
        <v>0.14335466166601737</v>
      </c>
      <c r="S43" s="72">
        <f t="shared" si="1"/>
        <v>9.3837191823758936E-2</v>
      </c>
    </row>
    <row r="44" spans="1:19" x14ac:dyDescent="0.25">
      <c r="A44" s="5">
        <v>40</v>
      </c>
      <c r="B44" s="5" t="s">
        <v>386</v>
      </c>
      <c r="C44" s="5" t="s">
        <v>387</v>
      </c>
      <c r="D44" s="6">
        <v>33056</v>
      </c>
      <c r="E44" s="71">
        <v>1444310000000</v>
      </c>
      <c r="F44" s="71">
        <v>2040591000000</v>
      </c>
      <c r="G44" s="71">
        <v>1649669000000</v>
      </c>
      <c r="H44" s="71">
        <v>1598901000000</v>
      </c>
      <c r="I44" s="71">
        <v>1248642000000</v>
      </c>
      <c r="J44" s="71">
        <v>5555871000000</v>
      </c>
      <c r="K44" s="71">
        <v>6608422000000</v>
      </c>
      <c r="L44" s="71">
        <v>8754116000000</v>
      </c>
      <c r="M44" s="71">
        <v>7406856000000</v>
      </c>
      <c r="N44" s="71">
        <v>7376375000000</v>
      </c>
      <c r="O44" s="72">
        <f t="shared" si="1"/>
        <v>0.25996103941218218</v>
      </c>
      <c r="P44" s="72">
        <f t="shared" si="1"/>
        <v>0.30878642435365056</v>
      </c>
      <c r="Q44" s="72">
        <f t="shared" si="1"/>
        <v>0.18844495549293613</v>
      </c>
      <c r="R44" s="72">
        <f t="shared" si="1"/>
        <v>0.21586770419190004</v>
      </c>
      <c r="S44" s="72">
        <f t="shared" si="1"/>
        <v>0.16927582993001306</v>
      </c>
    </row>
    <row r="45" spans="1:19" x14ac:dyDescent="0.25">
      <c r="A45" s="5">
        <v>41</v>
      </c>
      <c r="B45" s="5" t="s">
        <v>394</v>
      </c>
      <c r="C45" s="5" t="s">
        <v>395</v>
      </c>
      <c r="D45" s="6">
        <v>33100</v>
      </c>
      <c r="E45" s="71">
        <v>16790277000000</v>
      </c>
      <c r="F45" s="71">
        <v>19221850000000</v>
      </c>
      <c r="G45" s="71">
        <v>16513844000000</v>
      </c>
      <c r="H45" s="71">
        <v>17864854000000</v>
      </c>
      <c r="I45" s="71">
        <v>3283118000000</v>
      </c>
      <c r="J45" s="71">
        <v>46602420000000</v>
      </c>
      <c r="K45" s="71">
        <v>50902806000000</v>
      </c>
      <c r="L45" s="71">
        <v>49674030000000</v>
      </c>
      <c r="M45" s="71">
        <v>53090428000000</v>
      </c>
      <c r="N45" s="71">
        <v>54786992000000</v>
      </c>
      <c r="O45" s="72">
        <f t="shared" si="1"/>
        <v>0.36028766317285671</v>
      </c>
      <c r="P45" s="72">
        <f t="shared" si="1"/>
        <v>0.37761867194511833</v>
      </c>
      <c r="Q45" s="72">
        <f t="shared" si="1"/>
        <v>0.33244421682718311</v>
      </c>
      <c r="R45" s="72">
        <f t="shared" si="1"/>
        <v>0.33649858690157858</v>
      </c>
      <c r="S45" s="72">
        <f t="shared" si="1"/>
        <v>5.9925136974119698E-2</v>
      </c>
    </row>
    <row r="46" spans="1:19" x14ac:dyDescent="0.25">
      <c r="A46" s="5">
        <v>42</v>
      </c>
      <c r="B46" s="5" t="s">
        <v>400</v>
      </c>
      <c r="C46" s="5" t="s">
        <v>401</v>
      </c>
      <c r="D46" s="6">
        <v>34649</v>
      </c>
      <c r="E46" s="71">
        <v>306116733000</v>
      </c>
      <c r="F46" s="71">
        <v>339047459000</v>
      </c>
      <c r="G46" s="71">
        <v>265312464000</v>
      </c>
      <c r="H46" s="71">
        <v>583296075000</v>
      </c>
      <c r="I46" s="71">
        <v>357020515000</v>
      </c>
      <c r="J46" s="71">
        <v>1682821739000</v>
      </c>
      <c r="K46" s="71">
        <v>1829960714000</v>
      </c>
      <c r="L46" s="71">
        <v>1986711872000</v>
      </c>
      <c r="M46" s="71">
        <v>2082911322000</v>
      </c>
      <c r="N46" s="71">
        <v>2009139485000</v>
      </c>
      <c r="O46" s="72">
        <f t="shared" si="1"/>
        <v>0.18190680920363367</v>
      </c>
      <c r="P46" s="72">
        <f t="shared" si="1"/>
        <v>0.18527581297573145</v>
      </c>
      <c r="Q46" s="72">
        <f t="shared" si="1"/>
        <v>0.13354350358460032</v>
      </c>
      <c r="R46" s="72">
        <f t="shared" si="1"/>
        <v>0.28003884219128555</v>
      </c>
      <c r="S46" s="72">
        <f t="shared" si="1"/>
        <v>0.17769822238101105</v>
      </c>
    </row>
    <row r="47" spans="1:19" x14ac:dyDescent="0.25">
      <c r="A47" s="5">
        <v>43</v>
      </c>
      <c r="B47" s="5" t="s">
        <v>404</v>
      </c>
      <c r="C47" s="5" t="s">
        <v>405</v>
      </c>
      <c r="D47" s="6">
        <v>37076</v>
      </c>
      <c r="E47" s="71">
        <v>2068665044000</v>
      </c>
      <c r="F47" s="71">
        <v>1360268286000</v>
      </c>
      <c r="G47" s="71">
        <v>1249994068000</v>
      </c>
      <c r="H47" s="71">
        <v>748481112000</v>
      </c>
      <c r="I47" s="71">
        <v>2153023582000</v>
      </c>
      <c r="J47" s="71">
        <v>9460427317681</v>
      </c>
      <c r="K47" s="71">
        <v>18352877132000</v>
      </c>
      <c r="L47" s="71">
        <v>17562816674000</v>
      </c>
      <c r="M47" s="71">
        <v>17760195040000</v>
      </c>
      <c r="N47" s="71">
        <v>20353992893000</v>
      </c>
      <c r="O47" s="72">
        <f t="shared" si="1"/>
        <v>0.2186650744764756</v>
      </c>
      <c r="P47" s="72">
        <f t="shared" si="1"/>
        <v>7.4117440890411779E-2</v>
      </c>
      <c r="Q47" s="72">
        <f t="shared" si="1"/>
        <v>7.1172756124619332E-2</v>
      </c>
      <c r="R47" s="72">
        <f t="shared" si="1"/>
        <v>4.2143743934920208E-2</v>
      </c>
      <c r="S47" s="72">
        <f t="shared" si="1"/>
        <v>0.10577892963402048</v>
      </c>
    </row>
    <row r="48" spans="1:19" x14ac:dyDescent="0.25">
      <c r="A48" s="5">
        <v>44</v>
      </c>
      <c r="B48" s="5" t="s">
        <v>406</v>
      </c>
      <c r="C48" s="5" t="s">
        <v>407</v>
      </c>
      <c r="D48" s="6">
        <v>33449</v>
      </c>
      <c r="E48" s="71">
        <v>3332046773690</v>
      </c>
      <c r="F48" s="71">
        <v>3236105639130</v>
      </c>
      <c r="G48" s="71">
        <v>5396245768760</v>
      </c>
      <c r="H48" s="71">
        <v>6475171091730</v>
      </c>
      <c r="I48" s="71">
        <v>4095075692070</v>
      </c>
      <c r="J48" s="71">
        <v>18146206145369</v>
      </c>
      <c r="K48" s="71">
        <v>20264726862584</v>
      </c>
      <c r="L48" s="71">
        <v>22564300317374</v>
      </c>
      <c r="M48" s="71">
        <v>25666635156271</v>
      </c>
      <c r="N48" s="71">
        <v>27241313025674</v>
      </c>
      <c r="O48" s="72">
        <f t="shared" si="1"/>
        <v>0.18362222643107989</v>
      </c>
      <c r="P48" s="72">
        <f t="shared" si="1"/>
        <v>0.15969154980840225</v>
      </c>
      <c r="Q48" s="72">
        <f t="shared" si="1"/>
        <v>0.23914970519183407</v>
      </c>
      <c r="R48" s="72">
        <f t="shared" si="1"/>
        <v>0.25227970290246454</v>
      </c>
      <c r="S48" s="72">
        <f t="shared" si="1"/>
        <v>0.15032592915805976</v>
      </c>
    </row>
    <row r="49" spans="1:19" x14ac:dyDescent="0.25">
      <c r="A49" s="5">
        <v>45</v>
      </c>
      <c r="B49" s="5" t="s">
        <v>410</v>
      </c>
      <c r="C49" s="5" t="s">
        <v>411</v>
      </c>
      <c r="D49" s="6">
        <v>43460</v>
      </c>
      <c r="E49" s="71">
        <v>108749985000</v>
      </c>
      <c r="F49" s="71">
        <v>142743948000</v>
      </c>
      <c r="G49" s="71">
        <v>60193895000</v>
      </c>
      <c r="H49" s="71">
        <v>95286744000</v>
      </c>
      <c r="I49" s="71">
        <v>166277196000</v>
      </c>
      <c r="J49" s="71">
        <v>1868663546000</v>
      </c>
      <c r="K49" s="71">
        <v>2096719180000</v>
      </c>
      <c r="L49" s="71">
        <v>1915989375000</v>
      </c>
      <c r="M49" s="71">
        <v>1838539299000</v>
      </c>
      <c r="N49" s="71">
        <v>1806280965000</v>
      </c>
      <c r="O49" s="72">
        <f t="shared" si="1"/>
        <v>5.8196664259217053E-2</v>
      </c>
      <c r="P49" s="72">
        <f t="shared" si="1"/>
        <v>6.8079669114296942E-2</v>
      </c>
      <c r="Q49" s="72">
        <f t="shared" si="1"/>
        <v>3.1416612109344294E-2</v>
      </c>
      <c r="R49" s="72">
        <f t="shared" si="1"/>
        <v>5.1827417587335459E-2</v>
      </c>
      <c r="S49" s="72">
        <f t="shared" si="1"/>
        <v>9.2055000978211607E-2</v>
      </c>
    </row>
    <row r="50" spans="1:19" x14ac:dyDescent="0.25">
      <c r="A50" s="5">
        <v>46</v>
      </c>
      <c r="B50" s="5" t="s">
        <v>416</v>
      </c>
      <c r="C50" s="5" t="s">
        <v>417</v>
      </c>
      <c r="D50" s="6">
        <v>41626</v>
      </c>
      <c r="E50" s="71">
        <v>805833000000</v>
      </c>
      <c r="F50" s="71">
        <v>864824000000</v>
      </c>
      <c r="G50" s="71">
        <v>1031954000000</v>
      </c>
      <c r="H50" s="71">
        <v>1082219000000</v>
      </c>
      <c r="I50" s="71">
        <v>923047000000</v>
      </c>
      <c r="J50" s="71">
        <v>3337628000000</v>
      </c>
      <c r="K50" s="71">
        <v>3529557000000</v>
      </c>
      <c r="L50" s="71">
        <v>3849516000000</v>
      </c>
      <c r="M50" s="71">
        <v>4068970000000</v>
      </c>
      <c r="N50" s="71">
        <v>4081442000000</v>
      </c>
      <c r="O50" s="72">
        <f t="shared" si="1"/>
        <v>0.24143883021115595</v>
      </c>
      <c r="P50" s="72">
        <f t="shared" si="1"/>
        <v>0.24502338395441695</v>
      </c>
      <c r="Q50" s="72">
        <f t="shared" si="1"/>
        <v>0.26807370069380149</v>
      </c>
      <c r="R50" s="72">
        <f t="shared" si="1"/>
        <v>0.26596878325473033</v>
      </c>
      <c r="S50" s="72">
        <f t="shared" si="1"/>
        <v>0.22615707879715061</v>
      </c>
    </row>
    <row r="51" spans="1:19" x14ac:dyDescent="0.25">
      <c r="A51" s="5">
        <v>47</v>
      </c>
      <c r="B51" s="5" t="s">
        <v>420</v>
      </c>
      <c r="C51" s="5" t="s">
        <v>421</v>
      </c>
      <c r="D51" s="6">
        <v>34351</v>
      </c>
      <c r="E51" s="71">
        <v>2029980562070</v>
      </c>
      <c r="F51" s="71">
        <v>2428477400610</v>
      </c>
      <c r="G51" s="71">
        <v>2818415243370</v>
      </c>
      <c r="H51" s="71">
        <v>2784515739850</v>
      </c>
      <c r="I51" s="71">
        <v>3609805761120</v>
      </c>
      <c r="J51" s="71">
        <v>7869975060326</v>
      </c>
      <c r="K51" s="71">
        <v>8372769580743</v>
      </c>
      <c r="L51" s="71">
        <v>9104657533366</v>
      </c>
      <c r="M51" s="71">
        <v>9644326662784</v>
      </c>
      <c r="N51" s="71">
        <v>11328974079150</v>
      </c>
      <c r="O51" s="72">
        <f t="shared" si="1"/>
        <v>0.257939897713718</v>
      </c>
      <c r="P51" s="72">
        <f t="shared" si="1"/>
        <v>0.29004469515026315</v>
      </c>
      <c r="Q51" s="72">
        <f t="shared" si="1"/>
        <v>0.3095575240519815</v>
      </c>
      <c r="R51" s="72">
        <f t="shared" si="1"/>
        <v>0.28872059576694198</v>
      </c>
      <c r="S51" s="72">
        <f t="shared" si="1"/>
        <v>0.31863483276597271</v>
      </c>
    </row>
    <row r="52" spans="1:19" x14ac:dyDescent="0.25">
      <c r="A52" s="5">
        <v>48</v>
      </c>
      <c r="B52" s="19" t="s">
        <v>424</v>
      </c>
      <c r="C52" s="19" t="s">
        <v>425</v>
      </c>
      <c r="D52" s="6">
        <v>43003</v>
      </c>
      <c r="E52" s="71">
        <v>203117000000</v>
      </c>
      <c r="F52" s="71">
        <v>198647000000</v>
      </c>
      <c r="G52" s="71">
        <v>230641000000</v>
      </c>
      <c r="H52" s="71">
        <v>233678000000</v>
      </c>
      <c r="I52" s="71">
        <v>185968000000</v>
      </c>
      <c r="J52" s="71">
        <v>914065000000</v>
      </c>
      <c r="K52" s="71">
        <v>923795000000</v>
      </c>
      <c r="L52" s="71">
        <v>973684000000</v>
      </c>
      <c r="M52" s="71">
        <v>985400000000</v>
      </c>
      <c r="N52" s="71">
        <v>1045929000000</v>
      </c>
      <c r="O52" s="72">
        <f t="shared" si="1"/>
        <v>0.22221286232379536</v>
      </c>
      <c r="P52" s="72">
        <f t="shared" si="1"/>
        <v>0.21503363841544931</v>
      </c>
      <c r="Q52" s="72">
        <f t="shared" si="1"/>
        <v>0.2368745917566685</v>
      </c>
      <c r="R52" s="72">
        <f t="shared" si="1"/>
        <v>0.23714024761518165</v>
      </c>
      <c r="S52" s="72">
        <f t="shared" si="1"/>
        <v>0.17780174371300539</v>
      </c>
    </row>
    <row r="53" spans="1:19" x14ac:dyDescent="0.25">
      <c r="A53" s="5">
        <v>49</v>
      </c>
      <c r="B53" s="5" t="s">
        <v>438</v>
      </c>
      <c r="C53" s="5" t="s">
        <v>439</v>
      </c>
      <c r="D53" s="6">
        <v>29962</v>
      </c>
      <c r="E53" s="71">
        <v>351667000000</v>
      </c>
      <c r="F53" s="71">
        <v>628649000000</v>
      </c>
      <c r="G53" s="71">
        <v>844076000000</v>
      </c>
      <c r="H53" s="71">
        <v>325197000000</v>
      </c>
      <c r="I53" s="71">
        <v>502882000000</v>
      </c>
      <c r="J53" s="71">
        <v>19522970000000</v>
      </c>
      <c r="K53" s="71">
        <v>20649371000000</v>
      </c>
      <c r="L53" s="71">
        <v>20534632000000</v>
      </c>
      <c r="M53" s="71">
        <v>19068532000000</v>
      </c>
      <c r="N53" s="71">
        <v>18318114000000</v>
      </c>
      <c r="O53" s="72">
        <f t="shared" si="1"/>
        <v>1.8012986753552354E-2</v>
      </c>
      <c r="P53" s="72">
        <f t="shared" si="1"/>
        <v>3.0443978172507047E-2</v>
      </c>
      <c r="Q53" s="72">
        <f t="shared" si="1"/>
        <v>4.1104997644954143E-2</v>
      </c>
      <c r="R53" s="72">
        <f t="shared" si="1"/>
        <v>1.7054118271925704E-2</v>
      </c>
      <c r="S53" s="72">
        <f t="shared" si="1"/>
        <v>2.7452717020977159E-2</v>
      </c>
    </row>
  </sheetData>
  <mergeCells count="3">
    <mergeCell ref="E3:I3"/>
    <mergeCell ref="J3:N3"/>
    <mergeCell ref="O3:S3"/>
  </mergeCells>
  <hyperlinks>
    <hyperlink ref="I8" r:id="rId1" display="javascript:void(0)" xr:uid="{F7BBB47A-F5D1-41F9-AD09-E6AF36FCE977}"/>
    <hyperlink ref="H8" r:id="rId2" display="javascript:void(0)" xr:uid="{FADFD18D-35C6-4C58-B0D8-552774D55061}"/>
    <hyperlink ref="F8" r:id="rId3" display="javascript:void(0)" xr:uid="{1F52EFC8-5DCE-4199-BD29-DE2CCCDC4855}"/>
    <hyperlink ref="E8" r:id="rId4" display="javascript:void(0)" xr:uid="{16940762-30B8-44D3-8286-CD666CF9EC7F}"/>
    <hyperlink ref="H9" r:id="rId5" display="javascript:void(0)" xr:uid="{48C9D79F-32A8-4BE8-91EE-7FACBC517DC7}"/>
    <hyperlink ref="H19" r:id="rId6" display="javascript:void(0)" xr:uid="{B9C42FD9-CD24-406F-A547-462374D8A538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CEE74-FB29-4A86-9C6F-06747A517EE4}">
  <dimension ref="A3:AR53"/>
  <sheetViews>
    <sheetView topLeftCell="W1" workbookViewId="0">
      <selection activeCell="AP9" sqref="AP9"/>
    </sheetView>
  </sheetViews>
  <sheetFormatPr defaultColWidth="9" defaultRowHeight="15" x14ac:dyDescent="0.25"/>
  <cols>
    <col min="1" max="1" width="3.85546875" bestFit="1" customWidth="1"/>
    <col min="2" max="2" width="6.85546875" bestFit="1" customWidth="1"/>
    <col min="3" max="3" width="46.42578125" customWidth="1"/>
    <col min="4" max="4" width="14" customWidth="1"/>
    <col min="5" max="6" width="16" customWidth="1"/>
    <col min="7" max="7" width="17.140625" customWidth="1"/>
    <col min="8" max="8" width="16" customWidth="1"/>
    <col min="9" max="9" width="17.140625" customWidth="1"/>
    <col min="10" max="14" width="14.42578125" customWidth="1"/>
    <col min="15" max="19" width="4.85546875" bestFit="1" customWidth="1"/>
    <col min="20" max="21" width="18.140625" customWidth="1"/>
    <col min="22" max="24" width="17.140625" customWidth="1"/>
    <col min="25" max="29" width="14.42578125" customWidth="1"/>
    <col min="30" max="38" width="4.85546875" bestFit="1" customWidth="1"/>
    <col min="39" max="39" width="5.7109375" bestFit="1" customWidth="1"/>
    <col min="40" max="43" width="5" bestFit="1" customWidth="1"/>
    <col min="44" max="44" width="7" bestFit="1" customWidth="1"/>
  </cols>
  <sheetData>
    <row r="3" spans="1:44" x14ac:dyDescent="0.25">
      <c r="A3" s="1" t="s">
        <v>0</v>
      </c>
      <c r="B3" s="1" t="s">
        <v>1</v>
      </c>
      <c r="C3" s="2" t="s">
        <v>2</v>
      </c>
      <c r="D3" s="2" t="s">
        <v>3</v>
      </c>
      <c r="E3" s="93" t="s">
        <v>9</v>
      </c>
      <c r="F3" s="93"/>
      <c r="G3" s="93"/>
      <c r="H3" s="93"/>
      <c r="I3" s="94"/>
      <c r="J3" s="93" t="s">
        <v>8</v>
      </c>
      <c r="K3" s="93"/>
      <c r="L3" s="93"/>
      <c r="M3" s="93"/>
      <c r="N3" s="94"/>
      <c r="O3" s="93" t="s">
        <v>488</v>
      </c>
      <c r="P3" s="93"/>
      <c r="Q3" s="93"/>
      <c r="R3" s="93"/>
      <c r="S3" s="94"/>
      <c r="T3" s="93" t="s">
        <v>5</v>
      </c>
      <c r="U3" s="93"/>
      <c r="V3" s="93"/>
      <c r="W3" s="93"/>
      <c r="X3" s="94"/>
      <c r="Y3" s="93" t="s">
        <v>8</v>
      </c>
      <c r="Z3" s="93"/>
      <c r="AA3" s="93"/>
      <c r="AB3" s="93"/>
      <c r="AC3" s="94"/>
      <c r="AD3" s="93" t="s">
        <v>489</v>
      </c>
      <c r="AE3" s="93"/>
      <c r="AF3" s="93"/>
      <c r="AG3" s="93"/>
      <c r="AH3" s="94"/>
      <c r="AI3" s="93" t="s">
        <v>490</v>
      </c>
      <c r="AJ3" s="93"/>
      <c r="AK3" s="93"/>
      <c r="AL3" s="93"/>
      <c r="AM3" s="94"/>
      <c r="AN3" s="93" t="s">
        <v>491</v>
      </c>
      <c r="AO3" s="93"/>
      <c r="AP3" s="93"/>
      <c r="AQ3" s="93"/>
      <c r="AR3" s="94"/>
    </row>
    <row r="4" spans="1:44" x14ac:dyDescent="0.25">
      <c r="A4" s="3"/>
      <c r="B4" s="3"/>
      <c r="C4" s="3"/>
      <c r="D4" s="3"/>
      <c r="E4" s="3">
        <v>2018</v>
      </c>
      <c r="F4" s="3">
        <v>2019</v>
      </c>
      <c r="G4" s="4">
        <v>2020</v>
      </c>
      <c r="H4" s="4">
        <v>2021</v>
      </c>
      <c r="I4" s="4">
        <v>2022</v>
      </c>
      <c r="J4" s="3">
        <v>2018</v>
      </c>
      <c r="K4" s="3">
        <v>2019</v>
      </c>
      <c r="L4" s="4">
        <v>2020</v>
      </c>
      <c r="M4" s="4">
        <v>2021</v>
      </c>
      <c r="N4" s="4">
        <v>2022</v>
      </c>
      <c r="O4" s="3">
        <v>2018</v>
      </c>
      <c r="P4" s="3">
        <v>2019</v>
      </c>
      <c r="Q4" s="4">
        <v>2020</v>
      </c>
      <c r="R4" s="4">
        <v>2021</v>
      </c>
      <c r="S4" s="4">
        <v>2022</v>
      </c>
      <c r="T4" s="3">
        <v>2018</v>
      </c>
      <c r="U4" s="3">
        <v>2019</v>
      </c>
      <c r="V4" s="4">
        <v>2020</v>
      </c>
      <c r="W4" s="4">
        <v>2021</v>
      </c>
      <c r="X4" s="4">
        <v>2022</v>
      </c>
      <c r="Y4" s="3">
        <v>2018</v>
      </c>
      <c r="Z4" s="3">
        <v>2019</v>
      </c>
      <c r="AA4" s="4">
        <v>2020</v>
      </c>
      <c r="AB4" s="4">
        <v>2021</v>
      </c>
      <c r="AC4" s="4">
        <v>2022</v>
      </c>
      <c r="AD4" s="3">
        <v>2018</v>
      </c>
      <c r="AE4" s="3">
        <v>2019</v>
      </c>
      <c r="AF4" s="4">
        <v>2020</v>
      </c>
      <c r="AG4" s="4">
        <v>2021</v>
      </c>
      <c r="AH4" s="4">
        <v>2022</v>
      </c>
      <c r="AI4" s="3">
        <v>2018</v>
      </c>
      <c r="AJ4" s="3">
        <v>2019</v>
      </c>
      <c r="AK4" s="4">
        <v>2020</v>
      </c>
      <c r="AL4" s="4">
        <v>2021</v>
      </c>
      <c r="AM4" s="4">
        <v>2022</v>
      </c>
      <c r="AN4" s="3">
        <v>2018</v>
      </c>
      <c r="AO4" s="3">
        <v>2019</v>
      </c>
      <c r="AP4" s="4">
        <v>2020</v>
      </c>
      <c r="AQ4" s="4">
        <v>2021</v>
      </c>
      <c r="AR4" s="4">
        <v>2022</v>
      </c>
    </row>
    <row r="5" spans="1:44" x14ac:dyDescent="0.25">
      <c r="A5" s="5">
        <v>1</v>
      </c>
      <c r="B5" s="5" t="s">
        <v>10</v>
      </c>
      <c r="C5" s="5" t="s">
        <v>11</v>
      </c>
      <c r="D5" s="6">
        <v>32847</v>
      </c>
      <c r="E5" s="9">
        <v>2576862000000</v>
      </c>
      <c r="F5" s="9">
        <v>2024677000000</v>
      </c>
      <c r="G5" s="9">
        <v>2668893000000</v>
      </c>
      <c r="H5" s="9">
        <v>1840616000000</v>
      </c>
      <c r="I5" s="9">
        <v>1740821000000</v>
      </c>
      <c r="J5" s="10">
        <v>3681231699</v>
      </c>
      <c r="K5" s="10">
        <v>3681231699</v>
      </c>
      <c r="L5" s="9">
        <v>3681231699</v>
      </c>
      <c r="M5" s="9">
        <v>3549811099</v>
      </c>
      <c r="N5" s="8">
        <v>3431073399</v>
      </c>
      <c r="O5" s="8">
        <f>E5/J5</f>
        <v>699.99994857699392</v>
      </c>
      <c r="P5" s="8">
        <f t="shared" ref="P5:S5" si="0">F5/K5</f>
        <v>549.99988198243534</v>
      </c>
      <c r="Q5" s="8">
        <f t="shared" si="0"/>
        <v>725.00000495078859</v>
      </c>
      <c r="R5" s="8">
        <f t="shared" si="0"/>
        <v>518.51097105378676</v>
      </c>
      <c r="S5" s="8">
        <f t="shared" si="0"/>
        <v>507.36921002837454</v>
      </c>
      <c r="T5" s="7">
        <v>1145937000000</v>
      </c>
      <c r="U5" s="7">
        <v>1835305000000</v>
      </c>
      <c r="V5" s="7">
        <v>1806337000000</v>
      </c>
      <c r="W5" s="9">
        <v>1788496000000</v>
      </c>
      <c r="X5" s="8">
        <v>1842434000000</v>
      </c>
      <c r="Y5" s="10">
        <v>3681231699</v>
      </c>
      <c r="Z5" s="10">
        <v>3681231699</v>
      </c>
      <c r="AA5" s="9">
        <v>3681231699</v>
      </c>
      <c r="AB5" s="9">
        <v>3549811099</v>
      </c>
      <c r="AC5" s="8">
        <v>3431073399</v>
      </c>
      <c r="AD5" s="8">
        <f>T5/Y5</f>
        <v>311.29173431579756</v>
      </c>
      <c r="AE5" s="8">
        <f t="shared" ref="AE5:AH5" si="1">U5/Z5</f>
        <v>498.55731724209517</v>
      </c>
      <c r="AF5" s="8">
        <f t="shared" si="1"/>
        <v>490.68821190763089</v>
      </c>
      <c r="AG5" s="8">
        <f t="shared" si="1"/>
        <v>503.82849963589007</v>
      </c>
      <c r="AH5" s="8">
        <f t="shared" si="1"/>
        <v>536.98472336295242</v>
      </c>
      <c r="AI5" s="70">
        <f>O5/AD5</f>
        <v>2.2486942999484265</v>
      </c>
      <c r="AJ5" s="70">
        <f t="shared" ref="AJ5:AM5" si="2">P5/AE5</f>
        <v>1.103182849717077</v>
      </c>
      <c r="AK5" s="70">
        <f t="shared" si="2"/>
        <v>1.4775166538691284</v>
      </c>
      <c r="AL5" s="70">
        <f t="shared" si="2"/>
        <v>1.0291418040633022</v>
      </c>
      <c r="AM5" s="70">
        <f t="shared" si="2"/>
        <v>0.94484849932209247</v>
      </c>
      <c r="AN5" s="75">
        <f>1-AI5</f>
        <v>-1.2486942999484265</v>
      </c>
      <c r="AO5" s="75">
        <f t="shared" ref="AO5:AR5" si="3">1-AJ5</f>
        <v>-0.10318284971707703</v>
      </c>
      <c r="AP5" s="75">
        <f t="shared" si="3"/>
        <v>-0.47751665386912845</v>
      </c>
      <c r="AQ5" s="75">
        <f t="shared" si="3"/>
        <v>-2.9141804063302246E-2</v>
      </c>
      <c r="AR5" s="75">
        <f t="shared" si="3"/>
        <v>5.5151500677907528E-2</v>
      </c>
    </row>
    <row r="6" spans="1:44" x14ac:dyDescent="0.25">
      <c r="A6" s="5">
        <v>2</v>
      </c>
      <c r="B6" s="5" t="s">
        <v>18</v>
      </c>
      <c r="C6" s="5" t="s">
        <v>19</v>
      </c>
      <c r="D6" s="6">
        <v>33427</v>
      </c>
      <c r="E6" s="9">
        <v>82711000000</v>
      </c>
      <c r="F6" s="9">
        <v>1244948000000</v>
      </c>
      <c r="G6" s="9">
        <v>254472000000</v>
      </c>
      <c r="H6" s="7">
        <v>1132829000000</v>
      </c>
      <c r="I6" s="8">
        <v>1064311000000</v>
      </c>
      <c r="J6" s="9">
        <v>5931520000</v>
      </c>
      <c r="K6" s="9">
        <v>5931520000</v>
      </c>
      <c r="L6" s="9">
        <v>5931520000</v>
      </c>
      <c r="M6" s="9">
        <v>5931520000</v>
      </c>
      <c r="N6" s="9">
        <v>6751540089</v>
      </c>
      <c r="O6" s="8">
        <f t="shared" ref="O6:O53" si="4">E6/J6</f>
        <v>13.944317813983599</v>
      </c>
      <c r="P6" s="8">
        <f t="shared" ref="P6:P53" si="5">F6/K6</f>
        <v>209.88684182132067</v>
      </c>
      <c r="Q6" s="8">
        <f t="shared" ref="Q6:Q53" si="6">G6/L6</f>
        <v>42.901650841605523</v>
      </c>
      <c r="R6" s="8">
        <f t="shared" ref="R6:R53" si="7">H6/M6</f>
        <v>190.98460428355634</v>
      </c>
      <c r="S6" s="8">
        <f t="shared" ref="S6:S53" si="8">I6/N6</f>
        <v>157.63973641125779</v>
      </c>
      <c r="T6" s="7">
        <v>3085704236000</v>
      </c>
      <c r="U6" s="7">
        <v>2371233000000</v>
      </c>
      <c r="V6" s="7">
        <v>2674343000000</v>
      </c>
      <c r="W6" s="9">
        <v>2082347000000</v>
      </c>
      <c r="X6" s="17">
        <v>2499083000000</v>
      </c>
      <c r="Y6" s="9">
        <v>5931520000</v>
      </c>
      <c r="Z6" s="9">
        <v>5931520000</v>
      </c>
      <c r="AA6" s="9">
        <v>5931520000</v>
      </c>
      <c r="AB6" s="9">
        <v>5931520000</v>
      </c>
      <c r="AC6" s="9">
        <v>6751540089</v>
      </c>
      <c r="AD6" s="8">
        <f t="shared" ref="AD6:AD53" si="9">T6/Y6</f>
        <v>520.22150072831244</v>
      </c>
      <c r="AE6" s="8">
        <f t="shared" ref="AE6:AE53" si="10">U6/Z6</f>
        <v>399.76818758092361</v>
      </c>
      <c r="AF6" s="8">
        <f t="shared" ref="AF6:AF53" si="11">V6/AA6</f>
        <v>450.86976019637461</v>
      </c>
      <c r="AG6" s="8">
        <f t="shared" ref="AG6:AG53" si="12">W6/AB6</f>
        <v>351.06465121924901</v>
      </c>
      <c r="AH6" s="8">
        <f t="shared" ref="AH6:AH53" si="13">X6/AC6</f>
        <v>370.15006458624907</v>
      </c>
      <c r="AI6" s="70">
        <f t="shared" ref="AI6:AI53" si="14">O6/AD6</f>
        <v>2.6804578039280366E-2</v>
      </c>
      <c r="AJ6" s="70">
        <f t="shared" ref="AJ6:AJ53" si="15">P6/AE6</f>
        <v>0.52502137073834587</v>
      </c>
      <c r="AK6" s="70">
        <f t="shared" ref="AK6:AK53" si="16">Q6/AF6</f>
        <v>9.5153089936481597E-2</v>
      </c>
      <c r="AL6" s="70">
        <f t="shared" ref="AL6:AL53" si="17">R6/AG6</f>
        <v>0.54401547868823019</v>
      </c>
      <c r="AM6" s="70">
        <f t="shared" ref="AM6:AM53" si="18">S6/AH6</f>
        <v>0.42588061300885166</v>
      </c>
      <c r="AN6" s="75">
        <f t="shared" ref="AN6:AN53" si="19">1-AI6</f>
        <v>0.97319542196071962</v>
      </c>
      <c r="AO6" s="75">
        <f t="shared" ref="AO6:AO53" si="20">1-AJ6</f>
        <v>0.47497862926165413</v>
      </c>
      <c r="AP6" s="75">
        <f t="shared" ref="AP6:AP53" si="21">1-AK6</f>
        <v>0.90484691006351836</v>
      </c>
      <c r="AQ6" s="75">
        <f t="shared" ref="AQ6:AQ53" si="22">1-AL6</f>
        <v>0.45598452131176981</v>
      </c>
      <c r="AR6" s="75">
        <f t="shared" ref="AR6:AR53" si="23">1-AM6</f>
        <v>0.57411938699114828</v>
      </c>
    </row>
    <row r="7" spans="1:44" x14ac:dyDescent="0.25">
      <c r="A7" s="5">
        <v>3</v>
      </c>
      <c r="B7" s="5" t="s">
        <v>24</v>
      </c>
      <c r="C7" s="5" t="s">
        <v>25</v>
      </c>
      <c r="D7" s="6">
        <v>42633</v>
      </c>
      <c r="E7" s="9">
        <v>101143683915</v>
      </c>
      <c r="F7" s="9">
        <v>145937796276</v>
      </c>
      <c r="G7" s="9">
        <v>128103935065</v>
      </c>
      <c r="H7" s="7">
        <v>25633343020</v>
      </c>
      <c r="I7" s="17">
        <v>16559386540</v>
      </c>
      <c r="J7" s="9">
        <v>8715466600</v>
      </c>
      <c r="K7" s="9">
        <v>8715466600</v>
      </c>
      <c r="L7" s="9">
        <v>8715466600</v>
      </c>
      <c r="M7" s="9">
        <v>8715466600</v>
      </c>
      <c r="N7" s="9">
        <v>8715466600</v>
      </c>
      <c r="O7" s="8">
        <f t="shared" si="4"/>
        <v>11.605079631077928</v>
      </c>
      <c r="P7" s="8">
        <f t="shared" si="5"/>
        <v>16.744691130593054</v>
      </c>
      <c r="Q7" s="8">
        <f t="shared" si="6"/>
        <v>14.698459754868431</v>
      </c>
      <c r="R7" s="8">
        <f t="shared" si="7"/>
        <v>2.9411326090102854</v>
      </c>
      <c r="S7" s="8">
        <f t="shared" si="8"/>
        <v>1.9</v>
      </c>
      <c r="T7" s="7">
        <v>486640174453</v>
      </c>
      <c r="U7" s="7">
        <v>510711733403</v>
      </c>
      <c r="V7" s="7">
        <v>123147079420</v>
      </c>
      <c r="W7" s="8">
        <v>81433957569</v>
      </c>
      <c r="X7" s="17">
        <v>171060047099</v>
      </c>
      <c r="Y7" s="9">
        <v>8715466600</v>
      </c>
      <c r="Z7" s="9">
        <v>8715466600</v>
      </c>
      <c r="AA7" s="9">
        <v>8715466600</v>
      </c>
      <c r="AB7" s="9">
        <v>8715466600</v>
      </c>
      <c r="AC7" s="9">
        <v>8715466600</v>
      </c>
      <c r="AD7" s="8">
        <f t="shared" si="9"/>
        <v>55.836387974110302</v>
      </c>
      <c r="AE7" s="8">
        <f t="shared" si="10"/>
        <v>58.598323743561821</v>
      </c>
      <c r="AF7" s="8">
        <f t="shared" si="11"/>
        <v>14.129717325748228</v>
      </c>
      <c r="AG7" s="8">
        <f t="shared" si="12"/>
        <v>9.343614209823258</v>
      </c>
      <c r="AH7" s="8">
        <f t="shared" si="13"/>
        <v>19.627181762018342</v>
      </c>
      <c r="AI7" s="70">
        <f t="shared" si="14"/>
        <v>0.20784080152997833</v>
      </c>
      <c r="AJ7" s="70">
        <f t="shared" si="15"/>
        <v>0.28575375643629719</v>
      </c>
      <c r="AK7" s="70">
        <f t="shared" si="16"/>
        <v>1.0402515079394969</v>
      </c>
      <c r="AL7" s="70">
        <f t="shared" si="17"/>
        <v>0.31477461964538017</v>
      </c>
      <c r="AM7" s="70">
        <f t="shared" si="18"/>
        <v>9.6804524614776649E-2</v>
      </c>
      <c r="AN7" s="75">
        <f t="shared" si="19"/>
        <v>0.7921591984700217</v>
      </c>
      <c r="AO7" s="75">
        <f t="shared" si="20"/>
        <v>0.71424624356370281</v>
      </c>
      <c r="AP7" s="75">
        <f t="shared" si="21"/>
        <v>-4.0251507939496944E-2</v>
      </c>
      <c r="AQ7" s="75">
        <f t="shared" si="22"/>
        <v>0.68522538035461977</v>
      </c>
      <c r="AR7" s="75">
        <f t="shared" si="23"/>
        <v>0.90319547538522338</v>
      </c>
    </row>
    <row r="8" spans="1:44" x14ac:dyDescent="0.25">
      <c r="A8" s="5">
        <v>4</v>
      </c>
      <c r="B8" s="5" t="s">
        <v>30</v>
      </c>
      <c r="C8" s="5" t="s">
        <v>31</v>
      </c>
      <c r="D8" s="6">
        <v>37089</v>
      </c>
      <c r="E8" s="9">
        <v>88406601712</v>
      </c>
      <c r="F8" s="9">
        <v>117715525216</v>
      </c>
      <c r="G8" s="9">
        <v>161786542872</v>
      </c>
      <c r="H8" s="9">
        <v>219203851280</v>
      </c>
      <c r="I8" s="9">
        <v>328519240420</v>
      </c>
      <c r="J8" s="10">
        <v>7341430976</v>
      </c>
      <c r="K8" s="10">
        <v>7341430976</v>
      </c>
      <c r="L8" s="8">
        <v>7271198676</v>
      </c>
      <c r="M8" s="8">
        <v>7271198676</v>
      </c>
      <c r="N8" s="8">
        <v>7271198676</v>
      </c>
      <c r="O8" s="8">
        <f t="shared" si="4"/>
        <v>12.042148458660384</v>
      </c>
      <c r="P8" s="8">
        <f t="shared" si="5"/>
        <v>16.034411492912742</v>
      </c>
      <c r="Q8" s="8">
        <f t="shared" si="6"/>
        <v>22.250326264087356</v>
      </c>
      <c r="R8" s="8">
        <f t="shared" si="7"/>
        <v>30.14686588107196</v>
      </c>
      <c r="S8" s="8">
        <f t="shared" si="8"/>
        <v>45.18089177020309</v>
      </c>
      <c r="T8" s="7">
        <v>158207798602</v>
      </c>
      <c r="U8" s="7">
        <v>217675239509</v>
      </c>
      <c r="V8" s="7">
        <v>326241511507</v>
      </c>
      <c r="W8" s="17">
        <v>475983374390</v>
      </c>
      <c r="X8" s="8">
        <v>581557410601</v>
      </c>
      <c r="Y8" s="10">
        <v>7341430976</v>
      </c>
      <c r="Z8" s="10">
        <v>7341430976</v>
      </c>
      <c r="AA8" s="8">
        <v>7271198676</v>
      </c>
      <c r="AB8" s="8">
        <v>7271198676</v>
      </c>
      <c r="AC8" s="8">
        <v>7271198676</v>
      </c>
      <c r="AD8" s="8">
        <f t="shared" si="9"/>
        <v>21.549994697110122</v>
      </c>
      <c r="AE8" s="8">
        <f t="shared" si="10"/>
        <v>29.650246691769755</v>
      </c>
      <c r="AF8" s="8">
        <f t="shared" si="11"/>
        <v>44.86763820438896</v>
      </c>
      <c r="AG8" s="8">
        <f t="shared" si="12"/>
        <v>65.461472805175205</v>
      </c>
      <c r="AH8" s="8">
        <f t="shared" si="13"/>
        <v>79.980954518619185</v>
      </c>
      <c r="AI8" s="70">
        <f t="shared" si="14"/>
        <v>0.55880053001939944</v>
      </c>
      <c r="AJ8" s="70">
        <f t="shared" si="15"/>
        <v>0.54078509563846344</v>
      </c>
      <c r="AK8" s="70">
        <f t="shared" si="16"/>
        <v>0.49591035219479918</v>
      </c>
      <c r="AL8" s="70">
        <f t="shared" si="17"/>
        <v>0.46052837782605821</v>
      </c>
      <c r="AM8" s="70">
        <f t="shared" si="18"/>
        <v>0.56489563099281581</v>
      </c>
      <c r="AN8" s="75">
        <f t="shared" si="19"/>
        <v>0.44119946998060056</v>
      </c>
      <c r="AO8" s="75">
        <f t="shared" si="20"/>
        <v>0.45921490436153656</v>
      </c>
      <c r="AP8" s="75">
        <f t="shared" si="21"/>
        <v>0.50408964780520082</v>
      </c>
      <c r="AQ8" s="75">
        <f t="shared" si="22"/>
        <v>0.53947162217394173</v>
      </c>
      <c r="AR8" s="75">
        <f t="shared" si="23"/>
        <v>0.43510436900718419</v>
      </c>
    </row>
    <row r="9" spans="1:44" x14ac:dyDescent="0.25">
      <c r="A9" s="5">
        <v>5</v>
      </c>
      <c r="B9" s="5" t="s">
        <v>36</v>
      </c>
      <c r="C9" s="5" t="s">
        <v>37</v>
      </c>
      <c r="D9" s="6">
        <v>42928</v>
      </c>
      <c r="E9" s="7">
        <v>11400000930</v>
      </c>
      <c r="F9" s="7">
        <v>26600002170</v>
      </c>
      <c r="G9" s="7">
        <v>26600002170</v>
      </c>
      <c r="H9" s="9">
        <v>57000004650</v>
      </c>
      <c r="I9" s="8">
        <v>190000015500</v>
      </c>
      <c r="J9" s="10">
        <v>760000062</v>
      </c>
      <c r="K9" s="10">
        <v>3800000310</v>
      </c>
      <c r="L9" s="9">
        <v>3800000310</v>
      </c>
      <c r="M9" s="9">
        <v>3800000310</v>
      </c>
      <c r="N9" s="8">
        <v>3800000310</v>
      </c>
      <c r="O9" s="8">
        <f t="shared" si="4"/>
        <v>15</v>
      </c>
      <c r="P9" s="8">
        <f t="shared" si="5"/>
        <v>7</v>
      </c>
      <c r="Q9" s="8">
        <f t="shared" si="6"/>
        <v>7</v>
      </c>
      <c r="R9" s="8">
        <f t="shared" si="7"/>
        <v>15</v>
      </c>
      <c r="S9" s="8">
        <f t="shared" si="8"/>
        <v>50</v>
      </c>
      <c r="T9" s="7">
        <v>81905439662</v>
      </c>
      <c r="U9" s="7">
        <v>88002544535</v>
      </c>
      <c r="V9" s="7">
        <v>144194690952</v>
      </c>
      <c r="W9" s="8">
        <v>392149133254</v>
      </c>
      <c r="X9" s="8">
        <v>243093147629</v>
      </c>
      <c r="Y9" s="10">
        <v>760000062</v>
      </c>
      <c r="Z9" s="10">
        <v>3800000310</v>
      </c>
      <c r="AA9" s="9">
        <v>3800000310</v>
      </c>
      <c r="AB9" s="9">
        <v>3800000310</v>
      </c>
      <c r="AC9" s="8">
        <v>3800000310</v>
      </c>
      <c r="AD9" s="8">
        <f t="shared" si="9"/>
        <v>107.77030655294868</v>
      </c>
      <c r="AE9" s="8">
        <f t="shared" si="10"/>
        <v>23.158562462064641</v>
      </c>
      <c r="AF9" s="8">
        <f t="shared" si="11"/>
        <v>37.945968207565748</v>
      </c>
      <c r="AG9" s="8">
        <f t="shared" si="12"/>
        <v>103.1971319112866</v>
      </c>
      <c r="AH9" s="8">
        <f t="shared" si="13"/>
        <v>63.971875736241714</v>
      </c>
      <c r="AI9" s="70">
        <f t="shared" si="14"/>
        <v>0.13918490611911122</v>
      </c>
      <c r="AJ9" s="70">
        <f t="shared" si="15"/>
        <v>0.30226401191639135</v>
      </c>
      <c r="AK9" s="70">
        <f t="shared" si="16"/>
        <v>0.18447282624888525</v>
      </c>
      <c r="AL9" s="70">
        <f t="shared" si="17"/>
        <v>0.14535287679210646</v>
      </c>
      <c r="AM9" s="70">
        <f t="shared" si="18"/>
        <v>0.78159346469926494</v>
      </c>
      <c r="AN9" s="75">
        <f t="shared" si="19"/>
        <v>0.86081509388088873</v>
      </c>
      <c r="AO9" s="75">
        <f t="shared" si="20"/>
        <v>0.6977359880836087</v>
      </c>
      <c r="AP9" s="75">
        <f t="shared" si="21"/>
        <v>0.81552717375111472</v>
      </c>
      <c r="AQ9" s="75">
        <f t="shared" si="22"/>
        <v>0.8546471232078936</v>
      </c>
      <c r="AR9" s="75">
        <f t="shared" si="23"/>
        <v>0.21840653530073506</v>
      </c>
    </row>
    <row r="10" spans="1:44" x14ac:dyDescent="0.25">
      <c r="A10" s="5">
        <v>6</v>
      </c>
      <c r="B10" s="5" t="s">
        <v>40</v>
      </c>
      <c r="C10" s="5" t="s">
        <v>41</v>
      </c>
      <c r="D10" s="6">
        <v>33176</v>
      </c>
      <c r="E10" s="7">
        <f>82560000000+103200000000</f>
        <v>185760000000</v>
      </c>
      <c r="F10" s="7">
        <v>113520000000</v>
      </c>
      <c r="G10" s="7">
        <v>30960000000</v>
      </c>
      <c r="H10" s="9">
        <f>51600000000*2</f>
        <v>103200000000</v>
      </c>
      <c r="I10" s="9">
        <f>103200000000+72240000000</f>
        <v>175440000000</v>
      </c>
      <c r="J10" s="10">
        <v>10320000000</v>
      </c>
      <c r="K10" s="10">
        <v>10320000000</v>
      </c>
      <c r="L10" s="9">
        <v>10320000000</v>
      </c>
      <c r="M10" s="9">
        <v>10320000000</v>
      </c>
      <c r="N10" s="9">
        <v>10320000000</v>
      </c>
      <c r="O10" s="8">
        <f t="shared" si="4"/>
        <v>18</v>
      </c>
      <c r="P10" s="8">
        <f t="shared" si="5"/>
        <v>11</v>
      </c>
      <c r="Q10" s="8">
        <f t="shared" si="6"/>
        <v>3</v>
      </c>
      <c r="R10" s="8">
        <f t="shared" si="7"/>
        <v>10</v>
      </c>
      <c r="S10" s="8">
        <f t="shared" si="8"/>
        <v>17</v>
      </c>
      <c r="T10" s="7">
        <v>346692796102</v>
      </c>
      <c r="U10" s="7">
        <v>140597500915</v>
      </c>
      <c r="V10" s="7">
        <v>-30689667468</v>
      </c>
      <c r="W10" s="8">
        <v>156736391742</v>
      </c>
      <c r="X10" s="8">
        <v>313410762339</v>
      </c>
      <c r="Y10" s="10">
        <v>10320000000</v>
      </c>
      <c r="Z10" s="10">
        <v>10320000000</v>
      </c>
      <c r="AA10" s="9">
        <v>10320000000</v>
      </c>
      <c r="AB10" s="9">
        <v>10320000000</v>
      </c>
      <c r="AC10" s="9">
        <v>10320000000</v>
      </c>
      <c r="AD10" s="8">
        <f t="shared" si="9"/>
        <v>33.594263188178296</v>
      </c>
      <c r="AE10" s="8">
        <f t="shared" si="10"/>
        <v>13.623788848352714</v>
      </c>
      <c r="AF10" s="8">
        <f t="shared" si="11"/>
        <v>-2.9738049872093022</v>
      </c>
      <c r="AG10" s="8">
        <f t="shared" si="12"/>
        <v>15.18763485872093</v>
      </c>
      <c r="AH10" s="8">
        <f t="shared" si="13"/>
        <v>30.369259916569767</v>
      </c>
      <c r="AI10" s="70">
        <f t="shared" si="14"/>
        <v>0.53580576835910887</v>
      </c>
      <c r="AJ10" s="70">
        <f t="shared" si="15"/>
        <v>0.80741122182982439</v>
      </c>
      <c r="AK10" s="70">
        <f t="shared" si="16"/>
        <v>-1.0088085845922532</v>
      </c>
      <c r="AL10" s="70">
        <f t="shared" si="17"/>
        <v>0.6584303674023263</v>
      </c>
      <c r="AM10" s="70">
        <f t="shared" si="18"/>
        <v>0.55977656507607654</v>
      </c>
      <c r="AN10" s="75">
        <f t="shared" si="19"/>
        <v>0.46419423164089113</v>
      </c>
      <c r="AO10" s="75">
        <f t="shared" si="20"/>
        <v>0.19258877817017561</v>
      </c>
      <c r="AP10" s="75">
        <f t="shared" si="21"/>
        <v>2.008808584592253</v>
      </c>
      <c r="AQ10" s="75">
        <f t="shared" si="22"/>
        <v>0.3415696325976737</v>
      </c>
      <c r="AR10" s="75">
        <f t="shared" si="23"/>
        <v>0.44022343492392346</v>
      </c>
    </row>
    <row r="11" spans="1:44" x14ac:dyDescent="0.25">
      <c r="A11" s="5">
        <v>7</v>
      </c>
      <c r="B11" s="5" t="s">
        <v>82</v>
      </c>
      <c r="C11" s="5" t="s">
        <v>83</v>
      </c>
      <c r="D11" s="6">
        <v>34243</v>
      </c>
      <c r="E11" s="7">
        <v>47233000</v>
      </c>
      <c r="F11" s="7">
        <v>24207000</v>
      </c>
      <c r="G11" s="7">
        <v>105529000</v>
      </c>
      <c r="H11" s="9">
        <f>18000000+69793000</f>
        <v>87793000</v>
      </c>
      <c r="I11" s="8">
        <f>20000000+848000</f>
        <v>20848000</v>
      </c>
      <c r="J11" s="10">
        <v>17791586878</v>
      </c>
      <c r="K11" s="10">
        <v>89015998170</v>
      </c>
      <c r="L11" s="9">
        <v>93388796190</v>
      </c>
      <c r="M11" s="9">
        <v>93747018044</v>
      </c>
      <c r="N11" s="9">
        <v>93747018044</v>
      </c>
      <c r="O11" s="8">
        <f t="shared" si="4"/>
        <v>2.6547941071184307E-3</v>
      </c>
      <c r="P11" s="8">
        <f t="shared" si="5"/>
        <v>2.7193988156792018E-4</v>
      </c>
      <c r="Q11" s="8">
        <f t="shared" si="6"/>
        <v>1.1299963625754496E-3</v>
      </c>
      <c r="R11" s="8">
        <f t="shared" si="7"/>
        <v>9.3648845405188785E-4</v>
      </c>
      <c r="S11" s="8">
        <f t="shared" si="8"/>
        <v>2.2238574020791817E-4</v>
      </c>
      <c r="T11" s="7">
        <v>242066000</v>
      </c>
      <c r="U11" s="7">
        <v>137380000</v>
      </c>
      <c r="V11" s="7">
        <v>141383000</v>
      </c>
      <c r="W11" s="8">
        <v>296007000</v>
      </c>
      <c r="X11" s="8">
        <v>3221000</v>
      </c>
      <c r="Y11" s="10">
        <v>17791586878</v>
      </c>
      <c r="Z11" s="10">
        <v>89015998170</v>
      </c>
      <c r="AA11" s="9">
        <v>93388796190</v>
      </c>
      <c r="AB11" s="9">
        <v>93747018044</v>
      </c>
      <c r="AC11" s="9">
        <v>93747018044</v>
      </c>
      <c r="AD11" s="8">
        <f t="shared" si="9"/>
        <v>1.3605644154166157E-2</v>
      </c>
      <c r="AE11" s="8">
        <f t="shared" si="10"/>
        <v>1.5433180869087815E-3</v>
      </c>
      <c r="AF11" s="8">
        <f t="shared" si="11"/>
        <v>1.5139182189730291E-3</v>
      </c>
      <c r="AG11" s="8">
        <f t="shared" si="12"/>
        <v>3.1575084325462985E-3</v>
      </c>
      <c r="AH11" s="8">
        <f t="shared" si="13"/>
        <v>3.4358426190028031E-5</v>
      </c>
      <c r="AI11" s="70">
        <f t="shared" si="14"/>
        <v>0.19512447018581708</v>
      </c>
      <c r="AJ11" s="70">
        <f t="shared" si="15"/>
        <v>0.17620468772747125</v>
      </c>
      <c r="AK11" s="70">
        <f t="shared" si="16"/>
        <v>0.74640515479230174</v>
      </c>
      <c r="AL11" s="70">
        <f t="shared" si="17"/>
        <v>0.29659095899759125</v>
      </c>
      <c r="AM11" s="70">
        <f t="shared" si="18"/>
        <v>6.4725240608506676</v>
      </c>
      <c r="AN11" s="75">
        <f t="shared" si="19"/>
        <v>0.80487552981418298</v>
      </c>
      <c r="AO11" s="75">
        <f t="shared" si="20"/>
        <v>0.82379531227252878</v>
      </c>
      <c r="AP11" s="75">
        <f t="shared" si="21"/>
        <v>0.25359484520769826</v>
      </c>
      <c r="AQ11" s="75">
        <f t="shared" si="22"/>
        <v>0.70340904100240875</v>
      </c>
      <c r="AR11" s="75">
        <f t="shared" si="23"/>
        <v>-5.4725240608506676</v>
      </c>
    </row>
    <row r="12" spans="1:44" x14ac:dyDescent="0.25">
      <c r="A12" s="5">
        <v>8</v>
      </c>
      <c r="B12" s="5" t="s">
        <v>89</v>
      </c>
      <c r="C12" s="5" t="s">
        <v>90</v>
      </c>
      <c r="D12" s="6">
        <v>33099</v>
      </c>
      <c r="E12" s="7">
        <v>12577950000</v>
      </c>
      <c r="F12" s="7">
        <v>20963250000</v>
      </c>
      <c r="G12" s="7">
        <v>24457125000</v>
      </c>
      <c r="H12" s="9">
        <f>31444875000+1199075472</f>
        <v>32643950472</v>
      </c>
      <c r="I12" s="9">
        <f>34938750000+1571851081</f>
        <v>36510601081</v>
      </c>
      <c r="J12" s="10">
        <v>698775000</v>
      </c>
      <c r="K12" s="10">
        <v>698775000</v>
      </c>
      <c r="L12" s="9">
        <v>698775000</v>
      </c>
      <c r="M12" s="9">
        <v>698775000</v>
      </c>
      <c r="N12" s="8">
        <v>3493875000</v>
      </c>
      <c r="O12" s="8">
        <f t="shared" si="4"/>
        <v>18</v>
      </c>
      <c r="P12" s="8">
        <f t="shared" si="5"/>
        <v>30</v>
      </c>
      <c r="Q12" s="8">
        <f t="shared" si="6"/>
        <v>35</v>
      </c>
      <c r="R12" s="8">
        <f t="shared" si="7"/>
        <v>46.715967903831704</v>
      </c>
      <c r="S12" s="8">
        <f t="shared" si="8"/>
        <v>10.449887612178456</v>
      </c>
      <c r="T12" s="7">
        <v>74045187763</v>
      </c>
      <c r="U12" s="7">
        <v>77402572552</v>
      </c>
      <c r="V12" s="7">
        <v>95929070814</v>
      </c>
      <c r="W12" s="8">
        <v>108490477354</v>
      </c>
      <c r="X12" s="8">
        <v>78079793270</v>
      </c>
      <c r="Y12" s="10">
        <v>698775000</v>
      </c>
      <c r="Z12" s="10">
        <v>698775000</v>
      </c>
      <c r="AA12" s="9">
        <v>698775000</v>
      </c>
      <c r="AB12" s="9">
        <v>698775000</v>
      </c>
      <c r="AC12" s="8">
        <v>3493875000</v>
      </c>
      <c r="AD12" s="8">
        <f t="shared" si="9"/>
        <v>105.96427714643484</v>
      </c>
      <c r="AE12" s="8">
        <f t="shared" si="10"/>
        <v>110.76894930700153</v>
      </c>
      <c r="AF12" s="8">
        <f t="shared" si="11"/>
        <v>137.28177283675004</v>
      </c>
      <c r="AG12" s="8">
        <f t="shared" si="12"/>
        <v>155.2580978913098</v>
      </c>
      <c r="AH12" s="8">
        <f t="shared" si="13"/>
        <v>22.347620699080533</v>
      </c>
      <c r="AI12" s="70">
        <f t="shared" si="14"/>
        <v>0.16986856782994258</v>
      </c>
      <c r="AJ12" s="70">
        <f t="shared" si="15"/>
        <v>0.27083402151674779</v>
      </c>
      <c r="AK12" s="70">
        <f t="shared" si="16"/>
        <v>0.25495008752269388</v>
      </c>
      <c r="AL12" s="70">
        <f t="shared" si="17"/>
        <v>0.30089231117938692</v>
      </c>
      <c r="AM12" s="70">
        <f t="shared" si="18"/>
        <v>0.46760627240323638</v>
      </c>
      <c r="AN12" s="75">
        <f t="shared" si="19"/>
        <v>0.83013143217005747</v>
      </c>
      <c r="AO12" s="75">
        <f t="shared" si="20"/>
        <v>0.72916597848325226</v>
      </c>
      <c r="AP12" s="75">
        <f t="shared" si="21"/>
        <v>0.74504991247730612</v>
      </c>
      <c r="AQ12" s="75">
        <f t="shared" si="22"/>
        <v>0.69910768882061314</v>
      </c>
      <c r="AR12" s="75">
        <f t="shared" si="23"/>
        <v>0.53239372759676362</v>
      </c>
    </row>
    <row r="13" spans="1:44" x14ac:dyDescent="0.25">
      <c r="A13" s="5">
        <v>9</v>
      </c>
      <c r="B13" s="5" t="s">
        <v>99</v>
      </c>
      <c r="C13" s="5" t="s">
        <v>100</v>
      </c>
      <c r="D13" s="6">
        <v>43342</v>
      </c>
      <c r="E13" s="74">
        <v>203486706000</v>
      </c>
      <c r="F13" s="7">
        <v>38637633000</v>
      </c>
      <c r="G13" s="7">
        <v>13665358000</v>
      </c>
      <c r="H13" s="7">
        <v>1292570807</v>
      </c>
      <c r="I13" s="7">
        <v>1292570807</v>
      </c>
      <c r="J13" s="76">
        <v>1983888498</v>
      </c>
      <c r="K13" s="10">
        <v>2334888498</v>
      </c>
      <c r="L13" s="10">
        <v>2334888498</v>
      </c>
      <c r="M13" s="10">
        <v>2724036581</v>
      </c>
      <c r="N13" s="10">
        <v>2724036581</v>
      </c>
      <c r="O13" s="8">
        <f t="shared" si="4"/>
        <v>102.56962838644372</v>
      </c>
      <c r="P13" s="8">
        <f t="shared" si="5"/>
        <v>16.547956372690138</v>
      </c>
      <c r="Q13" s="8">
        <f t="shared" si="6"/>
        <v>5.8526811930014482</v>
      </c>
      <c r="R13" s="8">
        <f t="shared" si="7"/>
        <v>0.47450567147871942</v>
      </c>
      <c r="S13" s="8">
        <f t="shared" si="8"/>
        <v>0.47450567147871942</v>
      </c>
      <c r="T13" s="74">
        <v>94243997000</v>
      </c>
      <c r="U13" s="7">
        <v>60910956000</v>
      </c>
      <c r="V13" s="7">
        <v>79288256000</v>
      </c>
      <c r="W13" s="8">
        <v>38800766000</v>
      </c>
      <c r="X13" s="8">
        <v>11310348000</v>
      </c>
      <c r="Y13" s="76">
        <v>1983888498</v>
      </c>
      <c r="Z13" s="10">
        <v>2334888498</v>
      </c>
      <c r="AA13" s="10">
        <v>2334888498</v>
      </c>
      <c r="AB13" s="10">
        <v>2724036581</v>
      </c>
      <c r="AC13" s="10">
        <v>2724036581</v>
      </c>
      <c r="AD13" s="8">
        <f t="shared" si="9"/>
        <v>47.504684408931936</v>
      </c>
      <c r="AE13" s="8">
        <f t="shared" si="10"/>
        <v>26.087308259976705</v>
      </c>
      <c r="AF13" s="8">
        <f t="shared" si="11"/>
        <v>33.958048132883476</v>
      </c>
      <c r="AG13" s="8">
        <f t="shared" si="12"/>
        <v>14.243849099029408</v>
      </c>
      <c r="AH13" s="8">
        <f t="shared" si="13"/>
        <v>4.1520543736046109</v>
      </c>
      <c r="AI13" s="70">
        <f t="shared" si="14"/>
        <v>2.1591476643334642</v>
      </c>
      <c r="AJ13" s="70">
        <f t="shared" si="15"/>
        <v>0.63432977476170305</v>
      </c>
      <c r="AK13" s="70">
        <f t="shared" si="16"/>
        <v>0.17235034151842107</v>
      </c>
      <c r="AL13" s="70">
        <f t="shared" si="17"/>
        <v>3.3313022918155792E-2</v>
      </c>
      <c r="AM13" s="70">
        <f t="shared" si="18"/>
        <v>0.11428214295439892</v>
      </c>
      <c r="AN13" s="75">
        <f t="shared" si="19"/>
        <v>-1.1591476643334642</v>
      </c>
      <c r="AO13" s="75">
        <f t="shared" si="20"/>
        <v>0.36567022523829695</v>
      </c>
      <c r="AP13" s="75">
        <f t="shared" si="21"/>
        <v>0.8276496584815789</v>
      </c>
      <c r="AQ13" s="75">
        <f t="shared" si="22"/>
        <v>0.96668697708184426</v>
      </c>
      <c r="AR13" s="75">
        <f t="shared" si="23"/>
        <v>0.88571785704560102</v>
      </c>
    </row>
    <row r="14" spans="1:44" x14ac:dyDescent="0.25">
      <c r="A14" s="5">
        <v>10</v>
      </c>
      <c r="B14" s="11" t="s">
        <v>111</v>
      </c>
      <c r="C14" s="11" t="s">
        <v>112</v>
      </c>
      <c r="D14" s="6">
        <v>43199</v>
      </c>
      <c r="E14" s="7">
        <v>200000</v>
      </c>
      <c r="F14" s="7">
        <v>300000</v>
      </c>
      <c r="G14" s="7">
        <v>160000</v>
      </c>
      <c r="H14" s="7">
        <v>660000</v>
      </c>
      <c r="I14" s="7">
        <v>800000</v>
      </c>
      <c r="J14" s="8">
        <v>10485050500</v>
      </c>
      <c r="K14" s="8">
        <v>10485050500</v>
      </c>
      <c r="L14" s="8">
        <v>10485050500</v>
      </c>
      <c r="M14" s="8">
        <v>10485050500</v>
      </c>
      <c r="N14" s="8">
        <v>10485050500</v>
      </c>
      <c r="O14" s="8">
        <f t="shared" si="4"/>
        <v>1.9074776988437014E-5</v>
      </c>
      <c r="P14" s="8">
        <f t="shared" si="5"/>
        <v>2.8612165482655519E-5</v>
      </c>
      <c r="Q14" s="8">
        <f t="shared" si="6"/>
        <v>1.525982159074961E-5</v>
      </c>
      <c r="R14" s="8">
        <f t="shared" si="7"/>
        <v>6.2946764061842147E-5</v>
      </c>
      <c r="S14" s="8">
        <f t="shared" si="8"/>
        <v>7.6299107953748055E-5</v>
      </c>
      <c r="T14" s="8">
        <v>12932499</v>
      </c>
      <c r="U14" s="8">
        <v>16052289</v>
      </c>
      <c r="V14" s="7">
        <v>-3454919</v>
      </c>
      <c r="W14" s="7">
        <v>-78616128</v>
      </c>
      <c r="X14" s="7">
        <v>-52497945</v>
      </c>
      <c r="Y14" s="8">
        <v>10485050500</v>
      </c>
      <c r="Z14" s="8">
        <v>10485050500</v>
      </c>
      <c r="AA14" s="8">
        <v>10485050500</v>
      </c>
      <c r="AB14" s="8">
        <v>10485050500</v>
      </c>
      <c r="AC14" s="8">
        <v>10485050500</v>
      </c>
      <c r="AD14" s="8">
        <f t="shared" si="9"/>
        <v>1.2334226716409235E-3</v>
      </c>
      <c r="AE14" s="8">
        <f t="shared" si="10"/>
        <v>1.5309691641447029E-3</v>
      </c>
      <c r="AF14" s="8">
        <f t="shared" si="11"/>
        <v>-3.2950904719056907E-4</v>
      </c>
      <c r="AG14" s="8">
        <f t="shared" si="12"/>
        <v>-7.497925546472094E-3</v>
      </c>
      <c r="AH14" s="8">
        <f t="shared" si="13"/>
        <v>-5.0069329661311598E-3</v>
      </c>
      <c r="AI14" s="70">
        <f t="shared" si="14"/>
        <v>1.5464915172233919E-2</v>
      </c>
      <c r="AJ14" s="70">
        <f t="shared" si="15"/>
        <v>1.8688923430172481E-2</v>
      </c>
      <c r="AK14" s="70">
        <f t="shared" si="16"/>
        <v>-4.6310781815724192E-2</v>
      </c>
      <c r="AL14" s="70">
        <f t="shared" si="17"/>
        <v>-8.3952239418354467E-3</v>
      </c>
      <c r="AM14" s="70">
        <f t="shared" si="18"/>
        <v>-1.5238691724028437E-2</v>
      </c>
      <c r="AN14" s="75">
        <f t="shared" si="19"/>
        <v>0.98453508482776608</v>
      </c>
      <c r="AO14" s="75">
        <f t="shared" si="20"/>
        <v>0.98131107656982752</v>
      </c>
      <c r="AP14" s="75">
        <f t="shared" si="21"/>
        <v>1.0463107818157242</v>
      </c>
      <c r="AQ14" s="75">
        <f t="shared" si="22"/>
        <v>1.0083952239418355</v>
      </c>
      <c r="AR14" s="75">
        <f t="shared" si="23"/>
        <v>1.0152386917240284</v>
      </c>
    </row>
    <row r="15" spans="1:44" x14ac:dyDescent="0.25">
      <c r="A15" s="5">
        <v>11</v>
      </c>
      <c r="B15" s="5" t="s">
        <v>113</v>
      </c>
      <c r="C15" s="5" t="s">
        <v>114</v>
      </c>
      <c r="D15" s="6">
        <v>39594</v>
      </c>
      <c r="E15" s="7">
        <f>80924000+735000</f>
        <v>81659000</v>
      </c>
      <c r="F15" s="7">
        <v>33262000</v>
      </c>
      <c r="G15" s="7">
        <v>1280000</v>
      </c>
      <c r="H15" s="9">
        <v>103514000</v>
      </c>
      <c r="I15" s="8">
        <v>11000000</v>
      </c>
      <c r="J15" s="10">
        <v>17833520260</v>
      </c>
      <c r="K15" s="10">
        <v>17833520260</v>
      </c>
      <c r="L15" s="10">
        <v>17833520260</v>
      </c>
      <c r="M15" s="10">
        <v>21627886273</v>
      </c>
      <c r="N15" s="8">
        <v>86511545092</v>
      </c>
      <c r="O15" s="8">
        <f t="shared" si="4"/>
        <v>4.5789613497206408E-3</v>
      </c>
      <c r="P15" s="8">
        <f t="shared" si="5"/>
        <v>1.8651393283582699E-3</v>
      </c>
      <c r="Q15" s="8">
        <f t="shared" si="6"/>
        <v>7.1774948598959346E-5</v>
      </c>
      <c r="R15" s="8">
        <f t="shared" si="7"/>
        <v>4.7861357644193676E-3</v>
      </c>
      <c r="S15" s="8">
        <f t="shared" si="8"/>
        <v>1.271506593519066E-4</v>
      </c>
      <c r="T15" s="7">
        <v>182316000</v>
      </c>
      <c r="U15" s="7">
        <v>23647000</v>
      </c>
      <c r="V15" s="7">
        <v>51542000</v>
      </c>
      <c r="W15" s="8">
        <v>151869000</v>
      </c>
      <c r="X15" s="8">
        <v>-149399000</v>
      </c>
      <c r="Y15" s="10">
        <v>17833520260</v>
      </c>
      <c r="Z15" s="10">
        <v>17833520260</v>
      </c>
      <c r="AA15" s="10">
        <v>17833520260</v>
      </c>
      <c r="AB15" s="10">
        <v>21627886273</v>
      </c>
      <c r="AC15" s="8">
        <v>86511545092</v>
      </c>
      <c r="AD15" s="8">
        <f t="shared" si="9"/>
        <v>1.0223219944349899E-2</v>
      </c>
      <c r="AE15" s="8">
        <f t="shared" si="10"/>
        <v>1.3259861011871809E-3</v>
      </c>
      <c r="AF15" s="8">
        <f t="shared" si="11"/>
        <v>2.8901753130371579E-3</v>
      </c>
      <c r="AG15" s="8">
        <f t="shared" si="12"/>
        <v>7.0219067218598927E-3</v>
      </c>
      <c r="AH15" s="8">
        <f t="shared" si="13"/>
        <v>-1.7269255778650451E-3</v>
      </c>
      <c r="AI15" s="70">
        <f t="shared" si="14"/>
        <v>0.44789815485201517</v>
      </c>
      <c r="AJ15" s="70">
        <f t="shared" si="15"/>
        <v>1.4066054890683806</v>
      </c>
      <c r="AK15" s="70">
        <f t="shared" si="16"/>
        <v>2.4834115866671846E-2</v>
      </c>
      <c r="AL15" s="70">
        <f t="shared" si="17"/>
        <v>0.68160058998215567</v>
      </c>
      <c r="AM15" s="70">
        <f t="shared" si="18"/>
        <v>-7.3628337539073205E-2</v>
      </c>
      <c r="AN15" s="75">
        <f t="shared" si="19"/>
        <v>0.55210184514798488</v>
      </c>
      <c r="AO15" s="75">
        <f t="shared" si="20"/>
        <v>-0.40660548906838057</v>
      </c>
      <c r="AP15" s="75">
        <f t="shared" si="21"/>
        <v>0.97516588413332816</v>
      </c>
      <c r="AQ15" s="75">
        <f t="shared" si="22"/>
        <v>0.31839941001784433</v>
      </c>
      <c r="AR15" s="75">
        <f t="shared" si="23"/>
        <v>1.0736283375390732</v>
      </c>
    </row>
    <row r="16" spans="1:44" x14ac:dyDescent="0.25">
      <c r="A16" s="5">
        <v>12</v>
      </c>
      <c r="B16" s="5" t="s">
        <v>115</v>
      </c>
      <c r="C16" s="5" t="s">
        <v>116</v>
      </c>
      <c r="D16" s="6">
        <v>32818</v>
      </c>
      <c r="E16" s="7">
        <v>11567189</v>
      </c>
      <c r="F16" s="7">
        <v>2435568</v>
      </c>
      <c r="G16" s="7">
        <v>6021620</v>
      </c>
      <c r="H16" s="7">
        <v>15982321</v>
      </c>
      <c r="I16" s="7">
        <v>2583966</v>
      </c>
      <c r="J16" s="10">
        <v>383331363</v>
      </c>
      <c r="K16" s="10">
        <v>383331363</v>
      </c>
      <c r="L16" s="10">
        <v>383331363</v>
      </c>
      <c r="M16" s="10">
        <v>383331363</v>
      </c>
      <c r="N16" s="10">
        <v>383331363</v>
      </c>
      <c r="O16" s="8">
        <f t="shared" si="4"/>
        <v>3.0175430753887986E-2</v>
      </c>
      <c r="P16" s="8">
        <f t="shared" si="5"/>
        <v>6.353688310131827E-3</v>
      </c>
      <c r="Q16" s="8">
        <f t="shared" si="6"/>
        <v>1.5708654655528408E-2</v>
      </c>
      <c r="R16" s="8">
        <f t="shared" si="7"/>
        <v>4.1693225607527445E-2</v>
      </c>
      <c r="S16" s="8">
        <f t="shared" si="8"/>
        <v>6.7408155173569765E-3</v>
      </c>
      <c r="T16" s="7">
        <v>17280630</v>
      </c>
      <c r="U16" s="7">
        <v>11388329</v>
      </c>
      <c r="V16" s="7">
        <v>27294821</v>
      </c>
      <c r="W16" s="7">
        <v>58052717</v>
      </c>
      <c r="X16" s="7">
        <v>37901615</v>
      </c>
      <c r="Y16" s="10">
        <v>383331363</v>
      </c>
      <c r="Z16" s="10">
        <v>383331363</v>
      </c>
      <c r="AA16" s="10">
        <v>383331363</v>
      </c>
      <c r="AB16" s="10">
        <v>383331363</v>
      </c>
      <c r="AC16" s="10">
        <v>383331363</v>
      </c>
      <c r="AD16" s="8">
        <f t="shared" si="9"/>
        <v>4.5080136059725433E-2</v>
      </c>
      <c r="AE16" s="8">
        <f t="shared" si="10"/>
        <v>2.9708837051248532E-2</v>
      </c>
      <c r="AF16" s="8">
        <f t="shared" si="11"/>
        <v>7.1204246859394069E-2</v>
      </c>
      <c r="AG16" s="8">
        <f t="shared" si="12"/>
        <v>0.1514426488499977</v>
      </c>
      <c r="AH16" s="8">
        <f t="shared" si="13"/>
        <v>9.8874286474702047E-2</v>
      </c>
      <c r="AI16" s="70">
        <f t="shared" si="14"/>
        <v>0.66937310734620203</v>
      </c>
      <c r="AJ16" s="70">
        <f t="shared" si="15"/>
        <v>0.2138652650445908</v>
      </c>
      <c r="AK16" s="70">
        <f t="shared" si="16"/>
        <v>0.22061401318587145</v>
      </c>
      <c r="AL16" s="70">
        <f t="shared" si="17"/>
        <v>0.27530702826536091</v>
      </c>
      <c r="AM16" s="70">
        <f t="shared" si="18"/>
        <v>6.8175617318681533E-2</v>
      </c>
      <c r="AN16" s="75">
        <f t="shared" si="19"/>
        <v>0.33062689265379797</v>
      </c>
      <c r="AO16" s="75">
        <f t="shared" si="20"/>
        <v>0.7861347349554092</v>
      </c>
      <c r="AP16" s="75">
        <f t="shared" si="21"/>
        <v>0.77938598681412852</v>
      </c>
      <c r="AQ16" s="75">
        <f t="shared" si="22"/>
        <v>0.72469297173463909</v>
      </c>
      <c r="AR16" s="75">
        <f t="shared" si="23"/>
        <v>0.93182438268131851</v>
      </c>
    </row>
    <row r="17" spans="1:44" x14ac:dyDescent="0.25">
      <c r="A17" s="5">
        <v>13</v>
      </c>
      <c r="B17" s="5" t="s">
        <v>129</v>
      </c>
      <c r="C17" s="5" t="s">
        <v>130</v>
      </c>
      <c r="D17" s="6">
        <v>33182</v>
      </c>
      <c r="E17" s="7">
        <v>4858213700</v>
      </c>
      <c r="F17" s="7">
        <v>6638247950</v>
      </c>
      <c r="G17" s="7">
        <v>6638247950</v>
      </c>
      <c r="H17" s="9">
        <v>6638247950</v>
      </c>
      <c r="I17" s="9">
        <v>8506860675</v>
      </c>
      <c r="J17" s="10">
        <v>972204500</v>
      </c>
      <c r="K17" s="10">
        <v>972204500</v>
      </c>
      <c r="L17" s="10">
        <v>972204500</v>
      </c>
      <c r="M17" s="10">
        <v>972204500</v>
      </c>
      <c r="N17" s="10">
        <v>972204500</v>
      </c>
      <c r="O17" s="8">
        <f t="shared" si="4"/>
        <v>4.9971108959071886</v>
      </c>
      <c r="P17" s="8">
        <f t="shared" si="5"/>
        <v>6.828036642496512</v>
      </c>
      <c r="Q17" s="8">
        <f t="shared" si="6"/>
        <v>6.828036642496512</v>
      </c>
      <c r="R17" s="8">
        <f t="shared" si="7"/>
        <v>6.828036642496512</v>
      </c>
      <c r="S17" s="8">
        <f t="shared" si="8"/>
        <v>8.7500733384797122</v>
      </c>
      <c r="T17" s="7">
        <v>44672438405</v>
      </c>
      <c r="U17" s="7">
        <v>60836752751</v>
      </c>
      <c r="V17" s="7">
        <v>60770710445</v>
      </c>
      <c r="W17" s="8">
        <v>104034299846</v>
      </c>
      <c r="X17" s="8">
        <v>102314374301</v>
      </c>
      <c r="Y17" s="10">
        <v>972204500</v>
      </c>
      <c r="Z17" s="10">
        <v>972204500</v>
      </c>
      <c r="AA17" s="10">
        <v>972204500</v>
      </c>
      <c r="AB17" s="10">
        <v>972204500</v>
      </c>
      <c r="AC17" s="10">
        <v>972204500</v>
      </c>
      <c r="AD17" s="8">
        <f t="shared" si="9"/>
        <v>45.949631384137803</v>
      </c>
      <c r="AE17" s="8">
        <f t="shared" si="10"/>
        <v>62.57608635940278</v>
      </c>
      <c r="AF17" s="8">
        <f t="shared" si="11"/>
        <v>62.508155892098834</v>
      </c>
      <c r="AG17" s="8">
        <f t="shared" si="12"/>
        <v>107.00865902801314</v>
      </c>
      <c r="AH17" s="8">
        <f t="shared" si="13"/>
        <v>105.23956050501721</v>
      </c>
      <c r="AI17" s="70">
        <f t="shared" si="14"/>
        <v>0.10875192564944565</v>
      </c>
      <c r="AJ17" s="70">
        <f t="shared" si="15"/>
        <v>0.10911575075628743</v>
      </c>
      <c r="AK17" s="70">
        <f t="shared" si="16"/>
        <v>0.10923433182516253</v>
      </c>
      <c r="AL17" s="70">
        <f t="shared" si="17"/>
        <v>6.380826285010302E-2</v>
      </c>
      <c r="AM17" s="70">
        <f t="shared" si="18"/>
        <v>8.3144335613816622E-2</v>
      </c>
      <c r="AN17" s="75">
        <f t="shared" si="19"/>
        <v>0.89124807435055431</v>
      </c>
      <c r="AO17" s="75">
        <f t="shared" si="20"/>
        <v>0.89088424924371257</v>
      </c>
      <c r="AP17" s="75">
        <f t="shared" si="21"/>
        <v>0.89076566817483749</v>
      </c>
      <c r="AQ17" s="75">
        <f t="shared" si="22"/>
        <v>0.93619173714989701</v>
      </c>
      <c r="AR17" s="75">
        <f t="shared" si="23"/>
        <v>0.91685566438618338</v>
      </c>
    </row>
    <row r="18" spans="1:44" x14ac:dyDescent="0.25">
      <c r="A18" s="5">
        <v>14</v>
      </c>
      <c r="B18" s="5" t="s">
        <v>131</v>
      </c>
      <c r="C18" s="5" t="s">
        <v>132</v>
      </c>
      <c r="D18" s="6">
        <v>41990</v>
      </c>
      <c r="E18" s="7">
        <f>38668000000+4930000000</f>
        <v>43598000000</v>
      </c>
      <c r="F18" s="7">
        <v>77790000000</v>
      </c>
      <c r="G18" s="7">
        <v>53280000000</v>
      </c>
      <c r="H18" s="17">
        <v>29001000000</v>
      </c>
      <c r="I18" s="17">
        <v>106337000000</v>
      </c>
      <c r="J18" s="10">
        <v>4833500000</v>
      </c>
      <c r="K18" s="10">
        <v>4833500000</v>
      </c>
      <c r="L18" s="10">
        <v>4833500000</v>
      </c>
      <c r="M18" s="10">
        <v>4833500000</v>
      </c>
      <c r="N18" s="17">
        <v>4933500000</v>
      </c>
      <c r="O18" s="8">
        <f t="shared" si="4"/>
        <v>9.0199648287990062</v>
      </c>
      <c r="P18" s="8">
        <f t="shared" si="5"/>
        <v>16.093927795593256</v>
      </c>
      <c r="Q18" s="8">
        <f t="shared" si="6"/>
        <v>11.023068170063102</v>
      </c>
      <c r="R18" s="8">
        <f t="shared" si="7"/>
        <v>6</v>
      </c>
      <c r="S18" s="8">
        <f t="shared" si="8"/>
        <v>21.55406911928651</v>
      </c>
      <c r="T18" s="7">
        <v>105523929164</v>
      </c>
      <c r="U18" s="7">
        <v>93145200039</v>
      </c>
      <c r="V18" s="7">
        <v>115805324362</v>
      </c>
      <c r="W18" s="8">
        <v>206588977295</v>
      </c>
      <c r="X18" s="8">
        <v>312502049594</v>
      </c>
      <c r="Y18" s="10">
        <v>4833500000</v>
      </c>
      <c r="Z18" s="10">
        <v>4833500000</v>
      </c>
      <c r="AA18" s="10">
        <v>4833500000</v>
      </c>
      <c r="AB18" s="10">
        <v>4833500000</v>
      </c>
      <c r="AC18" s="17">
        <v>4933500000</v>
      </c>
      <c r="AD18" s="8">
        <f t="shared" si="9"/>
        <v>21.831784248267301</v>
      </c>
      <c r="AE18" s="8">
        <f t="shared" si="10"/>
        <v>19.27075618889004</v>
      </c>
      <c r="AF18" s="8">
        <f t="shared" si="11"/>
        <v>23.958896112961622</v>
      </c>
      <c r="AG18" s="8">
        <f t="shared" si="12"/>
        <v>42.741073196441505</v>
      </c>
      <c r="AH18" s="8">
        <f t="shared" si="13"/>
        <v>63.34287009101044</v>
      </c>
      <c r="AI18" s="70">
        <f t="shared" si="14"/>
        <v>0.41315747381091328</v>
      </c>
      <c r="AJ18" s="70">
        <f t="shared" si="15"/>
        <v>0.83514770452400378</v>
      </c>
      <c r="AK18" s="70">
        <f t="shared" si="16"/>
        <v>0.46008247283561976</v>
      </c>
      <c r="AL18" s="70">
        <f t="shared" si="17"/>
        <v>0.1403801905587046</v>
      </c>
      <c r="AM18" s="70">
        <f t="shared" si="18"/>
        <v>0.34027616823042317</v>
      </c>
      <c r="AN18" s="75">
        <f t="shared" si="19"/>
        <v>0.58684252618908672</v>
      </c>
      <c r="AO18" s="75">
        <f t="shared" si="20"/>
        <v>0.16485229547599622</v>
      </c>
      <c r="AP18" s="75">
        <f t="shared" si="21"/>
        <v>0.53991752716438024</v>
      </c>
      <c r="AQ18" s="75">
        <f t="shared" si="22"/>
        <v>0.85961980944129546</v>
      </c>
      <c r="AR18" s="75">
        <f t="shared" si="23"/>
        <v>0.65972383176957683</v>
      </c>
    </row>
    <row r="19" spans="1:44" x14ac:dyDescent="0.25">
      <c r="A19" s="5">
        <v>15</v>
      </c>
      <c r="B19" s="36" t="s">
        <v>135</v>
      </c>
      <c r="C19" s="5" t="s">
        <v>136</v>
      </c>
      <c r="D19" s="6">
        <v>43082</v>
      </c>
      <c r="E19" s="7">
        <v>81867571000</v>
      </c>
      <c r="F19" s="7">
        <v>94992476000</v>
      </c>
      <c r="G19" s="7">
        <v>112236000000</v>
      </c>
      <c r="H19" s="9">
        <v>189773757000</v>
      </c>
      <c r="I19" s="9">
        <v>207632399000</v>
      </c>
      <c r="J19" s="10">
        <v>1875000000</v>
      </c>
      <c r="K19" s="10">
        <v>1875000000</v>
      </c>
      <c r="L19" s="10">
        <v>1875000000</v>
      </c>
      <c r="M19" s="10">
        <v>1875000000</v>
      </c>
      <c r="N19" s="10">
        <v>1875000000</v>
      </c>
      <c r="O19" s="8">
        <f t="shared" si="4"/>
        <v>43.662704533333333</v>
      </c>
      <c r="P19" s="8">
        <f t="shared" si="5"/>
        <v>50.662653866666666</v>
      </c>
      <c r="Q19" s="8">
        <f t="shared" si="6"/>
        <v>59.859200000000001</v>
      </c>
      <c r="R19" s="8">
        <f t="shared" si="7"/>
        <v>101.21267039999999</v>
      </c>
      <c r="S19" s="8">
        <f t="shared" si="8"/>
        <v>110.73727946666666</v>
      </c>
      <c r="T19" s="7">
        <v>297628915000</v>
      </c>
      <c r="U19" s="7">
        <v>223626619000</v>
      </c>
      <c r="V19" s="7">
        <v>373653845000</v>
      </c>
      <c r="W19" s="8">
        <v>416209347000</v>
      </c>
      <c r="X19" s="8">
        <v>354901190000</v>
      </c>
      <c r="Y19" s="10">
        <v>1875000000</v>
      </c>
      <c r="Z19" s="10">
        <v>1875000000</v>
      </c>
      <c r="AA19" s="10">
        <v>1875000000</v>
      </c>
      <c r="AB19" s="10">
        <v>1875000000</v>
      </c>
      <c r="AC19" s="10">
        <v>1875000000</v>
      </c>
      <c r="AD19" s="8">
        <f t="shared" si="9"/>
        <v>158.73542133333333</v>
      </c>
      <c r="AE19" s="8">
        <f t="shared" si="10"/>
        <v>119.26753013333334</v>
      </c>
      <c r="AF19" s="8">
        <f t="shared" si="11"/>
        <v>199.28205066666666</v>
      </c>
      <c r="AG19" s="8">
        <f t="shared" si="12"/>
        <v>221.97831840000001</v>
      </c>
      <c r="AH19" s="8">
        <f t="shared" si="13"/>
        <v>189.28063466666666</v>
      </c>
      <c r="AI19" s="70">
        <f t="shared" si="14"/>
        <v>0.27506591891449794</v>
      </c>
      <c r="AJ19" s="70">
        <f t="shared" si="15"/>
        <v>0.42478161331947695</v>
      </c>
      <c r="AK19" s="70">
        <f t="shared" si="16"/>
        <v>0.30037426752560248</v>
      </c>
      <c r="AL19" s="70">
        <f t="shared" si="17"/>
        <v>0.45595746075351828</v>
      </c>
      <c r="AM19" s="70">
        <f t="shared" si="18"/>
        <v>0.58504283685270264</v>
      </c>
      <c r="AN19" s="75">
        <f t="shared" si="19"/>
        <v>0.72493408108550206</v>
      </c>
      <c r="AO19" s="75">
        <f t="shared" si="20"/>
        <v>0.57521838668052305</v>
      </c>
      <c r="AP19" s="75">
        <f t="shared" si="21"/>
        <v>0.69962573247439752</v>
      </c>
      <c r="AQ19" s="75">
        <f t="shared" si="22"/>
        <v>0.54404253924648172</v>
      </c>
      <c r="AR19" s="75">
        <f t="shared" si="23"/>
        <v>0.41495716314729736</v>
      </c>
    </row>
    <row r="20" spans="1:44" x14ac:dyDescent="0.25">
      <c r="A20" s="5">
        <v>16</v>
      </c>
      <c r="B20" s="36" t="s">
        <v>147</v>
      </c>
      <c r="C20" s="5" t="s">
        <v>148</v>
      </c>
      <c r="D20" s="6">
        <v>33315</v>
      </c>
      <c r="E20" s="7">
        <v>918288000000</v>
      </c>
      <c r="F20" s="7">
        <v>1934964000000</v>
      </c>
      <c r="G20" s="9">
        <v>1328238000000</v>
      </c>
      <c r="H20" s="9">
        <v>1836576000000</v>
      </c>
      <c r="I20" s="9">
        <v>1770984000000</v>
      </c>
      <c r="J20" s="10">
        <v>16398000000</v>
      </c>
      <c r="K20" s="10">
        <v>16398000000</v>
      </c>
      <c r="L20" s="10">
        <v>16398000000</v>
      </c>
      <c r="M20" s="10">
        <v>16398000000</v>
      </c>
      <c r="N20" s="10">
        <v>16398000000</v>
      </c>
      <c r="O20" s="8">
        <f t="shared" si="4"/>
        <v>56</v>
      </c>
      <c r="P20" s="8">
        <f t="shared" si="5"/>
        <v>118</v>
      </c>
      <c r="Q20" s="8">
        <f t="shared" si="6"/>
        <v>81</v>
      </c>
      <c r="R20" s="8">
        <f t="shared" si="7"/>
        <v>112</v>
      </c>
      <c r="S20" s="8">
        <f t="shared" si="8"/>
        <v>108</v>
      </c>
      <c r="T20" s="7">
        <v>4551485000000</v>
      </c>
      <c r="U20" s="7">
        <v>3642226000000</v>
      </c>
      <c r="V20" s="7">
        <v>3845833000000</v>
      </c>
      <c r="W20" s="17">
        <v>3619010000000</v>
      </c>
      <c r="X20" s="17">
        <v>2930357000000</v>
      </c>
      <c r="Y20" s="10">
        <v>16398000000</v>
      </c>
      <c r="Z20" s="10">
        <v>16398000000</v>
      </c>
      <c r="AA20" s="10">
        <v>16398000000</v>
      </c>
      <c r="AB20" s="10">
        <v>16398000000</v>
      </c>
      <c r="AC20" s="10">
        <v>16398000000</v>
      </c>
      <c r="AD20" s="8">
        <f t="shared" si="9"/>
        <v>277.56342236858154</v>
      </c>
      <c r="AE20" s="8">
        <f t="shared" si="10"/>
        <v>222.11403829735335</v>
      </c>
      <c r="AF20" s="8">
        <f t="shared" si="11"/>
        <v>234.53061348944993</v>
      </c>
      <c r="AG20" s="8">
        <f t="shared" si="12"/>
        <v>220.69825588486401</v>
      </c>
      <c r="AH20" s="8">
        <f t="shared" si="13"/>
        <v>178.70209781680694</v>
      </c>
      <c r="AI20" s="70">
        <f t="shared" si="14"/>
        <v>0.20175569072511498</v>
      </c>
      <c r="AJ20" s="70">
        <f t="shared" si="15"/>
        <v>0.53125863139739271</v>
      </c>
      <c r="AK20" s="70">
        <f t="shared" si="16"/>
        <v>0.34537069082302846</v>
      </c>
      <c r="AL20" s="70">
        <f t="shared" si="17"/>
        <v>0.50748022249178637</v>
      </c>
      <c r="AM20" s="70">
        <f t="shared" si="18"/>
        <v>0.60435776255248075</v>
      </c>
      <c r="AN20" s="75">
        <f t="shared" si="19"/>
        <v>0.79824430927488499</v>
      </c>
      <c r="AO20" s="75">
        <f t="shared" si="20"/>
        <v>0.46874136860260729</v>
      </c>
      <c r="AP20" s="75">
        <f t="shared" si="21"/>
        <v>0.65462930917697149</v>
      </c>
      <c r="AQ20" s="75">
        <f t="shared" si="22"/>
        <v>0.49251977750821363</v>
      </c>
      <c r="AR20" s="75">
        <f t="shared" si="23"/>
        <v>0.39564223744751925</v>
      </c>
    </row>
    <row r="21" spans="1:44" x14ac:dyDescent="0.25">
      <c r="A21" s="5">
        <v>17</v>
      </c>
      <c r="B21" s="5" t="s">
        <v>168</v>
      </c>
      <c r="C21" s="5" t="s">
        <v>169</v>
      </c>
      <c r="D21" s="6">
        <v>40736</v>
      </c>
      <c r="E21" s="7">
        <v>880000000</v>
      </c>
      <c r="F21" s="7">
        <v>1210000000</v>
      </c>
      <c r="G21" s="7">
        <v>1204787320</v>
      </c>
      <c r="H21" s="8">
        <v>1626420150</v>
      </c>
      <c r="I21" s="8">
        <v>2081817792</v>
      </c>
      <c r="J21" s="9">
        <v>550000000</v>
      </c>
      <c r="K21" s="9">
        <v>1100000000</v>
      </c>
      <c r="L21" s="9">
        <v>1100000000</v>
      </c>
      <c r="M21" s="9">
        <v>1316856020</v>
      </c>
      <c r="N21" s="8">
        <v>1316856309</v>
      </c>
      <c r="O21" s="8">
        <f t="shared" si="4"/>
        <v>1.6</v>
      </c>
      <c r="P21" s="8">
        <f t="shared" si="5"/>
        <v>1.1000000000000001</v>
      </c>
      <c r="Q21" s="8">
        <f t="shared" si="6"/>
        <v>1.0952611999999999</v>
      </c>
      <c r="R21" s="8">
        <f t="shared" si="7"/>
        <v>1.2350781902489234</v>
      </c>
      <c r="S21" s="8">
        <f t="shared" si="8"/>
        <v>1.5808997365710309</v>
      </c>
      <c r="T21" s="7">
        <v>42506275523</v>
      </c>
      <c r="U21" s="7">
        <v>78421735355</v>
      </c>
      <c r="V21" s="7">
        <v>65331041553</v>
      </c>
      <c r="W21" s="8">
        <v>100771009640</v>
      </c>
      <c r="X21" s="35">
        <v>65764485236</v>
      </c>
      <c r="Y21" s="9">
        <v>550000000</v>
      </c>
      <c r="Z21" s="9">
        <v>1100000000</v>
      </c>
      <c r="AA21" s="9">
        <v>1100000000</v>
      </c>
      <c r="AB21" s="9">
        <v>1316856020</v>
      </c>
      <c r="AC21" s="8">
        <v>1316856309</v>
      </c>
      <c r="AD21" s="8">
        <f t="shared" si="9"/>
        <v>77.284137314545461</v>
      </c>
      <c r="AE21" s="8">
        <f t="shared" si="10"/>
        <v>71.292486686363631</v>
      </c>
      <c r="AF21" s="8">
        <f t="shared" si="11"/>
        <v>59.391855957272725</v>
      </c>
      <c r="AG21" s="8">
        <f t="shared" si="12"/>
        <v>76.523938919305692</v>
      </c>
      <c r="AH21" s="8">
        <f t="shared" si="13"/>
        <v>49.94051726565408</v>
      </c>
      <c r="AI21" s="70">
        <f t="shared" si="14"/>
        <v>2.0702825386896929E-2</v>
      </c>
      <c r="AJ21" s="70">
        <f t="shared" si="15"/>
        <v>1.542939587504108E-2</v>
      </c>
      <c r="AK21" s="70">
        <f t="shared" si="16"/>
        <v>1.8441269132723266E-2</v>
      </c>
      <c r="AL21" s="70">
        <f t="shared" si="17"/>
        <v>1.6139762376206356E-2</v>
      </c>
      <c r="AM21" s="70">
        <f t="shared" si="18"/>
        <v>3.1655654028603215E-2</v>
      </c>
      <c r="AN21" s="75">
        <f t="shared" si="19"/>
        <v>0.97929717461310306</v>
      </c>
      <c r="AO21" s="75">
        <f t="shared" si="20"/>
        <v>0.98457060412495889</v>
      </c>
      <c r="AP21" s="75">
        <f t="shared" si="21"/>
        <v>0.98155873086727674</v>
      </c>
      <c r="AQ21" s="75">
        <f t="shared" si="22"/>
        <v>0.9838602376237936</v>
      </c>
      <c r="AR21" s="75">
        <f t="shared" si="23"/>
        <v>0.96834434597139674</v>
      </c>
    </row>
    <row r="22" spans="1:44" x14ac:dyDescent="0.25">
      <c r="A22" s="5">
        <v>18</v>
      </c>
      <c r="B22" s="5" t="s">
        <v>170</v>
      </c>
      <c r="C22" s="5" t="s">
        <v>171</v>
      </c>
      <c r="D22" s="6">
        <v>34669</v>
      </c>
      <c r="E22" s="7">
        <v>401417983494</v>
      </c>
      <c r="F22" s="7">
        <v>569914421010</v>
      </c>
      <c r="G22" s="9">
        <v>455931536808</v>
      </c>
      <c r="H22" s="9">
        <v>173452000000</v>
      </c>
      <c r="I22" s="9">
        <v>294869000000</v>
      </c>
      <c r="J22" s="9">
        <v>2477888787</v>
      </c>
      <c r="K22" s="9">
        <v>2477888787</v>
      </c>
      <c r="L22" s="9">
        <v>2477888787</v>
      </c>
      <c r="M22" s="9">
        <v>2477888787</v>
      </c>
      <c r="N22" s="9">
        <v>2477888787</v>
      </c>
      <c r="O22" s="8">
        <f t="shared" si="4"/>
        <v>162</v>
      </c>
      <c r="P22" s="8">
        <f t="shared" si="5"/>
        <v>230</v>
      </c>
      <c r="Q22" s="8">
        <f t="shared" si="6"/>
        <v>184</v>
      </c>
      <c r="R22" s="8">
        <f t="shared" si="7"/>
        <v>69.999913196265652</v>
      </c>
      <c r="S22" s="8">
        <f t="shared" si="8"/>
        <v>119.00009457526957</v>
      </c>
      <c r="T22" s="7">
        <v>1405367771073</v>
      </c>
      <c r="U22" s="7">
        <v>968833390696</v>
      </c>
      <c r="V22" s="9">
        <v>353299343980</v>
      </c>
      <c r="W22" s="8">
        <v>617427000000</v>
      </c>
      <c r="X22" s="8">
        <v>119926000000</v>
      </c>
      <c r="Y22" s="9">
        <v>2477888787</v>
      </c>
      <c r="Z22" s="9">
        <v>2477888787</v>
      </c>
      <c r="AA22" s="9">
        <v>2477888787</v>
      </c>
      <c r="AB22" s="9">
        <v>2477888787</v>
      </c>
      <c r="AC22" s="9">
        <v>2477888787</v>
      </c>
      <c r="AD22" s="8">
        <f t="shared" si="9"/>
        <v>567.16337651880258</v>
      </c>
      <c r="AE22" s="8">
        <f t="shared" si="10"/>
        <v>390.99147458872619</v>
      </c>
      <c r="AF22" s="8">
        <f t="shared" si="11"/>
        <v>142.58079129037199</v>
      </c>
      <c r="AG22" s="8">
        <f t="shared" si="12"/>
        <v>249.17462124986</v>
      </c>
      <c r="AH22" s="8">
        <f t="shared" si="13"/>
        <v>48.398459458382462</v>
      </c>
      <c r="AI22" s="70">
        <f t="shared" si="14"/>
        <v>0.28563198314098015</v>
      </c>
      <c r="AJ22" s="70">
        <f t="shared" si="15"/>
        <v>0.58824812035078522</v>
      </c>
      <c r="AK22" s="70">
        <f t="shared" si="16"/>
        <v>1.2904964149432723</v>
      </c>
      <c r="AL22" s="70">
        <f t="shared" si="17"/>
        <v>0.28092713794505259</v>
      </c>
      <c r="AM22" s="70">
        <f t="shared" si="18"/>
        <v>2.458757900705435</v>
      </c>
      <c r="AN22" s="75">
        <f t="shared" si="19"/>
        <v>0.71436801685901985</v>
      </c>
      <c r="AO22" s="75">
        <f t="shared" si="20"/>
        <v>0.41175187964921478</v>
      </c>
      <c r="AP22" s="75">
        <f t="shared" si="21"/>
        <v>-0.29049641494327227</v>
      </c>
      <c r="AQ22" s="75">
        <f t="shared" si="22"/>
        <v>0.71907286205494736</v>
      </c>
      <c r="AR22" s="75">
        <f t="shared" si="23"/>
        <v>-1.458757900705435</v>
      </c>
    </row>
    <row r="23" spans="1:44" x14ac:dyDescent="0.25">
      <c r="A23" s="5">
        <v>19</v>
      </c>
      <c r="B23" s="5" t="s">
        <v>172</v>
      </c>
      <c r="C23" s="5" t="s">
        <v>173</v>
      </c>
      <c r="D23" s="6">
        <v>33070</v>
      </c>
      <c r="E23" s="7">
        <v>39216000</v>
      </c>
      <c r="F23" s="7">
        <v>38033000</v>
      </c>
      <c r="G23" s="9">
        <v>18691000</v>
      </c>
      <c r="H23" s="7">
        <v>18691000</v>
      </c>
      <c r="I23" s="7">
        <v>18877000</v>
      </c>
      <c r="J23" s="9">
        <v>5470982941</v>
      </c>
      <c r="K23" s="9">
        <v>5470982941</v>
      </c>
      <c r="L23" s="9">
        <v>5470982941</v>
      </c>
      <c r="M23" s="9">
        <v>5470982941</v>
      </c>
      <c r="N23" s="9">
        <v>5470982941</v>
      </c>
      <c r="O23" s="8">
        <f t="shared" si="4"/>
        <v>7.1679989542851692E-3</v>
      </c>
      <c r="P23" s="8">
        <f t="shared" si="5"/>
        <v>6.9517672436844105E-3</v>
      </c>
      <c r="Q23" s="8">
        <f t="shared" si="6"/>
        <v>3.4163879144875585E-3</v>
      </c>
      <c r="R23" s="8">
        <f t="shared" si="7"/>
        <v>3.4163879144875585E-3</v>
      </c>
      <c r="S23" s="8">
        <f t="shared" si="8"/>
        <v>3.4503854615473566E-3</v>
      </c>
      <c r="T23" s="7">
        <v>274390000</v>
      </c>
      <c r="U23" s="9">
        <v>294041000</v>
      </c>
      <c r="V23" s="9">
        <v>593101000</v>
      </c>
      <c r="W23" s="17">
        <v>527039000</v>
      </c>
      <c r="X23" s="17">
        <v>857462000</v>
      </c>
      <c r="Y23" s="9">
        <v>5470982941</v>
      </c>
      <c r="Z23" s="9">
        <v>5470982941</v>
      </c>
      <c r="AA23" s="9">
        <v>5470982941</v>
      </c>
      <c r="AB23" s="9">
        <v>5470982941</v>
      </c>
      <c r="AC23" s="9">
        <v>5470982941</v>
      </c>
      <c r="AD23" s="8">
        <f t="shared" si="9"/>
        <v>5.0153693213645135E-2</v>
      </c>
      <c r="AE23" s="8">
        <f t="shared" si="10"/>
        <v>5.3745552338763908E-2</v>
      </c>
      <c r="AF23" s="8">
        <f t="shared" si="11"/>
        <v>0.10840849010060914</v>
      </c>
      <c r="AG23" s="8">
        <f t="shared" si="12"/>
        <v>9.6333511854026457E-2</v>
      </c>
      <c r="AH23" s="8">
        <f t="shared" si="13"/>
        <v>0.1567290575106913</v>
      </c>
      <c r="AI23" s="70">
        <f t="shared" si="14"/>
        <v>0.14292066037392032</v>
      </c>
      <c r="AJ23" s="70">
        <f t="shared" si="15"/>
        <v>0.12934590754350583</v>
      </c>
      <c r="AK23" s="70">
        <f t="shared" si="16"/>
        <v>3.1514025435802673E-2</v>
      </c>
      <c r="AL23" s="70">
        <f t="shared" si="17"/>
        <v>3.5464168685808824E-2</v>
      </c>
      <c r="AM23" s="70">
        <f t="shared" si="18"/>
        <v>2.2014969759592842E-2</v>
      </c>
      <c r="AN23" s="75">
        <f t="shared" si="19"/>
        <v>0.85707933962607963</v>
      </c>
      <c r="AO23" s="75">
        <f t="shared" si="20"/>
        <v>0.87065409245649417</v>
      </c>
      <c r="AP23" s="75">
        <f t="shared" si="21"/>
        <v>0.96848597456419738</v>
      </c>
      <c r="AQ23" s="75">
        <f t="shared" si="22"/>
        <v>0.96453583131419118</v>
      </c>
      <c r="AR23" s="75">
        <f t="shared" si="23"/>
        <v>0.97798503024040717</v>
      </c>
    </row>
    <row r="24" spans="1:44" x14ac:dyDescent="0.25">
      <c r="A24" s="5">
        <v>20</v>
      </c>
      <c r="B24" s="5" t="s">
        <v>184</v>
      </c>
      <c r="C24" s="5" t="s">
        <v>185</v>
      </c>
      <c r="D24" s="6">
        <v>32966</v>
      </c>
      <c r="E24" s="7">
        <v>6695000</v>
      </c>
      <c r="F24" s="7">
        <v>10821000</v>
      </c>
      <c r="G24" s="9">
        <v>5318000</v>
      </c>
      <c r="H24" s="9">
        <v>5371000</v>
      </c>
      <c r="I24" s="9">
        <v>5351000</v>
      </c>
      <c r="J24" s="9">
        <v>3113223570</v>
      </c>
      <c r="K24" s="9">
        <v>3113223570</v>
      </c>
      <c r="L24" s="9">
        <v>3113223570</v>
      </c>
      <c r="M24" s="9">
        <v>3113223570</v>
      </c>
      <c r="N24" s="9">
        <v>3113223570</v>
      </c>
      <c r="O24" s="8">
        <f t="shared" si="4"/>
        <v>2.150504083457135E-3</v>
      </c>
      <c r="P24" s="8">
        <f t="shared" si="5"/>
        <v>3.4758184745466258E-3</v>
      </c>
      <c r="Q24" s="8">
        <f t="shared" si="6"/>
        <v>1.7081972689805892E-3</v>
      </c>
      <c r="R24" s="8">
        <f t="shared" si="7"/>
        <v>1.7252214237861497E-3</v>
      </c>
      <c r="S24" s="8">
        <f t="shared" si="8"/>
        <v>1.7187972144255608E-3</v>
      </c>
      <c r="T24" s="7">
        <v>245709000</v>
      </c>
      <c r="U24" s="7">
        <v>166516000</v>
      </c>
      <c r="V24" s="9">
        <v>148334000</v>
      </c>
      <c r="W24" s="17">
        <v>248362000</v>
      </c>
      <c r="X24" s="8">
        <v>463345000</v>
      </c>
      <c r="Y24" s="9">
        <v>3113223570</v>
      </c>
      <c r="Z24" s="9">
        <v>3113223570</v>
      </c>
      <c r="AA24" s="9">
        <v>3113223570</v>
      </c>
      <c r="AB24" s="9">
        <v>3113223570</v>
      </c>
      <c r="AC24" s="9">
        <v>3113223570</v>
      </c>
      <c r="AD24" s="8">
        <f t="shared" si="9"/>
        <v>7.8924302889046935E-2</v>
      </c>
      <c r="AE24" s="8">
        <f t="shared" si="10"/>
        <v>5.3486682294391082E-2</v>
      </c>
      <c r="AF24" s="8">
        <f t="shared" si="11"/>
        <v>4.7646433564679715E-2</v>
      </c>
      <c r="AG24" s="8">
        <f t="shared" si="12"/>
        <v>7.9776474260729049E-2</v>
      </c>
      <c r="AH24" s="8">
        <f t="shared" si="13"/>
        <v>0.14883126430910326</v>
      </c>
      <c r="AI24" s="70">
        <f t="shared" si="14"/>
        <v>2.724767916519134E-2</v>
      </c>
      <c r="AJ24" s="70">
        <f t="shared" si="15"/>
        <v>6.498474621057436E-2</v>
      </c>
      <c r="AK24" s="70">
        <f t="shared" si="16"/>
        <v>3.5851524262812302E-2</v>
      </c>
      <c r="AL24" s="70">
        <f t="shared" si="17"/>
        <v>2.1625691530910526E-2</v>
      </c>
      <c r="AM24" s="70">
        <f t="shared" si="18"/>
        <v>1.1548630070465851E-2</v>
      </c>
      <c r="AN24" s="75">
        <f t="shared" si="19"/>
        <v>0.97275232083480867</v>
      </c>
      <c r="AO24" s="75">
        <f t="shared" si="20"/>
        <v>0.93501525378942563</v>
      </c>
      <c r="AP24" s="75">
        <f t="shared" si="21"/>
        <v>0.96414847573718765</v>
      </c>
      <c r="AQ24" s="75">
        <f t="shared" si="22"/>
        <v>0.97837430846908946</v>
      </c>
      <c r="AR24" s="75">
        <f t="shared" si="23"/>
        <v>0.9884513699295342</v>
      </c>
    </row>
    <row r="25" spans="1:44" x14ac:dyDescent="0.25">
      <c r="A25" s="5">
        <v>21</v>
      </c>
      <c r="B25" s="5" t="s">
        <v>208</v>
      </c>
      <c r="C25" s="5" t="s">
        <v>209</v>
      </c>
      <c r="D25" s="6">
        <v>32967</v>
      </c>
      <c r="E25" s="7">
        <v>10202000000000</v>
      </c>
      <c r="F25" s="7">
        <v>11235000000000</v>
      </c>
      <c r="G25" s="9">
        <v>9423000000000</v>
      </c>
      <c r="H25" s="9">
        <v>7123000000000</v>
      </c>
      <c r="I25" s="9">
        <v>15302000000000</v>
      </c>
      <c r="J25" s="9">
        <v>40483553140</v>
      </c>
      <c r="K25" s="9">
        <v>40483553140</v>
      </c>
      <c r="L25" s="9">
        <v>40483553140</v>
      </c>
      <c r="M25" s="9">
        <v>40483553140</v>
      </c>
      <c r="N25" s="9">
        <v>40483553140</v>
      </c>
      <c r="O25" s="8">
        <f t="shared" si="4"/>
        <v>252.00357203626618</v>
      </c>
      <c r="P25" s="8">
        <f t="shared" si="5"/>
        <v>277.52010702092241</v>
      </c>
      <c r="Q25" s="8">
        <f t="shared" si="6"/>
        <v>232.76118989391651</v>
      </c>
      <c r="R25" s="8">
        <f t="shared" si="7"/>
        <v>175.94799486515623</v>
      </c>
      <c r="S25" s="8">
        <f t="shared" si="8"/>
        <v>377.98065666525633</v>
      </c>
      <c r="T25" s="7">
        <v>27372000000000</v>
      </c>
      <c r="U25" s="7">
        <v>26621000000000</v>
      </c>
      <c r="V25" s="9">
        <v>18571000000000</v>
      </c>
      <c r="W25" s="8">
        <v>25586000000000</v>
      </c>
      <c r="X25" s="8">
        <v>40420000000000</v>
      </c>
      <c r="Y25" s="9">
        <v>40483553140</v>
      </c>
      <c r="Z25" s="9">
        <v>40483553140</v>
      </c>
      <c r="AA25" s="9">
        <v>40483553140</v>
      </c>
      <c r="AB25" s="9">
        <v>40483553140</v>
      </c>
      <c r="AC25" s="9">
        <v>40483553140</v>
      </c>
      <c r="AD25" s="8">
        <f t="shared" si="9"/>
        <v>676.12642362053305</v>
      </c>
      <c r="AE25" s="8">
        <f t="shared" si="10"/>
        <v>657.57568037418571</v>
      </c>
      <c r="AF25" s="8">
        <f t="shared" si="11"/>
        <v>458.72949777352471</v>
      </c>
      <c r="AG25" s="8">
        <f t="shared" si="12"/>
        <v>632.0097426112435</v>
      </c>
      <c r="AH25" s="8">
        <f t="shared" si="13"/>
        <v>998.43014915760432</v>
      </c>
      <c r="AI25" s="70">
        <f t="shared" si="14"/>
        <v>0.37271664474645622</v>
      </c>
      <c r="AJ25" s="70">
        <f t="shared" si="15"/>
        <v>0.42203523534052056</v>
      </c>
      <c r="AK25" s="70">
        <f t="shared" si="16"/>
        <v>0.50740401701577731</v>
      </c>
      <c r="AL25" s="70">
        <f t="shared" si="17"/>
        <v>0.27839443445634332</v>
      </c>
      <c r="AM25" s="70">
        <f t="shared" si="18"/>
        <v>0.37857496288965858</v>
      </c>
      <c r="AN25" s="75">
        <f t="shared" si="19"/>
        <v>0.62728335525354373</v>
      </c>
      <c r="AO25" s="75">
        <f t="shared" si="20"/>
        <v>0.57796476465947944</v>
      </c>
      <c r="AP25" s="75">
        <f t="shared" si="21"/>
        <v>0.49259598298422269</v>
      </c>
      <c r="AQ25" s="75">
        <f t="shared" si="22"/>
        <v>0.72160556554365662</v>
      </c>
      <c r="AR25" s="75">
        <f t="shared" si="23"/>
        <v>0.62142503711034136</v>
      </c>
    </row>
    <row r="26" spans="1:44" x14ac:dyDescent="0.25">
      <c r="A26" s="5">
        <v>22</v>
      </c>
      <c r="B26" s="5" t="s">
        <v>210</v>
      </c>
      <c r="C26" s="5" t="s">
        <v>211</v>
      </c>
      <c r="D26" s="6">
        <v>35961</v>
      </c>
      <c r="E26" s="7">
        <v>265965000000</v>
      </c>
      <c r="F26" s="7">
        <v>300103000000</v>
      </c>
      <c r="G26" s="7">
        <v>241359000000</v>
      </c>
      <c r="H26" s="9">
        <f>82951000000+53017000000</f>
        <v>135968000000</v>
      </c>
      <c r="I26" s="9">
        <f>220926000000+106034000000</f>
        <v>326960000000</v>
      </c>
      <c r="J26" s="9">
        <v>4819733000</v>
      </c>
      <c r="K26" s="9">
        <v>4819733000</v>
      </c>
      <c r="L26" s="9">
        <v>4819733000</v>
      </c>
      <c r="M26" s="9">
        <v>4819733000</v>
      </c>
      <c r="N26" s="9">
        <v>4819733000</v>
      </c>
      <c r="O26" s="8">
        <f t="shared" si="4"/>
        <v>55.182517371812921</v>
      </c>
      <c r="P26" s="8">
        <f t="shared" si="5"/>
        <v>62.265482341034243</v>
      </c>
      <c r="Q26" s="8">
        <f t="shared" si="6"/>
        <v>50.077255316840166</v>
      </c>
      <c r="R26" s="8">
        <f t="shared" si="7"/>
        <v>28.210691339126047</v>
      </c>
      <c r="S26" s="8">
        <f t="shared" si="8"/>
        <v>67.83778271534959</v>
      </c>
      <c r="T26" s="7">
        <v>680801000000</v>
      </c>
      <c r="U26" s="7">
        <v>816971000000</v>
      </c>
      <c r="V26" s="7">
        <v>-37864000000</v>
      </c>
      <c r="W26" s="8">
        <v>634931000000</v>
      </c>
      <c r="X26" s="17">
        <v>1474280000000</v>
      </c>
      <c r="Y26" s="9">
        <v>4819733000</v>
      </c>
      <c r="Z26" s="9">
        <v>4819733000</v>
      </c>
      <c r="AA26" s="9">
        <v>4819733000</v>
      </c>
      <c r="AB26" s="9">
        <v>4819733000</v>
      </c>
      <c r="AC26" s="9">
        <v>4819733000</v>
      </c>
      <c r="AD26" s="8">
        <f t="shared" si="9"/>
        <v>141.25284533396351</v>
      </c>
      <c r="AE26" s="8">
        <f t="shared" si="10"/>
        <v>169.5054477084104</v>
      </c>
      <c r="AF26" s="8">
        <f t="shared" si="11"/>
        <v>-7.8560368385551644</v>
      </c>
      <c r="AG26" s="8">
        <f t="shared" si="12"/>
        <v>131.73572063016769</v>
      </c>
      <c r="AH26" s="8">
        <f t="shared" si="13"/>
        <v>305.8841641227844</v>
      </c>
      <c r="AI26" s="70">
        <f t="shared" si="14"/>
        <v>0.39066481982253259</v>
      </c>
      <c r="AJ26" s="70">
        <f t="shared" si="15"/>
        <v>0.36733617227539289</v>
      </c>
      <c r="AK26" s="70">
        <f t="shared" si="16"/>
        <v>-6.3743661525459538</v>
      </c>
      <c r="AL26" s="70">
        <f t="shared" si="17"/>
        <v>0.21414610406485113</v>
      </c>
      <c r="AM26" s="70">
        <f t="shared" si="18"/>
        <v>0.22177605339555581</v>
      </c>
      <c r="AN26" s="75">
        <f t="shared" si="19"/>
        <v>0.60933518017746735</v>
      </c>
      <c r="AO26" s="75">
        <f t="shared" si="20"/>
        <v>0.63266382772460705</v>
      </c>
      <c r="AP26" s="75">
        <f t="shared" si="21"/>
        <v>7.3743661525459538</v>
      </c>
      <c r="AQ26" s="75">
        <f t="shared" si="22"/>
        <v>0.78585389593514887</v>
      </c>
      <c r="AR26" s="75">
        <f t="shared" si="23"/>
        <v>0.77822394660444416</v>
      </c>
    </row>
    <row r="27" spans="1:44" x14ac:dyDescent="0.25">
      <c r="A27" s="5">
        <v>23</v>
      </c>
      <c r="B27" s="5" t="s">
        <v>214</v>
      </c>
      <c r="C27" s="5" t="s">
        <v>215</v>
      </c>
      <c r="D27" s="6">
        <v>33121</v>
      </c>
      <c r="E27" s="7">
        <f>18937583+3308448</f>
        <v>22246031</v>
      </c>
      <c r="F27" s="7">
        <v>17678347</v>
      </c>
      <c r="G27" s="9">
        <v>7707082</v>
      </c>
      <c r="H27" s="7">
        <v>18942505</v>
      </c>
      <c r="I27" s="7">
        <v>14926122</v>
      </c>
      <c r="J27" s="9">
        <v>450000000</v>
      </c>
      <c r="K27" s="9">
        <v>450000000</v>
      </c>
      <c r="L27" s="9">
        <v>450000000</v>
      </c>
      <c r="M27" s="9">
        <v>450000000</v>
      </c>
      <c r="N27" s="9">
        <v>450000000</v>
      </c>
      <c r="O27" s="8">
        <f t="shared" si="4"/>
        <v>4.9435624444444444E-2</v>
      </c>
      <c r="P27" s="8">
        <f t="shared" si="5"/>
        <v>3.9285215555555558E-2</v>
      </c>
      <c r="Q27" s="8">
        <f t="shared" si="6"/>
        <v>1.712684888888889E-2</v>
      </c>
      <c r="R27" s="8">
        <f t="shared" si="7"/>
        <v>4.2094455555555556E-2</v>
      </c>
      <c r="S27" s="8">
        <f t="shared" si="8"/>
        <v>3.3169160000000003E-2</v>
      </c>
      <c r="T27" s="7">
        <v>19377050</v>
      </c>
      <c r="U27" s="7">
        <v>14582693</v>
      </c>
      <c r="V27" s="9">
        <v>-4045417</v>
      </c>
      <c r="W27" s="17">
        <v>26438801</v>
      </c>
      <c r="X27" s="17">
        <v>34919701</v>
      </c>
      <c r="Y27" s="9">
        <v>450000000</v>
      </c>
      <c r="Z27" s="9">
        <v>450000000</v>
      </c>
      <c r="AA27" s="9">
        <v>450000000</v>
      </c>
      <c r="AB27" s="9">
        <v>450000000</v>
      </c>
      <c r="AC27" s="9">
        <v>450000000</v>
      </c>
      <c r="AD27" s="8">
        <f t="shared" si="9"/>
        <v>4.3060111111111112E-2</v>
      </c>
      <c r="AE27" s="8">
        <f t="shared" si="10"/>
        <v>3.2405984444444445E-2</v>
      </c>
      <c r="AF27" s="8">
        <f t="shared" si="11"/>
        <v>-8.9898155555555564E-3</v>
      </c>
      <c r="AG27" s="8">
        <f t="shared" si="12"/>
        <v>5.8752891111111108E-2</v>
      </c>
      <c r="AH27" s="8">
        <f t="shared" si="13"/>
        <v>7.7599335555555551E-2</v>
      </c>
      <c r="AI27" s="70">
        <f t="shared" si="14"/>
        <v>1.1480607729246712</v>
      </c>
      <c r="AJ27" s="70">
        <f t="shared" si="15"/>
        <v>1.2122827381746293</v>
      </c>
      <c r="AK27" s="70">
        <f t="shared" si="16"/>
        <v>-1.9051390746615242</v>
      </c>
      <c r="AL27" s="70">
        <f t="shared" si="17"/>
        <v>0.71646611357300205</v>
      </c>
      <c r="AM27" s="70">
        <f t="shared" si="18"/>
        <v>0.42744128880141335</v>
      </c>
      <c r="AN27" s="75">
        <f t="shared" si="19"/>
        <v>-0.14806077292467124</v>
      </c>
      <c r="AO27" s="75">
        <f t="shared" si="20"/>
        <v>-0.21228273817462928</v>
      </c>
      <c r="AP27" s="75">
        <f t="shared" si="21"/>
        <v>2.9051390746615242</v>
      </c>
      <c r="AQ27" s="75">
        <f t="shared" si="22"/>
        <v>0.28353388642699795</v>
      </c>
      <c r="AR27" s="75">
        <f t="shared" si="23"/>
        <v>0.57255871119858659</v>
      </c>
    </row>
    <row r="28" spans="1:44" x14ac:dyDescent="0.25">
      <c r="A28" s="5">
        <v>24</v>
      </c>
      <c r="B28" s="5" t="s">
        <v>222</v>
      </c>
      <c r="C28" s="5" t="s">
        <v>223</v>
      </c>
      <c r="D28" s="6">
        <v>34227</v>
      </c>
      <c r="E28" s="7">
        <v>78647403077</v>
      </c>
      <c r="F28" s="7">
        <v>34773260147</v>
      </c>
      <c r="G28" s="9">
        <v>35520332061</v>
      </c>
      <c r="H28" s="9">
        <v>179002000000</v>
      </c>
      <c r="I28" s="9">
        <v>32931000000</v>
      </c>
      <c r="J28" s="9">
        <v>2765278412</v>
      </c>
      <c r="K28" s="9">
        <v>2765278412</v>
      </c>
      <c r="L28" s="9">
        <v>3994291039</v>
      </c>
      <c r="M28" s="9">
        <v>3994291039</v>
      </c>
      <c r="N28" s="9">
        <v>3994291039</v>
      </c>
      <c r="O28" s="8">
        <f t="shared" si="4"/>
        <v>28.441043308951272</v>
      </c>
      <c r="P28" s="8">
        <f t="shared" si="5"/>
        <v>12.574958093225082</v>
      </c>
      <c r="Q28" s="8">
        <f t="shared" si="6"/>
        <v>8.8927751418666716</v>
      </c>
      <c r="R28" s="8">
        <f t="shared" si="7"/>
        <v>44.814461002524858</v>
      </c>
      <c r="S28" s="8">
        <f t="shared" si="8"/>
        <v>8.2445169063705777</v>
      </c>
      <c r="T28" s="7">
        <v>98774620340</v>
      </c>
      <c r="U28" s="7">
        <v>121769771786</v>
      </c>
      <c r="V28" s="9">
        <v>-675710445502</v>
      </c>
      <c r="W28" s="17">
        <v>-255340000000</v>
      </c>
      <c r="X28" s="8">
        <v>562551000000</v>
      </c>
      <c r="Y28" s="9">
        <v>2765278412</v>
      </c>
      <c r="Z28" s="9">
        <v>2765278412</v>
      </c>
      <c r="AA28" s="9">
        <v>3994291039</v>
      </c>
      <c r="AB28" s="9">
        <v>3994291039</v>
      </c>
      <c r="AC28" s="9">
        <v>3994291039</v>
      </c>
      <c r="AD28" s="8">
        <f t="shared" si="9"/>
        <v>35.719593336918585</v>
      </c>
      <c r="AE28" s="8">
        <f t="shared" si="10"/>
        <v>44.035266488024064</v>
      </c>
      <c r="AF28" s="8">
        <f t="shared" si="11"/>
        <v>-169.16905626165115</v>
      </c>
      <c r="AG28" s="8">
        <f t="shared" si="12"/>
        <v>-63.92623810004747</v>
      </c>
      <c r="AH28" s="8">
        <f t="shared" si="13"/>
        <v>140.83876074809982</v>
      </c>
      <c r="AI28" s="70">
        <f t="shared" si="14"/>
        <v>0.79623088204522063</v>
      </c>
      <c r="AJ28" s="70">
        <f t="shared" si="15"/>
        <v>0.2855656181084994</v>
      </c>
      <c r="AK28" s="70">
        <f t="shared" si="16"/>
        <v>-5.2567386367116421E-2</v>
      </c>
      <c r="AL28" s="70">
        <f t="shared" si="17"/>
        <v>-0.70103391556356232</v>
      </c>
      <c r="AM28" s="70">
        <f t="shared" si="18"/>
        <v>5.8538692491880734E-2</v>
      </c>
      <c r="AN28" s="75">
        <f t="shared" si="19"/>
        <v>0.20376911795477937</v>
      </c>
      <c r="AO28" s="75">
        <f t="shared" si="20"/>
        <v>0.71443438189150066</v>
      </c>
      <c r="AP28" s="75">
        <f t="shared" si="21"/>
        <v>1.0525673863671163</v>
      </c>
      <c r="AQ28" s="75">
        <f t="shared" si="22"/>
        <v>1.7010339155635623</v>
      </c>
      <c r="AR28" s="75">
        <f t="shared" si="23"/>
        <v>0.94146130750811929</v>
      </c>
    </row>
    <row r="29" spans="1:44" x14ac:dyDescent="0.25">
      <c r="A29" s="5">
        <v>25</v>
      </c>
      <c r="B29" s="5" t="s">
        <v>224</v>
      </c>
      <c r="C29" s="5" t="s">
        <v>225</v>
      </c>
      <c r="D29" s="6">
        <v>33095</v>
      </c>
      <c r="E29" s="7">
        <v>65624971000</v>
      </c>
      <c r="F29" s="7">
        <v>65624971000</v>
      </c>
      <c r="G29" s="7">
        <v>65624971000</v>
      </c>
      <c r="H29" s="9">
        <v>55781225350</v>
      </c>
      <c r="I29" s="9">
        <v>49218728250</v>
      </c>
      <c r="J29" s="9">
        <v>656249710</v>
      </c>
      <c r="K29" s="9">
        <v>656249710</v>
      </c>
      <c r="L29" s="9">
        <v>656249710</v>
      </c>
      <c r="M29" s="9">
        <v>656249710</v>
      </c>
      <c r="N29" s="9">
        <v>656249710</v>
      </c>
      <c r="O29" s="8">
        <f t="shared" si="4"/>
        <v>100</v>
      </c>
      <c r="P29" s="8">
        <f t="shared" si="5"/>
        <v>100</v>
      </c>
      <c r="Q29" s="8">
        <f t="shared" si="6"/>
        <v>100</v>
      </c>
      <c r="R29" s="8">
        <f t="shared" si="7"/>
        <v>85</v>
      </c>
      <c r="S29" s="8">
        <f t="shared" si="8"/>
        <v>75</v>
      </c>
      <c r="T29" s="7">
        <v>110686883366</v>
      </c>
      <c r="U29" s="7">
        <v>101465560351</v>
      </c>
      <c r="V29" s="7">
        <v>58751009229</v>
      </c>
      <c r="W29" s="8">
        <v>180680527603</v>
      </c>
      <c r="X29" s="8">
        <v>228542263599</v>
      </c>
      <c r="Y29" s="9">
        <v>656249710</v>
      </c>
      <c r="Z29" s="9">
        <v>656249710</v>
      </c>
      <c r="AA29" s="9">
        <v>656249710</v>
      </c>
      <c r="AB29" s="9">
        <v>656249710</v>
      </c>
      <c r="AC29" s="9">
        <v>656249710</v>
      </c>
      <c r="AD29" s="8">
        <f t="shared" si="9"/>
        <v>168.66580156812566</v>
      </c>
      <c r="AE29" s="8">
        <f t="shared" si="10"/>
        <v>154.61425552629959</v>
      </c>
      <c r="AF29" s="8">
        <f t="shared" si="11"/>
        <v>89.525386958266239</v>
      </c>
      <c r="AG29" s="8">
        <f t="shared" si="12"/>
        <v>275.32283039485077</v>
      </c>
      <c r="AH29" s="8">
        <f t="shared" si="13"/>
        <v>348.25503176069975</v>
      </c>
      <c r="AI29" s="70">
        <f t="shared" si="14"/>
        <v>0.59288841644409518</v>
      </c>
      <c r="AJ29" s="70">
        <f t="shared" si="15"/>
        <v>0.64677089224149964</v>
      </c>
      <c r="AK29" s="70">
        <f t="shared" si="16"/>
        <v>1.1170015947165544</v>
      </c>
      <c r="AL29" s="70">
        <f t="shared" si="17"/>
        <v>0.30872848386055862</v>
      </c>
      <c r="AM29" s="70">
        <f t="shared" si="18"/>
        <v>0.21535941525616079</v>
      </c>
      <c r="AN29" s="75">
        <f t="shared" si="19"/>
        <v>0.40711158355590482</v>
      </c>
      <c r="AO29" s="75">
        <f t="shared" si="20"/>
        <v>0.35322910775850036</v>
      </c>
      <c r="AP29" s="75">
        <f t="shared" si="21"/>
        <v>-0.11700159471655436</v>
      </c>
      <c r="AQ29" s="75">
        <f t="shared" si="22"/>
        <v>0.69127151613944138</v>
      </c>
      <c r="AR29" s="75">
        <f t="shared" si="23"/>
        <v>0.78464058474383924</v>
      </c>
    </row>
    <row r="30" spans="1:44" x14ac:dyDescent="0.25">
      <c r="A30" s="5">
        <v>26</v>
      </c>
      <c r="B30" s="5" t="s">
        <v>236</v>
      </c>
      <c r="C30" s="5" t="s">
        <v>237</v>
      </c>
      <c r="D30" s="6">
        <v>35317</v>
      </c>
      <c r="E30" s="7">
        <v>329205000000</v>
      </c>
      <c r="F30" s="7">
        <v>365724000000</v>
      </c>
      <c r="G30" s="7">
        <v>375417000000</v>
      </c>
      <c r="H30" s="9">
        <v>375417000000</v>
      </c>
      <c r="I30" s="17">
        <f>115174000000+57586000000+115174000000+115174000000+43517000000</f>
        <v>446625000000</v>
      </c>
      <c r="J30" s="9">
        <v>5758675440</v>
      </c>
      <c r="K30" s="9">
        <v>5758675440</v>
      </c>
      <c r="L30" s="9">
        <v>5758675440</v>
      </c>
      <c r="M30" s="9">
        <v>5758675440</v>
      </c>
      <c r="N30" s="9">
        <v>5758675440</v>
      </c>
      <c r="O30" s="8">
        <f t="shared" si="4"/>
        <v>57.16679181350078</v>
      </c>
      <c r="P30" s="8">
        <f t="shared" si="5"/>
        <v>63.50835427530189</v>
      </c>
      <c r="Q30" s="8">
        <f t="shared" si="6"/>
        <v>65.191553841068696</v>
      </c>
      <c r="R30" s="8">
        <f t="shared" si="7"/>
        <v>65.191553841068696</v>
      </c>
      <c r="S30" s="8">
        <f t="shared" si="8"/>
        <v>77.556897354854229</v>
      </c>
      <c r="T30" s="7">
        <v>63355000000</v>
      </c>
      <c r="U30" s="7">
        <v>638676000000</v>
      </c>
      <c r="V30" s="7">
        <v>539116000000</v>
      </c>
      <c r="W30" s="17">
        <v>728263000000</v>
      </c>
      <c r="X30" s="17">
        <v>935944000000</v>
      </c>
      <c r="Y30" s="9">
        <v>5758675440</v>
      </c>
      <c r="Z30" s="9">
        <v>5758675440</v>
      </c>
      <c r="AA30" s="9">
        <v>5758675440</v>
      </c>
      <c r="AB30" s="9">
        <v>5758675440</v>
      </c>
      <c r="AC30" s="9">
        <v>5758675440</v>
      </c>
      <c r="AD30" s="8">
        <f t="shared" si="9"/>
        <v>11.001661868271569</v>
      </c>
      <c r="AE30" s="8">
        <f t="shared" si="10"/>
        <v>110.90675393228967</v>
      </c>
      <c r="AF30" s="8">
        <f t="shared" si="11"/>
        <v>93.618056029912324</v>
      </c>
      <c r="AG30" s="8">
        <f t="shared" si="12"/>
        <v>126.46362997668783</v>
      </c>
      <c r="AH30" s="8">
        <f t="shared" si="13"/>
        <v>162.52765236583642</v>
      </c>
      <c r="AI30" s="70">
        <f t="shared" si="14"/>
        <v>5.196196038197459</v>
      </c>
      <c r="AJ30" s="70">
        <f t="shared" si="15"/>
        <v>0.5726283749506792</v>
      </c>
      <c r="AK30" s="70">
        <f t="shared" si="16"/>
        <v>0.6963566282581114</v>
      </c>
      <c r="AL30" s="70">
        <f t="shared" si="17"/>
        <v>0.51549646212975253</v>
      </c>
      <c r="AM30" s="70">
        <f t="shared" si="18"/>
        <v>0.47719201148786677</v>
      </c>
      <c r="AN30" s="75">
        <f t="shared" si="19"/>
        <v>-4.196196038197459</v>
      </c>
      <c r="AO30" s="75">
        <f t="shared" si="20"/>
        <v>0.4273716250493208</v>
      </c>
      <c r="AP30" s="75">
        <f t="shared" si="21"/>
        <v>0.3036433717418886</v>
      </c>
      <c r="AQ30" s="75">
        <f t="shared" si="22"/>
        <v>0.48450353787024747</v>
      </c>
      <c r="AR30" s="75">
        <f t="shared" si="23"/>
        <v>0.52280798851213328</v>
      </c>
    </row>
    <row r="31" spans="1:44" x14ac:dyDescent="0.25">
      <c r="A31" s="5">
        <v>27</v>
      </c>
      <c r="B31" s="5" t="s">
        <v>242</v>
      </c>
      <c r="C31" s="5" t="s">
        <v>243</v>
      </c>
      <c r="D31" s="6">
        <v>43017</v>
      </c>
      <c r="E31" s="7">
        <v>4350000000</v>
      </c>
      <c r="F31" s="7">
        <v>5075000000</v>
      </c>
      <c r="G31" s="7">
        <v>782636476</v>
      </c>
      <c r="H31" s="9">
        <v>507500000</v>
      </c>
      <c r="I31" s="9">
        <f>2030000000+545000000</f>
        <v>2575000000</v>
      </c>
      <c r="J31" s="10">
        <v>1450000000</v>
      </c>
      <c r="K31" s="10">
        <v>1450000000</v>
      </c>
      <c r="L31" s="9">
        <v>7250000000</v>
      </c>
      <c r="M31" s="9">
        <v>7250000000</v>
      </c>
      <c r="N31" s="9">
        <v>7250000000</v>
      </c>
      <c r="O31" s="8">
        <f t="shared" si="4"/>
        <v>3</v>
      </c>
      <c r="P31" s="8">
        <f t="shared" si="5"/>
        <v>3.5</v>
      </c>
      <c r="Q31" s="8">
        <f t="shared" si="6"/>
        <v>0.10794985875862069</v>
      </c>
      <c r="R31" s="8">
        <f t="shared" si="7"/>
        <v>7.0000000000000007E-2</v>
      </c>
      <c r="S31" s="8">
        <f t="shared" si="8"/>
        <v>0.35517241379310344</v>
      </c>
      <c r="T31" s="7">
        <v>24022782725</v>
      </c>
      <c r="U31" s="7">
        <v>23213651840</v>
      </c>
      <c r="V31" s="7">
        <v>-16558668514</v>
      </c>
      <c r="W31" s="17">
        <v>4172725902</v>
      </c>
      <c r="X31" s="17">
        <v>4462174046</v>
      </c>
      <c r="Y31" s="10">
        <v>1450000000</v>
      </c>
      <c r="Z31" s="10">
        <v>1450000000</v>
      </c>
      <c r="AA31" s="9">
        <v>7250000000</v>
      </c>
      <c r="AB31" s="9">
        <v>7250000000</v>
      </c>
      <c r="AC31" s="9">
        <v>7250000000</v>
      </c>
      <c r="AD31" s="8">
        <f t="shared" si="9"/>
        <v>16.567436362068964</v>
      </c>
      <c r="AE31" s="8">
        <f t="shared" si="10"/>
        <v>16.009415062068964</v>
      </c>
      <c r="AF31" s="8">
        <f t="shared" si="11"/>
        <v>-2.2839542777931032</v>
      </c>
      <c r="AG31" s="8">
        <f t="shared" si="12"/>
        <v>0.57554840027586207</v>
      </c>
      <c r="AH31" s="8">
        <f t="shared" si="13"/>
        <v>0.61547228220689654</v>
      </c>
      <c r="AI31" s="70">
        <f t="shared" si="14"/>
        <v>0.18107810613768102</v>
      </c>
      <c r="AJ31" s="70">
        <f t="shared" si="15"/>
        <v>0.218621354148818</v>
      </c>
      <c r="AK31" s="70">
        <f t="shared" si="16"/>
        <v>-4.7264457002584338E-2</v>
      </c>
      <c r="AL31" s="70">
        <f t="shared" si="17"/>
        <v>0.12162313363471916</v>
      </c>
      <c r="AM31" s="70">
        <f t="shared" si="18"/>
        <v>0.57707296341528669</v>
      </c>
      <c r="AN31" s="75">
        <f t="shared" si="19"/>
        <v>0.81892189386231895</v>
      </c>
      <c r="AO31" s="75">
        <f t="shared" si="20"/>
        <v>0.781378645851182</v>
      </c>
      <c r="AP31" s="75">
        <f t="shared" si="21"/>
        <v>1.0472644570025844</v>
      </c>
      <c r="AQ31" s="75">
        <f t="shared" si="22"/>
        <v>0.8783768663652809</v>
      </c>
      <c r="AR31" s="75">
        <f t="shared" si="23"/>
        <v>0.42292703658471331</v>
      </c>
    </row>
    <row r="32" spans="1:44" x14ac:dyDescent="0.25">
      <c r="A32" s="5">
        <v>28</v>
      </c>
      <c r="B32" s="5" t="s">
        <v>274</v>
      </c>
      <c r="C32" s="5" t="s">
        <v>275</v>
      </c>
      <c r="D32" s="6">
        <v>41088</v>
      </c>
      <c r="E32" s="7">
        <v>5234640010</v>
      </c>
      <c r="F32" s="7">
        <v>5838086004</v>
      </c>
      <c r="G32" s="7">
        <v>11397562481</v>
      </c>
      <c r="H32" s="9">
        <v>4904062114</v>
      </c>
      <c r="I32" s="9">
        <v>5490705161</v>
      </c>
      <c r="J32" s="9">
        <v>1047587802</v>
      </c>
      <c r="K32" s="9">
        <v>3141443806</v>
      </c>
      <c r="L32" s="9">
        <v>3141443806</v>
      </c>
      <c r="M32" s="10">
        <v>3141443806</v>
      </c>
      <c r="N32" s="17">
        <v>3141443831</v>
      </c>
      <c r="O32" s="8">
        <f t="shared" si="4"/>
        <v>4.9968508606212279</v>
      </c>
      <c r="P32" s="8">
        <f t="shared" si="5"/>
        <v>1.8584085422281147</v>
      </c>
      <c r="Q32" s="8">
        <f t="shared" si="6"/>
        <v>3.6281287156024336</v>
      </c>
      <c r="R32" s="8">
        <f t="shared" si="7"/>
        <v>1.5610854170408801</v>
      </c>
      <c r="S32" s="8">
        <f t="shared" si="8"/>
        <v>1.7478285324783831</v>
      </c>
      <c r="T32" s="7">
        <v>19665074694</v>
      </c>
      <c r="U32" s="7">
        <v>41484677098</v>
      </c>
      <c r="V32" s="7">
        <v>-3987303838</v>
      </c>
      <c r="W32" s="17">
        <v>18024581177</v>
      </c>
      <c r="X32" s="17">
        <v>64521509302</v>
      </c>
      <c r="Y32" s="9">
        <v>1047587802</v>
      </c>
      <c r="Z32" s="9">
        <v>3141443806</v>
      </c>
      <c r="AA32" s="9">
        <v>3141443806</v>
      </c>
      <c r="AB32" s="10">
        <v>3141443806</v>
      </c>
      <c r="AC32" s="17">
        <v>3141443831</v>
      </c>
      <c r="AD32" s="8">
        <f t="shared" si="9"/>
        <v>18.771767537247442</v>
      </c>
      <c r="AE32" s="8">
        <f t="shared" si="10"/>
        <v>13.205608522669209</v>
      </c>
      <c r="AF32" s="8">
        <f t="shared" si="11"/>
        <v>-1.2692583678830893</v>
      </c>
      <c r="AG32" s="8">
        <f t="shared" si="12"/>
        <v>5.7376742320120302</v>
      </c>
      <c r="AH32" s="8">
        <f t="shared" si="13"/>
        <v>20.538807240574215</v>
      </c>
      <c r="AI32" s="70">
        <f t="shared" si="14"/>
        <v>0.26618968356103617</v>
      </c>
      <c r="AJ32" s="70">
        <f t="shared" si="15"/>
        <v>0.14072873196550584</v>
      </c>
      <c r="AK32" s="70">
        <f t="shared" si="16"/>
        <v>-2.8584634991641185</v>
      </c>
      <c r="AL32" s="70">
        <f t="shared" si="17"/>
        <v>0.27207634207100223</v>
      </c>
      <c r="AM32" s="70">
        <f t="shared" si="18"/>
        <v>8.5098833247997219E-2</v>
      </c>
      <c r="AN32" s="75">
        <f t="shared" si="19"/>
        <v>0.73381031643896377</v>
      </c>
      <c r="AO32" s="75">
        <f t="shared" si="20"/>
        <v>0.85927126803449416</v>
      </c>
      <c r="AP32" s="75">
        <f t="shared" si="21"/>
        <v>3.8584634991641185</v>
      </c>
      <c r="AQ32" s="75">
        <f t="shared" si="22"/>
        <v>0.72792365792899782</v>
      </c>
      <c r="AR32" s="75">
        <f t="shared" si="23"/>
        <v>0.91490116675200284</v>
      </c>
    </row>
    <row r="33" spans="1:44" x14ac:dyDescent="0.25">
      <c r="A33" s="5">
        <v>29</v>
      </c>
      <c r="B33" s="5" t="s">
        <v>296</v>
      </c>
      <c r="C33" s="5" t="s">
        <v>297</v>
      </c>
      <c r="D33" s="6">
        <v>30152</v>
      </c>
      <c r="E33" s="7">
        <v>72038190000</v>
      </c>
      <c r="F33" s="7">
        <v>72374190000</v>
      </c>
      <c r="G33" s="7">
        <v>102861700000</v>
      </c>
      <c r="H33" s="9">
        <v>61755020000</v>
      </c>
      <c r="I33" s="9">
        <v>41165680000</v>
      </c>
      <c r="J33" s="9">
        <v>205583400</v>
      </c>
      <c r="K33" s="9">
        <v>205583400</v>
      </c>
      <c r="L33" s="9">
        <v>205583400</v>
      </c>
      <c r="M33" s="9">
        <v>205583400</v>
      </c>
      <c r="N33" s="9">
        <v>205583400</v>
      </c>
      <c r="O33" s="8">
        <f t="shared" si="4"/>
        <v>350.408593300821</v>
      </c>
      <c r="P33" s="8">
        <f t="shared" si="5"/>
        <v>352.04296650410492</v>
      </c>
      <c r="Q33" s="8">
        <f t="shared" si="6"/>
        <v>500.34049441735084</v>
      </c>
      <c r="R33" s="8">
        <f t="shared" si="7"/>
        <v>300.38913647697234</v>
      </c>
      <c r="S33" s="8">
        <f t="shared" si="8"/>
        <v>200.23834609214558</v>
      </c>
      <c r="T33" s="7">
        <v>253995332656</v>
      </c>
      <c r="U33" s="7">
        <v>303593922331</v>
      </c>
      <c r="V33" s="7">
        <v>238152486485</v>
      </c>
      <c r="W33" s="8">
        <v>140694706122</v>
      </c>
      <c r="X33" s="8">
        <v>106708261439</v>
      </c>
      <c r="Y33" s="9">
        <v>205583400</v>
      </c>
      <c r="Z33" s="9">
        <v>205583400</v>
      </c>
      <c r="AA33" s="9">
        <v>205583400</v>
      </c>
      <c r="AB33" s="9">
        <v>205583400</v>
      </c>
      <c r="AC33" s="9">
        <v>205583400</v>
      </c>
      <c r="AD33" s="8">
        <f t="shared" si="9"/>
        <v>1235.4856114647389</v>
      </c>
      <c r="AE33" s="8">
        <f t="shared" si="10"/>
        <v>1476.7433670763301</v>
      </c>
      <c r="AF33" s="8">
        <f t="shared" si="11"/>
        <v>1158.4227446622635</v>
      </c>
      <c r="AG33" s="8">
        <f t="shared" si="12"/>
        <v>684.36802836221216</v>
      </c>
      <c r="AH33" s="8">
        <f t="shared" si="13"/>
        <v>519.05096150272834</v>
      </c>
      <c r="AI33" s="70">
        <f t="shared" si="14"/>
        <v>0.28362013288474608</v>
      </c>
      <c r="AJ33" s="70">
        <f t="shared" si="15"/>
        <v>0.23839143235908539</v>
      </c>
      <c r="AK33" s="70">
        <f t="shared" si="16"/>
        <v>0.43191528888982955</v>
      </c>
      <c r="AL33" s="70">
        <f t="shared" si="17"/>
        <v>0.43892923694265101</v>
      </c>
      <c r="AM33" s="70">
        <f t="shared" si="18"/>
        <v>0.38577781555866175</v>
      </c>
      <c r="AN33" s="75">
        <f t="shared" si="19"/>
        <v>0.71637986711525392</v>
      </c>
      <c r="AO33" s="75">
        <f t="shared" si="20"/>
        <v>0.76160856764091456</v>
      </c>
      <c r="AP33" s="75">
        <f t="shared" si="21"/>
        <v>0.56808471111017045</v>
      </c>
      <c r="AQ33" s="75">
        <f t="shared" si="22"/>
        <v>0.56107076305734904</v>
      </c>
      <c r="AR33" s="75">
        <f t="shared" si="23"/>
        <v>0.61422218444133825</v>
      </c>
    </row>
    <row r="34" spans="1:44" x14ac:dyDescent="0.25">
      <c r="A34" s="5">
        <v>30</v>
      </c>
      <c r="B34" s="5" t="s">
        <v>316</v>
      </c>
      <c r="C34" s="50" t="s">
        <v>317</v>
      </c>
      <c r="D34" s="6">
        <v>34827</v>
      </c>
      <c r="E34" s="7">
        <v>17996000000</v>
      </c>
      <c r="F34" s="7">
        <v>22495000000</v>
      </c>
      <c r="G34" s="7">
        <v>26994000000</v>
      </c>
      <c r="H34" s="7">
        <v>26994000000</v>
      </c>
      <c r="I34" s="9">
        <v>35992000000</v>
      </c>
      <c r="J34" s="10">
        <v>4498997362</v>
      </c>
      <c r="K34" s="10">
        <v>4498997362</v>
      </c>
      <c r="L34" s="10">
        <v>4498997362</v>
      </c>
      <c r="M34" s="10">
        <v>4498997362</v>
      </c>
      <c r="N34" s="10">
        <v>4498997362</v>
      </c>
      <c r="O34" s="8">
        <f t="shared" si="4"/>
        <v>4.0000023454114659</v>
      </c>
      <c r="P34" s="8">
        <f t="shared" si="5"/>
        <v>5.0000029317643326</v>
      </c>
      <c r="Q34" s="8">
        <f t="shared" si="6"/>
        <v>6.0000035181171993</v>
      </c>
      <c r="R34" s="8">
        <f t="shared" si="7"/>
        <v>6.0000035181171993</v>
      </c>
      <c r="S34" s="8">
        <f t="shared" si="8"/>
        <v>8.0000046908229319</v>
      </c>
      <c r="T34" s="7">
        <v>50467000000</v>
      </c>
      <c r="U34" s="7">
        <v>64021000000</v>
      </c>
      <c r="V34" s="7">
        <v>67093000000</v>
      </c>
      <c r="W34" s="17">
        <v>91723000000</v>
      </c>
      <c r="X34" s="17">
        <v>93065000000</v>
      </c>
      <c r="Y34" s="10">
        <v>4498997362</v>
      </c>
      <c r="Z34" s="10">
        <v>4498997362</v>
      </c>
      <c r="AA34" s="10">
        <v>4498997362</v>
      </c>
      <c r="AB34" s="10">
        <v>4498997362</v>
      </c>
      <c r="AC34" s="10">
        <v>4498997362</v>
      </c>
      <c r="AD34" s="8">
        <f t="shared" si="9"/>
        <v>11.217388217708406</v>
      </c>
      <c r="AE34" s="8">
        <f t="shared" si="10"/>
        <v>14.230059466302928</v>
      </c>
      <c r="AF34" s="8">
        <f t="shared" si="11"/>
        <v>14.912878270765255</v>
      </c>
      <c r="AG34" s="8">
        <f t="shared" si="12"/>
        <v>20.387431380761054</v>
      </c>
      <c r="AH34" s="8">
        <f t="shared" si="13"/>
        <v>20.685720064220835</v>
      </c>
      <c r="AI34" s="70">
        <f t="shared" si="14"/>
        <v>0.3565894544950165</v>
      </c>
      <c r="AJ34" s="70">
        <f t="shared" si="15"/>
        <v>0.3513690820199622</v>
      </c>
      <c r="AK34" s="70">
        <f t="shared" si="16"/>
        <v>0.40233705453624069</v>
      </c>
      <c r="AL34" s="70">
        <f t="shared" si="17"/>
        <v>0.29429913980135841</v>
      </c>
      <c r="AM34" s="70">
        <f t="shared" si="18"/>
        <v>0.38674045022296238</v>
      </c>
      <c r="AN34" s="75">
        <f t="shared" si="19"/>
        <v>0.64341054550498344</v>
      </c>
      <c r="AO34" s="75">
        <f t="shared" si="20"/>
        <v>0.6486309179800378</v>
      </c>
      <c r="AP34" s="75">
        <f t="shared" si="21"/>
        <v>0.59766294546375931</v>
      </c>
      <c r="AQ34" s="75">
        <f t="shared" si="22"/>
        <v>0.70570086019864164</v>
      </c>
      <c r="AR34" s="75">
        <f t="shared" si="23"/>
        <v>0.61325954977703767</v>
      </c>
    </row>
    <row r="35" spans="1:44" x14ac:dyDescent="0.25">
      <c r="A35" s="5">
        <v>31</v>
      </c>
      <c r="B35" s="5" t="s">
        <v>320</v>
      </c>
      <c r="C35" s="5" t="s">
        <v>321</v>
      </c>
      <c r="D35" s="6">
        <v>35255</v>
      </c>
      <c r="E35" s="7">
        <v>26775000000</v>
      </c>
      <c r="F35" s="7">
        <v>59500000000</v>
      </c>
      <c r="G35" s="7">
        <v>59500000000</v>
      </c>
      <c r="H35" s="9">
        <v>59500000000</v>
      </c>
      <c r="I35" s="8">
        <v>59500000000</v>
      </c>
      <c r="J35" s="9">
        <v>595000000</v>
      </c>
      <c r="K35" s="9">
        <v>595000000</v>
      </c>
      <c r="L35" s="9">
        <v>595000000</v>
      </c>
      <c r="M35" s="9">
        <v>595000000</v>
      </c>
      <c r="N35" s="8">
        <v>595000000</v>
      </c>
      <c r="O35" s="8">
        <f t="shared" si="4"/>
        <v>45</v>
      </c>
      <c r="P35" s="8">
        <f t="shared" si="5"/>
        <v>100</v>
      </c>
      <c r="Q35" s="8">
        <f t="shared" si="6"/>
        <v>100</v>
      </c>
      <c r="R35" s="8">
        <f t="shared" si="7"/>
        <v>100</v>
      </c>
      <c r="S35" s="8">
        <f t="shared" si="8"/>
        <v>100</v>
      </c>
      <c r="T35" s="7">
        <v>92649656775</v>
      </c>
      <c r="U35" s="7">
        <v>215459200242</v>
      </c>
      <c r="V35" s="7">
        <v>181812593992</v>
      </c>
      <c r="W35" s="8">
        <v>187066990085</v>
      </c>
      <c r="X35" s="8">
        <v>220704543072</v>
      </c>
      <c r="Y35" s="9">
        <v>595000000</v>
      </c>
      <c r="Z35" s="9">
        <v>595000000</v>
      </c>
      <c r="AA35" s="9">
        <v>595000000</v>
      </c>
      <c r="AB35" s="9">
        <v>595000000</v>
      </c>
      <c r="AC35" s="8">
        <v>595000000</v>
      </c>
      <c r="AD35" s="8">
        <f t="shared" si="9"/>
        <v>155.71370886554621</v>
      </c>
      <c r="AE35" s="8">
        <f t="shared" si="10"/>
        <v>362.11630292773111</v>
      </c>
      <c r="AF35" s="8">
        <f t="shared" si="11"/>
        <v>305.56738486050421</v>
      </c>
      <c r="AG35" s="8">
        <f t="shared" si="12"/>
        <v>314.39830266386554</v>
      </c>
      <c r="AH35" s="8">
        <f t="shared" si="13"/>
        <v>370.93200516302522</v>
      </c>
      <c r="AI35" s="70">
        <f t="shared" si="14"/>
        <v>0.28899189626814459</v>
      </c>
      <c r="AJ35" s="70">
        <f t="shared" si="15"/>
        <v>0.27615437137597576</v>
      </c>
      <c r="AK35" s="70">
        <f t="shared" si="16"/>
        <v>0.32726005769775268</v>
      </c>
      <c r="AL35" s="70">
        <f t="shared" si="17"/>
        <v>0.31806787489852822</v>
      </c>
      <c r="AM35" s="70">
        <f t="shared" si="18"/>
        <v>0.26959118816412142</v>
      </c>
      <c r="AN35" s="75">
        <f t="shared" si="19"/>
        <v>0.71100810373185541</v>
      </c>
      <c r="AO35" s="75">
        <f t="shared" si="20"/>
        <v>0.72384562862402424</v>
      </c>
      <c r="AP35" s="75">
        <f t="shared" si="21"/>
        <v>0.67273994230224732</v>
      </c>
      <c r="AQ35" s="75">
        <f t="shared" si="22"/>
        <v>0.68193212510147183</v>
      </c>
      <c r="AR35" s="75">
        <f t="shared" si="23"/>
        <v>0.73040881183587858</v>
      </c>
    </row>
    <row r="36" spans="1:44" x14ac:dyDescent="0.25">
      <c r="A36" s="5">
        <v>32</v>
      </c>
      <c r="B36" s="5" t="s">
        <v>330</v>
      </c>
      <c r="C36" s="5" t="s">
        <v>331</v>
      </c>
      <c r="D36" s="6">
        <v>30724</v>
      </c>
      <c r="E36" s="52">
        <v>208171353000</v>
      </c>
      <c r="F36" s="7">
        <v>382715026000</v>
      </c>
      <c r="G36" s="7">
        <v>312257030000</v>
      </c>
      <c r="H36" s="9">
        <v>200164763000</v>
      </c>
      <c r="I36" s="9">
        <v>240197715000</v>
      </c>
      <c r="J36" s="9">
        <v>800659050</v>
      </c>
      <c r="K36" s="9">
        <v>800659050</v>
      </c>
      <c r="L36" s="9">
        <v>800659050</v>
      </c>
      <c r="M36" s="10">
        <v>800659050</v>
      </c>
      <c r="N36" s="10">
        <v>800659050</v>
      </c>
      <c r="O36" s="8">
        <f t="shared" si="4"/>
        <v>260</v>
      </c>
      <c r="P36" s="8">
        <f t="shared" si="5"/>
        <v>478.0000001248971</v>
      </c>
      <c r="Q36" s="8">
        <f t="shared" si="6"/>
        <v>390.00000062448555</v>
      </c>
      <c r="R36" s="8">
        <f t="shared" si="7"/>
        <v>250.00000062448555</v>
      </c>
      <c r="S36" s="8">
        <f t="shared" si="8"/>
        <v>300</v>
      </c>
      <c r="T36" s="7">
        <v>338129985000</v>
      </c>
      <c r="U36" s="7">
        <v>317815177000</v>
      </c>
      <c r="V36" s="7">
        <v>123465762000</v>
      </c>
      <c r="W36" s="7">
        <v>187992998000</v>
      </c>
      <c r="X36" s="7">
        <v>230065807000</v>
      </c>
      <c r="Y36" s="9">
        <v>800659050</v>
      </c>
      <c r="Z36" s="9">
        <v>800659050</v>
      </c>
      <c r="AA36" s="9">
        <v>800659050</v>
      </c>
      <c r="AB36" s="10">
        <v>800659050</v>
      </c>
      <c r="AC36" s="10">
        <v>800659050</v>
      </c>
      <c r="AD36" s="8">
        <f t="shared" si="9"/>
        <v>422.31457322564455</v>
      </c>
      <c r="AE36" s="8">
        <f t="shared" si="10"/>
        <v>396.94196549704895</v>
      </c>
      <c r="AF36" s="8">
        <f t="shared" si="11"/>
        <v>154.20516635639103</v>
      </c>
      <c r="AG36" s="8">
        <f t="shared" si="12"/>
        <v>234.79781812245798</v>
      </c>
      <c r="AH36" s="8">
        <f t="shared" si="13"/>
        <v>287.34553990240914</v>
      </c>
      <c r="AI36" s="70">
        <f t="shared" si="14"/>
        <v>0.6156548139319854</v>
      </c>
      <c r="AJ36" s="70">
        <f t="shared" si="15"/>
        <v>1.2042062610496413</v>
      </c>
      <c r="AK36" s="70">
        <f t="shared" si="16"/>
        <v>2.5290981478735781</v>
      </c>
      <c r="AL36" s="70">
        <f t="shared" si="17"/>
        <v>1.0647458422892964</v>
      </c>
      <c r="AM36" s="70">
        <f t="shared" si="18"/>
        <v>1.0440391735395951</v>
      </c>
      <c r="AN36" s="75">
        <f t="shared" si="19"/>
        <v>0.3843451860680146</v>
      </c>
      <c r="AO36" s="75">
        <f t="shared" si="20"/>
        <v>-0.20420626104964135</v>
      </c>
      <c r="AP36" s="75">
        <f t="shared" si="21"/>
        <v>-1.5290981478735781</v>
      </c>
      <c r="AQ36" s="75">
        <f t="shared" si="22"/>
        <v>-6.4745842289296363E-2</v>
      </c>
      <c r="AR36" s="75">
        <f t="shared" si="23"/>
        <v>-4.4039173539595078E-2</v>
      </c>
    </row>
    <row r="37" spans="1:44" x14ac:dyDescent="0.25">
      <c r="A37" s="5">
        <v>33</v>
      </c>
      <c r="B37" s="5" t="s">
        <v>338</v>
      </c>
      <c r="C37" s="5" t="s">
        <v>339</v>
      </c>
      <c r="D37" s="6">
        <v>43383</v>
      </c>
      <c r="E37" s="9">
        <v>183082141237</v>
      </c>
      <c r="F37" s="7">
        <v>132379748022</v>
      </c>
      <c r="G37" s="9">
        <v>213786027326</v>
      </c>
      <c r="H37" s="9">
        <v>131923972638</v>
      </c>
      <c r="I37" s="17">
        <v>221508548952</v>
      </c>
      <c r="J37" s="10">
        <v>7379580291</v>
      </c>
      <c r="K37" s="10">
        <v>7379580291</v>
      </c>
      <c r="L37" s="10">
        <v>7379580291</v>
      </c>
      <c r="M37" s="10">
        <v>36897901455</v>
      </c>
      <c r="N37" s="17">
        <v>36897901455</v>
      </c>
      <c r="O37" s="8">
        <f t="shared" si="4"/>
        <v>24.809289148907776</v>
      </c>
      <c r="P37" s="8">
        <f t="shared" si="5"/>
        <v>17.93865542508534</v>
      </c>
      <c r="Q37" s="8">
        <f t="shared" si="6"/>
        <v>28.969943939322604</v>
      </c>
      <c r="R37" s="8">
        <f t="shared" si="7"/>
        <v>3.57537874610273</v>
      </c>
      <c r="S37" s="8">
        <f t="shared" si="8"/>
        <v>6.0032831195602752</v>
      </c>
      <c r="T37" s="9">
        <v>425481597110</v>
      </c>
      <c r="U37" s="7">
        <v>435766359480</v>
      </c>
      <c r="V37" s="9">
        <v>245103761907</v>
      </c>
      <c r="W37" s="8">
        <v>492637672186</v>
      </c>
      <c r="X37" s="8">
        <v>521714035585</v>
      </c>
      <c r="Y37" s="10">
        <v>7379580291</v>
      </c>
      <c r="Z37" s="10">
        <v>7379580291</v>
      </c>
      <c r="AA37" s="10">
        <v>7379580291</v>
      </c>
      <c r="AB37" s="10">
        <v>36897901455</v>
      </c>
      <c r="AC37" s="17">
        <v>36897901455</v>
      </c>
      <c r="AD37" s="8">
        <f t="shared" si="9"/>
        <v>57.656611938880793</v>
      </c>
      <c r="AE37" s="8">
        <f t="shared" si="10"/>
        <v>59.050290436090599</v>
      </c>
      <c r="AF37" s="8">
        <f t="shared" si="11"/>
        <v>33.213780762833359</v>
      </c>
      <c r="AG37" s="8">
        <f t="shared" si="12"/>
        <v>13.351373730205546</v>
      </c>
      <c r="AH37" s="8">
        <f t="shared" si="13"/>
        <v>14.139395873807967</v>
      </c>
      <c r="AI37" s="70">
        <f t="shared" si="14"/>
        <v>0.43029391278153839</v>
      </c>
      <c r="AJ37" s="70">
        <f t="shared" si="15"/>
        <v>0.30378606595508834</v>
      </c>
      <c r="AK37" s="70">
        <f t="shared" si="16"/>
        <v>0.87222662623643066</v>
      </c>
      <c r="AL37" s="70">
        <f t="shared" si="17"/>
        <v>0.2677910766600709</v>
      </c>
      <c r="AM37" s="70">
        <f t="shared" si="18"/>
        <v>0.42457847372962015</v>
      </c>
      <c r="AN37" s="75">
        <f t="shared" si="19"/>
        <v>0.56970608721846161</v>
      </c>
      <c r="AO37" s="75">
        <f t="shared" si="20"/>
        <v>0.69621393404491161</v>
      </c>
      <c r="AP37" s="75">
        <f t="shared" si="21"/>
        <v>0.12777337376356934</v>
      </c>
      <c r="AQ37" s="75">
        <f t="shared" si="22"/>
        <v>0.73220892333992915</v>
      </c>
      <c r="AR37" s="75">
        <f t="shared" si="23"/>
        <v>0.5754215262703799</v>
      </c>
    </row>
    <row r="38" spans="1:44" x14ac:dyDescent="0.25">
      <c r="A38" s="5">
        <v>34</v>
      </c>
      <c r="B38" s="5" t="s">
        <v>340</v>
      </c>
      <c r="C38" s="5" t="s">
        <v>341</v>
      </c>
      <c r="D38" s="6">
        <v>42908</v>
      </c>
      <c r="E38" s="7">
        <v>14200138260</v>
      </c>
      <c r="F38" s="7">
        <v>26140929100</v>
      </c>
      <c r="G38" s="7">
        <v>28635668400</v>
      </c>
      <c r="H38" s="9">
        <v>9677752680</v>
      </c>
      <c r="I38" s="17">
        <v>9677752680</v>
      </c>
      <c r="J38" s="10">
        <v>2374834620</v>
      </c>
      <c r="K38" s="10">
        <v>2378405500</v>
      </c>
      <c r="L38" s="10">
        <v>2419438170</v>
      </c>
      <c r="M38" s="10">
        <v>9677752680</v>
      </c>
      <c r="N38" s="17">
        <v>9677752680</v>
      </c>
      <c r="O38" s="8">
        <f t="shared" si="4"/>
        <v>5.9794219523378853</v>
      </c>
      <c r="P38" s="8">
        <f t="shared" si="5"/>
        <v>10.9909471282336</v>
      </c>
      <c r="Q38" s="8">
        <f t="shared" si="6"/>
        <v>11.835668608964701</v>
      </c>
      <c r="R38" s="8">
        <f t="shared" si="7"/>
        <v>1</v>
      </c>
      <c r="S38" s="8">
        <f t="shared" si="8"/>
        <v>1</v>
      </c>
      <c r="T38" s="7">
        <v>90195136265</v>
      </c>
      <c r="U38" s="7">
        <v>103723133972</v>
      </c>
      <c r="V38" s="7">
        <v>38038419405</v>
      </c>
      <c r="W38" s="8">
        <v>11844682161</v>
      </c>
      <c r="X38" s="8">
        <v>90572477</v>
      </c>
      <c r="Y38" s="10">
        <v>2374834620</v>
      </c>
      <c r="Z38" s="10">
        <v>2378405500</v>
      </c>
      <c r="AA38" s="10">
        <v>2419438170</v>
      </c>
      <c r="AB38" s="10">
        <v>9677752680</v>
      </c>
      <c r="AC38" s="17">
        <v>9677752680</v>
      </c>
      <c r="AD38" s="8">
        <f t="shared" si="9"/>
        <v>37.979544135582799</v>
      </c>
      <c r="AE38" s="8">
        <f t="shared" si="10"/>
        <v>43.6103658404759</v>
      </c>
      <c r="AF38" s="8">
        <f t="shared" si="11"/>
        <v>15.722005164942901</v>
      </c>
      <c r="AG38" s="8">
        <f t="shared" si="12"/>
        <v>1.2239083341609014</v>
      </c>
      <c r="AH38" s="8">
        <f t="shared" si="13"/>
        <v>9.358833604745518E-3</v>
      </c>
      <c r="AI38" s="70">
        <f t="shared" si="14"/>
        <v>0.15743796005007343</v>
      </c>
      <c r="AJ38" s="70">
        <f t="shared" si="15"/>
        <v>0.25202602446486749</v>
      </c>
      <c r="AK38" s="70">
        <f t="shared" si="16"/>
        <v>0.75280910321515504</v>
      </c>
      <c r="AL38" s="70">
        <f t="shared" si="17"/>
        <v>0.81705465359510721</v>
      </c>
      <c r="AM38" s="70">
        <f t="shared" si="18"/>
        <v>106.85092205218149</v>
      </c>
      <c r="AN38" s="75">
        <f t="shared" si="19"/>
        <v>0.84256203994992651</v>
      </c>
      <c r="AO38" s="75">
        <f t="shared" si="20"/>
        <v>0.74797397553513245</v>
      </c>
      <c r="AP38" s="75">
        <f t="shared" si="21"/>
        <v>0.24719089678484496</v>
      </c>
      <c r="AQ38" s="75">
        <f t="shared" si="22"/>
        <v>0.18294534640489279</v>
      </c>
      <c r="AR38" s="75">
        <f t="shared" si="23"/>
        <v>-105.85092205218149</v>
      </c>
    </row>
    <row r="39" spans="1:44" x14ac:dyDescent="0.25">
      <c r="A39" s="5">
        <v>35</v>
      </c>
      <c r="B39" s="5" t="s">
        <v>344</v>
      </c>
      <c r="C39" s="5" t="s">
        <v>345</v>
      </c>
      <c r="D39" s="6">
        <v>40458</v>
      </c>
      <c r="E39" s="7">
        <v>2689873000000</v>
      </c>
      <c r="F39" s="7">
        <v>1682890000000</v>
      </c>
      <c r="G39" s="9">
        <v>2915985000000</v>
      </c>
      <c r="H39" s="9">
        <v>3629968000000</v>
      </c>
      <c r="I39" s="9">
        <v>3532886000000</v>
      </c>
      <c r="J39" s="9">
        <v>11661908000</v>
      </c>
      <c r="K39" s="9">
        <v>11661908000</v>
      </c>
      <c r="L39" s="9">
        <v>11661908000</v>
      </c>
      <c r="M39" s="9">
        <v>11661908000</v>
      </c>
      <c r="N39" s="9">
        <v>11661908000</v>
      </c>
      <c r="O39" s="8">
        <f t="shared" si="4"/>
        <v>230.65462358303634</v>
      </c>
      <c r="P39" s="8">
        <f t="shared" si="5"/>
        <v>144.30657487608374</v>
      </c>
      <c r="Q39" s="8">
        <f t="shared" si="6"/>
        <v>250.04356062489947</v>
      </c>
      <c r="R39" s="8">
        <f t="shared" si="7"/>
        <v>311.2670756792113</v>
      </c>
      <c r="S39" s="8">
        <f t="shared" si="8"/>
        <v>302.94236586328753</v>
      </c>
      <c r="T39" s="7">
        <v>4658781000000</v>
      </c>
      <c r="U39" s="7">
        <v>5360029000000</v>
      </c>
      <c r="V39" s="9">
        <v>7418574000000</v>
      </c>
      <c r="W39" s="8">
        <v>7911943000000</v>
      </c>
      <c r="X39" s="8">
        <v>5722194000000</v>
      </c>
      <c r="Y39" s="9">
        <v>11661908000</v>
      </c>
      <c r="Z39" s="9">
        <v>11661908000</v>
      </c>
      <c r="AA39" s="9">
        <v>11661908000</v>
      </c>
      <c r="AB39" s="9">
        <v>11661908000</v>
      </c>
      <c r="AC39" s="9">
        <v>11661908000</v>
      </c>
      <c r="AD39" s="8">
        <f t="shared" si="9"/>
        <v>399.48703076717806</v>
      </c>
      <c r="AE39" s="8">
        <f t="shared" si="10"/>
        <v>459.61852897484698</v>
      </c>
      <c r="AF39" s="8">
        <f t="shared" si="11"/>
        <v>636.13724272220293</v>
      </c>
      <c r="AG39" s="8">
        <f t="shared" si="12"/>
        <v>678.44327017500052</v>
      </c>
      <c r="AH39" s="8">
        <f t="shared" si="13"/>
        <v>490.67391030695836</v>
      </c>
      <c r="AI39" s="70">
        <f t="shared" si="14"/>
        <v>0.57737700055014396</v>
      </c>
      <c r="AJ39" s="70">
        <f t="shared" si="15"/>
        <v>0.31397031620537874</v>
      </c>
      <c r="AK39" s="70">
        <f t="shared" si="16"/>
        <v>0.39306543279072231</v>
      </c>
      <c r="AL39" s="70">
        <f t="shared" si="17"/>
        <v>0.45879602519886703</v>
      </c>
      <c r="AM39" s="70">
        <f t="shared" si="18"/>
        <v>0.61740059844178641</v>
      </c>
      <c r="AN39" s="75">
        <f t="shared" si="19"/>
        <v>0.42262299944985604</v>
      </c>
      <c r="AO39" s="75">
        <f t="shared" si="20"/>
        <v>0.68602968379462126</v>
      </c>
      <c r="AP39" s="75">
        <f t="shared" si="21"/>
        <v>0.60693456720927763</v>
      </c>
      <c r="AQ39" s="75">
        <f t="shared" si="22"/>
        <v>0.54120397480113303</v>
      </c>
      <c r="AR39" s="75">
        <f t="shared" si="23"/>
        <v>0.38259940155821359</v>
      </c>
    </row>
    <row r="40" spans="1:44" x14ac:dyDescent="0.25">
      <c r="A40" s="5">
        <v>36</v>
      </c>
      <c r="B40" s="5" t="s">
        <v>350</v>
      </c>
      <c r="C40" s="5" t="s">
        <v>351</v>
      </c>
      <c r="D40" s="6">
        <v>34529</v>
      </c>
      <c r="E40" s="9">
        <v>3484931000000</v>
      </c>
      <c r="F40" s="7">
        <v>1974386000000</v>
      </c>
      <c r="G40" s="9">
        <v>3371943000000</v>
      </c>
      <c r="H40" s="9">
        <v>4126638000000</v>
      </c>
      <c r="I40" s="9">
        <v>4201345000000</v>
      </c>
      <c r="J40" s="9">
        <v>8780426500</v>
      </c>
      <c r="K40" s="9">
        <v>8780426500</v>
      </c>
      <c r="L40" s="9">
        <v>8780426500</v>
      </c>
      <c r="M40" s="9">
        <v>8780426500</v>
      </c>
      <c r="N40" s="9">
        <v>8780426500</v>
      </c>
      <c r="O40" s="8">
        <f t="shared" si="4"/>
        <v>396.89769056207007</v>
      </c>
      <c r="P40" s="8">
        <f t="shared" si="5"/>
        <v>224.86219775315016</v>
      </c>
      <c r="Q40" s="8">
        <f t="shared" si="6"/>
        <v>384.02952293946083</v>
      </c>
      <c r="R40" s="8">
        <f t="shared" si="7"/>
        <v>469.98149805137598</v>
      </c>
      <c r="S40" s="8">
        <f t="shared" si="8"/>
        <v>478.48985467847149</v>
      </c>
      <c r="T40" s="9">
        <v>4961851000000</v>
      </c>
      <c r="U40" s="7">
        <v>5902729000000</v>
      </c>
      <c r="V40" s="9">
        <v>8752066000000</v>
      </c>
      <c r="W40" s="8">
        <v>11229695000000</v>
      </c>
      <c r="X40" s="8">
        <v>9192569000000</v>
      </c>
      <c r="Y40" s="9">
        <v>8780426500</v>
      </c>
      <c r="Z40" s="9">
        <v>8780426500</v>
      </c>
      <c r="AA40" s="9">
        <v>8780426500</v>
      </c>
      <c r="AB40" s="9">
        <v>8780426500</v>
      </c>
      <c r="AC40" s="9">
        <v>8780426500</v>
      </c>
      <c r="AD40" s="8">
        <f t="shared" si="9"/>
        <v>565.10364274446124</v>
      </c>
      <c r="AE40" s="8">
        <f t="shared" si="10"/>
        <v>672.25994090378185</v>
      </c>
      <c r="AF40" s="8">
        <f t="shared" si="11"/>
        <v>996.77003161520679</v>
      </c>
      <c r="AG40" s="8">
        <f t="shared" si="12"/>
        <v>1278.9464156439326</v>
      </c>
      <c r="AH40" s="8">
        <f t="shared" si="13"/>
        <v>1046.938779112837</v>
      </c>
      <c r="AI40" s="70">
        <f t="shared" si="14"/>
        <v>0.70234495151103893</v>
      </c>
      <c r="AJ40" s="70">
        <f t="shared" si="15"/>
        <v>0.33448698051358955</v>
      </c>
      <c r="AK40" s="70">
        <f t="shared" si="16"/>
        <v>0.38527394560324385</v>
      </c>
      <c r="AL40" s="70">
        <f t="shared" si="17"/>
        <v>0.36747551914811577</v>
      </c>
      <c r="AM40" s="70">
        <f t="shared" si="18"/>
        <v>0.45703709158995703</v>
      </c>
      <c r="AN40" s="75">
        <f t="shared" si="19"/>
        <v>0.29765504848896107</v>
      </c>
      <c r="AO40" s="75">
        <f t="shared" si="20"/>
        <v>0.66551301948641051</v>
      </c>
      <c r="AP40" s="75">
        <f t="shared" si="21"/>
        <v>0.61472605439675609</v>
      </c>
      <c r="AQ40" s="75">
        <f t="shared" si="22"/>
        <v>0.63252448085188417</v>
      </c>
      <c r="AR40" s="75">
        <f t="shared" si="23"/>
        <v>0.54296290841004291</v>
      </c>
    </row>
    <row r="41" spans="1:44" x14ac:dyDescent="0.25">
      <c r="A41" s="5">
        <v>37</v>
      </c>
      <c r="B41" s="5" t="s">
        <v>360</v>
      </c>
      <c r="C41" s="5" t="s">
        <v>361</v>
      </c>
      <c r="D41" s="6">
        <v>33058</v>
      </c>
      <c r="E41" s="7">
        <f>603684892575+12865125000</f>
        <v>616550017575</v>
      </c>
      <c r="F41" s="7">
        <v>662654792025</v>
      </c>
      <c r="G41" s="7">
        <v>685013491750</v>
      </c>
      <c r="H41" s="9">
        <f>1162652385700+44109000000</f>
        <v>1206761385700</v>
      </c>
      <c r="I41" s="9">
        <f>469532694225+63568812500</f>
        <v>533101506725</v>
      </c>
      <c r="J41" s="9">
        <v>22358699725</v>
      </c>
      <c r="K41" s="9">
        <v>22358699725</v>
      </c>
      <c r="L41" s="9">
        <v>22358699725</v>
      </c>
      <c r="M41" s="9">
        <v>22358699725</v>
      </c>
      <c r="N41" s="9">
        <v>22358699725</v>
      </c>
      <c r="O41" s="8">
        <f t="shared" si="4"/>
        <v>27.575396832473896</v>
      </c>
      <c r="P41" s="8">
        <f t="shared" si="5"/>
        <v>29.637447623309857</v>
      </c>
      <c r="Q41" s="8">
        <f t="shared" si="6"/>
        <v>30.637447623309857</v>
      </c>
      <c r="R41" s="8">
        <f t="shared" si="7"/>
        <v>53.972789139910503</v>
      </c>
      <c r="S41" s="8">
        <f t="shared" si="8"/>
        <v>23.843135481126463</v>
      </c>
      <c r="T41" s="7">
        <v>1760434280304</v>
      </c>
      <c r="U41" s="7">
        <v>2051404206764</v>
      </c>
      <c r="V41" s="7">
        <v>2098168514645</v>
      </c>
      <c r="W41" s="17">
        <v>1211052647953</v>
      </c>
      <c r="X41" s="8">
        <v>1970064538149</v>
      </c>
      <c r="Y41" s="9">
        <v>22358699725</v>
      </c>
      <c r="Z41" s="9">
        <v>22358699725</v>
      </c>
      <c r="AA41" s="9">
        <v>22358699725</v>
      </c>
      <c r="AB41" s="9">
        <v>22358699725</v>
      </c>
      <c r="AC41" s="9">
        <v>22358699725</v>
      </c>
      <c r="AD41" s="8">
        <f t="shared" si="9"/>
        <v>78.735986526783591</v>
      </c>
      <c r="AE41" s="8">
        <f t="shared" si="10"/>
        <v>91.749709598284795</v>
      </c>
      <c r="AF41" s="8">
        <f t="shared" si="11"/>
        <v>93.841258232873372</v>
      </c>
      <c r="AG41" s="8">
        <f t="shared" si="12"/>
        <v>54.164717217382822</v>
      </c>
      <c r="AH41" s="8">
        <f t="shared" si="13"/>
        <v>88.111766890728703</v>
      </c>
      <c r="AI41" s="70">
        <f t="shared" si="14"/>
        <v>0.35022609163719037</v>
      </c>
      <c r="AJ41" s="70">
        <f t="shared" si="15"/>
        <v>0.32302497471734681</v>
      </c>
      <c r="AK41" s="70">
        <f t="shared" si="16"/>
        <v>0.32648163718437129</v>
      </c>
      <c r="AL41" s="70">
        <f t="shared" si="17"/>
        <v>0.99645658488897781</v>
      </c>
      <c r="AM41" s="70">
        <f t="shared" si="18"/>
        <v>0.27060103687053955</v>
      </c>
      <c r="AN41" s="75">
        <f t="shared" si="19"/>
        <v>0.64977390836280957</v>
      </c>
      <c r="AO41" s="75">
        <f t="shared" si="20"/>
        <v>0.67697502528265319</v>
      </c>
      <c r="AP41" s="75">
        <f t="shared" si="21"/>
        <v>0.67351836281562871</v>
      </c>
      <c r="AQ41" s="75">
        <f t="shared" si="22"/>
        <v>3.5434151110221856E-3</v>
      </c>
      <c r="AR41" s="75">
        <f t="shared" si="23"/>
        <v>0.7293989631294604</v>
      </c>
    </row>
    <row r="42" spans="1:44" x14ac:dyDescent="0.25">
      <c r="A42" s="5">
        <v>38</v>
      </c>
      <c r="B42" s="5" t="s">
        <v>374</v>
      </c>
      <c r="C42" s="5" t="s">
        <v>375</v>
      </c>
      <c r="D42" s="6">
        <v>40357</v>
      </c>
      <c r="E42" s="7">
        <v>36005365328</v>
      </c>
      <c r="F42" s="7">
        <v>59724779679</v>
      </c>
      <c r="G42" s="9">
        <v>149528741987</v>
      </c>
      <c r="H42" s="9">
        <v>297289648543</v>
      </c>
      <c r="I42" s="9">
        <v>346139578657</v>
      </c>
      <c r="J42" s="9">
        <v>6186488888</v>
      </c>
      <c r="K42" s="9">
        <v>6186488888</v>
      </c>
      <c r="L42" s="9">
        <v>6186488888</v>
      </c>
      <c r="M42" s="10">
        <v>6186488888</v>
      </c>
      <c r="N42" s="10">
        <v>6186488888</v>
      </c>
      <c r="O42" s="8">
        <f t="shared" si="4"/>
        <v>5.8199999999741374</v>
      </c>
      <c r="P42" s="8">
        <f t="shared" si="5"/>
        <v>9.6540672359161288</v>
      </c>
      <c r="Q42" s="8">
        <f t="shared" si="6"/>
        <v>24.170211034734507</v>
      </c>
      <c r="R42" s="8">
        <f t="shared" si="7"/>
        <v>48.054664596530024</v>
      </c>
      <c r="S42" s="8">
        <f t="shared" si="8"/>
        <v>55.95089313558951</v>
      </c>
      <c r="T42" s="7">
        <v>127171436363</v>
      </c>
      <c r="U42" s="7">
        <v>236518557420</v>
      </c>
      <c r="V42" s="9">
        <v>168610282478</v>
      </c>
      <c r="W42" s="17">
        <v>283602993676</v>
      </c>
      <c r="X42" s="8">
        <v>432247722254</v>
      </c>
      <c r="Y42" s="9">
        <v>6186488888</v>
      </c>
      <c r="Z42" s="9">
        <v>6186488888</v>
      </c>
      <c r="AA42" s="9">
        <v>6186488888</v>
      </c>
      <c r="AB42" s="10">
        <v>6186488888</v>
      </c>
      <c r="AC42" s="10">
        <v>6186488888</v>
      </c>
      <c r="AD42" s="8">
        <f t="shared" si="9"/>
        <v>20.556318562161458</v>
      </c>
      <c r="AE42" s="8">
        <f t="shared" si="10"/>
        <v>38.231468883550029</v>
      </c>
      <c r="AF42" s="8">
        <f t="shared" si="11"/>
        <v>27.254600392971724</v>
      </c>
      <c r="AG42" s="8">
        <f t="shared" si="12"/>
        <v>45.842318447562043</v>
      </c>
      <c r="AH42" s="8">
        <f t="shared" si="13"/>
        <v>69.869635277683216</v>
      </c>
      <c r="AI42" s="70">
        <f t="shared" si="14"/>
        <v>0.28312462576286207</v>
      </c>
      <c r="AJ42" s="70">
        <f t="shared" si="15"/>
        <v>0.25251625213045409</v>
      </c>
      <c r="AK42" s="70">
        <f t="shared" si="16"/>
        <v>0.88683050517106077</v>
      </c>
      <c r="AL42" s="70">
        <f t="shared" si="17"/>
        <v>1.0482599097054532</v>
      </c>
      <c r="AM42" s="70">
        <f t="shared" si="18"/>
        <v>0.80078982684285693</v>
      </c>
      <c r="AN42" s="75">
        <f t="shared" si="19"/>
        <v>0.71687537423713787</v>
      </c>
      <c r="AO42" s="75">
        <f t="shared" si="20"/>
        <v>0.74748374786954597</v>
      </c>
      <c r="AP42" s="75">
        <f t="shared" si="21"/>
        <v>0.11316949482893923</v>
      </c>
      <c r="AQ42" s="75">
        <f t="shared" si="22"/>
        <v>-4.8259909705453241E-2</v>
      </c>
      <c r="AR42" s="75">
        <f t="shared" si="23"/>
        <v>0.19921017315714307</v>
      </c>
    </row>
    <row r="43" spans="1:44" x14ac:dyDescent="0.25">
      <c r="A43" s="5">
        <v>39</v>
      </c>
      <c r="B43" s="5" t="s">
        <v>378</v>
      </c>
      <c r="C43" s="5" t="s">
        <v>379</v>
      </c>
      <c r="D43" s="6">
        <v>34220</v>
      </c>
      <c r="E43" s="7">
        <v>4351665150</v>
      </c>
      <c r="F43" s="7">
        <v>5594998050</v>
      </c>
      <c r="G43" s="7">
        <v>9324996750</v>
      </c>
      <c r="H43" s="9">
        <v>9324996750</v>
      </c>
      <c r="I43" s="17">
        <v>29841405600</v>
      </c>
      <c r="J43" s="9">
        <v>690740500</v>
      </c>
      <c r="K43" s="9">
        <v>690740500</v>
      </c>
      <c r="L43" s="17">
        <v>690740500</v>
      </c>
      <c r="M43" s="9">
        <v>690740500</v>
      </c>
      <c r="N43" s="9">
        <v>690740500</v>
      </c>
      <c r="O43" s="8">
        <f t="shared" si="4"/>
        <v>6.3</v>
      </c>
      <c r="P43" s="8">
        <f t="shared" si="5"/>
        <v>8.1</v>
      </c>
      <c r="Q43" s="8">
        <f t="shared" si="6"/>
        <v>13.5</v>
      </c>
      <c r="R43" s="8">
        <f t="shared" si="7"/>
        <v>13.5</v>
      </c>
      <c r="S43" s="8">
        <f t="shared" si="8"/>
        <v>43.202049973904813</v>
      </c>
      <c r="T43" s="7">
        <v>31954131252</v>
      </c>
      <c r="U43" s="7">
        <v>44943627900</v>
      </c>
      <c r="V43" s="7">
        <v>42520246722</v>
      </c>
      <c r="W43" s="17">
        <v>84524160228</v>
      </c>
      <c r="X43" s="17">
        <v>74865302076</v>
      </c>
      <c r="Y43" s="9">
        <v>690740500</v>
      </c>
      <c r="Z43" s="9">
        <v>690740500</v>
      </c>
      <c r="AA43" s="17">
        <v>690740500</v>
      </c>
      <c r="AB43" s="9">
        <v>690740500</v>
      </c>
      <c r="AC43" s="9">
        <v>690740500</v>
      </c>
      <c r="AD43" s="8">
        <f t="shared" si="9"/>
        <v>46.260688713055046</v>
      </c>
      <c r="AE43" s="8">
        <f t="shared" si="10"/>
        <v>65.065864677111009</v>
      </c>
      <c r="AF43" s="8">
        <f t="shared" si="11"/>
        <v>61.557483196656342</v>
      </c>
      <c r="AG43" s="8">
        <f t="shared" si="12"/>
        <v>122.36745960024061</v>
      </c>
      <c r="AH43" s="8">
        <f t="shared" si="13"/>
        <v>108.38412120905029</v>
      </c>
      <c r="AI43" s="70">
        <f t="shared" si="14"/>
        <v>0.13618474292671093</v>
      </c>
      <c r="AJ43" s="70">
        <f t="shared" si="15"/>
        <v>0.12448923932996518</v>
      </c>
      <c r="AK43" s="70">
        <f t="shared" si="16"/>
        <v>0.21930721171416068</v>
      </c>
      <c r="AL43" s="70">
        <f t="shared" si="17"/>
        <v>0.11032344745982987</v>
      </c>
      <c r="AM43" s="70">
        <f t="shared" si="18"/>
        <v>0.3986012848743507</v>
      </c>
      <c r="AN43" s="75">
        <f t="shared" si="19"/>
        <v>0.8638152570732891</v>
      </c>
      <c r="AO43" s="75">
        <f t="shared" si="20"/>
        <v>0.87551076067003486</v>
      </c>
      <c r="AP43" s="75">
        <f t="shared" si="21"/>
        <v>0.78069278828583932</v>
      </c>
      <c r="AQ43" s="75">
        <f t="shared" si="22"/>
        <v>0.88967655254017008</v>
      </c>
      <c r="AR43" s="75">
        <f t="shared" si="23"/>
        <v>0.60139871512564924</v>
      </c>
    </row>
    <row r="44" spans="1:44" x14ac:dyDescent="0.25">
      <c r="A44" s="5">
        <v>40</v>
      </c>
      <c r="B44" s="5" t="s">
        <v>386</v>
      </c>
      <c r="C44" s="5" t="s">
        <v>387</v>
      </c>
      <c r="D44" s="6">
        <v>33056</v>
      </c>
      <c r="E44" s="7">
        <v>1251000000</v>
      </c>
      <c r="F44" s="7">
        <v>150042000000</v>
      </c>
      <c r="G44" s="7">
        <v>136678000000</v>
      </c>
      <c r="H44" s="9">
        <v>894810000000</v>
      </c>
      <c r="I44" s="8">
        <v>271804000000</v>
      </c>
      <c r="J44" s="9">
        <v>11553528000</v>
      </c>
      <c r="K44" s="9">
        <v>11553528000</v>
      </c>
      <c r="L44" s="9">
        <v>11553528000</v>
      </c>
      <c r="M44" s="9">
        <v>11553528000</v>
      </c>
      <c r="N44" s="9">
        <v>11553528000</v>
      </c>
      <c r="O44" s="8">
        <f t="shared" si="4"/>
        <v>0.1082786141168308</v>
      </c>
      <c r="P44" s="8">
        <f t="shared" si="5"/>
        <v>12.986682509446466</v>
      </c>
      <c r="Q44" s="8">
        <f t="shared" si="6"/>
        <v>11.829979552566108</v>
      </c>
      <c r="R44" s="8">
        <f t="shared" si="7"/>
        <v>77.449070102223317</v>
      </c>
      <c r="S44" s="8">
        <f t="shared" si="8"/>
        <v>23.525627842854583</v>
      </c>
      <c r="T44" s="7">
        <v>701607000000</v>
      </c>
      <c r="U44" s="7">
        <v>1035865000000</v>
      </c>
      <c r="V44" s="9">
        <v>1109666000000</v>
      </c>
      <c r="W44" s="17">
        <v>1276793000000</v>
      </c>
      <c r="X44" s="8">
        <v>965486000000</v>
      </c>
      <c r="Y44" s="9">
        <v>11553528000</v>
      </c>
      <c r="Z44" s="9">
        <v>11553528000</v>
      </c>
      <c r="AA44" s="9">
        <v>11553528000</v>
      </c>
      <c r="AB44" s="9">
        <v>11553528000</v>
      </c>
      <c r="AC44" s="9">
        <v>11553528000</v>
      </c>
      <c r="AD44" s="8">
        <f t="shared" si="9"/>
        <v>60.726645575273629</v>
      </c>
      <c r="AE44" s="8">
        <f t="shared" si="10"/>
        <v>89.657894973725774</v>
      </c>
      <c r="AF44" s="8">
        <f t="shared" si="11"/>
        <v>96.0456407774318</v>
      </c>
      <c r="AG44" s="8">
        <f t="shared" si="12"/>
        <v>110.51109236936112</v>
      </c>
      <c r="AH44" s="8">
        <f t="shared" si="13"/>
        <v>83.5663357547582</v>
      </c>
      <c r="AI44" s="70">
        <f t="shared" si="14"/>
        <v>1.7830494849680803E-3</v>
      </c>
      <c r="AJ44" s="70">
        <f t="shared" si="15"/>
        <v>0.14484706018641424</v>
      </c>
      <c r="AK44" s="70">
        <f t="shared" si="16"/>
        <v>0.1231703954162784</v>
      </c>
      <c r="AL44" s="70">
        <f t="shared" si="17"/>
        <v>0.7008262106700146</v>
      </c>
      <c r="AM44" s="70">
        <f t="shared" si="18"/>
        <v>0.28152039490992103</v>
      </c>
      <c r="AN44" s="75">
        <f t="shared" si="19"/>
        <v>0.9982169505150319</v>
      </c>
      <c r="AO44" s="75">
        <f t="shared" si="20"/>
        <v>0.85515293981358576</v>
      </c>
      <c r="AP44" s="75">
        <f t="shared" si="21"/>
        <v>0.87682960458372161</v>
      </c>
      <c r="AQ44" s="75">
        <f t="shared" si="22"/>
        <v>0.2991737893299854</v>
      </c>
      <c r="AR44" s="75">
        <f t="shared" si="23"/>
        <v>0.71847960509007902</v>
      </c>
    </row>
    <row r="45" spans="1:44" x14ac:dyDescent="0.25">
      <c r="A45" s="5">
        <v>41</v>
      </c>
      <c r="B45" s="5" t="s">
        <v>394</v>
      </c>
      <c r="C45" s="5" t="s">
        <v>395</v>
      </c>
      <c r="D45" s="6">
        <v>33100</v>
      </c>
      <c r="E45" s="7">
        <v>12480930000000</v>
      </c>
      <c r="F45" s="7">
        <v>13632478000000</v>
      </c>
      <c r="G45" s="9">
        <v>13934906000000</v>
      </c>
      <c r="H45" s="9">
        <v>8467956000000</v>
      </c>
      <c r="I45" s="9">
        <v>7362934000000</v>
      </c>
      <c r="J45" s="9">
        <v>116318076900</v>
      </c>
      <c r="K45" s="9">
        <v>116318076900</v>
      </c>
      <c r="L45" s="9">
        <v>116318076900</v>
      </c>
      <c r="M45" s="10">
        <v>116318076900</v>
      </c>
      <c r="N45" s="17">
        <v>116318076900</v>
      </c>
      <c r="O45" s="8">
        <f t="shared" si="4"/>
        <v>107.30000299721254</v>
      </c>
      <c r="P45" s="8">
        <f t="shared" si="5"/>
        <v>117.19999473271896</v>
      </c>
      <c r="Q45" s="8">
        <f t="shared" si="6"/>
        <v>119.80000333035079</v>
      </c>
      <c r="R45" s="8">
        <f t="shared" si="7"/>
        <v>72.800000014443157</v>
      </c>
      <c r="S45" s="8">
        <f t="shared" si="8"/>
        <v>63.299997697950246</v>
      </c>
      <c r="T45" s="7">
        <v>13538418000000</v>
      </c>
      <c r="U45" s="7">
        <v>13721513000000</v>
      </c>
      <c r="V45" s="9">
        <v>8581378000000</v>
      </c>
      <c r="W45" s="17">
        <v>7137097000000</v>
      </c>
      <c r="X45" s="17">
        <v>6323744000000</v>
      </c>
      <c r="Y45" s="9">
        <v>116318076900</v>
      </c>
      <c r="Z45" s="9">
        <v>116318076900</v>
      </c>
      <c r="AA45" s="9">
        <v>116318076900</v>
      </c>
      <c r="AB45" s="10">
        <v>116318076900</v>
      </c>
      <c r="AC45" s="17">
        <v>116318076900</v>
      </c>
      <c r="AD45" s="8">
        <f t="shared" si="9"/>
        <v>116.391350001764</v>
      </c>
      <c r="AE45" s="8">
        <f t="shared" si="10"/>
        <v>117.9654389557742</v>
      </c>
      <c r="AF45" s="8">
        <f t="shared" si="11"/>
        <v>73.775102105389095</v>
      </c>
      <c r="AG45" s="8">
        <f t="shared" si="12"/>
        <v>61.358450811870327</v>
      </c>
      <c r="AH45" s="8">
        <f t="shared" si="13"/>
        <v>54.36596072196582</v>
      </c>
      <c r="AI45" s="70">
        <f t="shared" si="14"/>
        <v>0.92188983971391636</v>
      </c>
      <c r="AJ45" s="70">
        <f t="shared" si="15"/>
        <v>0.9935112840690381</v>
      </c>
      <c r="AK45" s="70">
        <f t="shared" si="16"/>
        <v>1.6238541176020913</v>
      </c>
      <c r="AL45" s="70">
        <f t="shared" si="17"/>
        <v>1.1864706336483868</v>
      </c>
      <c r="AM45" s="70">
        <f t="shared" si="18"/>
        <v>1.1643314466872789</v>
      </c>
      <c r="AN45" s="75">
        <f t="shared" si="19"/>
        <v>7.8110160286083641E-2</v>
      </c>
      <c r="AO45" s="75">
        <f t="shared" si="20"/>
        <v>6.4887159309618969E-3</v>
      </c>
      <c r="AP45" s="75">
        <f t="shared" si="21"/>
        <v>-0.62385411760209131</v>
      </c>
      <c r="AQ45" s="75">
        <f t="shared" si="22"/>
        <v>-0.18647063364838679</v>
      </c>
      <c r="AR45" s="75">
        <f t="shared" si="23"/>
        <v>-0.16433144668727895</v>
      </c>
    </row>
    <row r="46" spans="1:44" x14ac:dyDescent="0.25">
      <c r="A46" s="5">
        <v>42</v>
      </c>
      <c r="B46" s="5" t="s">
        <v>400</v>
      </c>
      <c r="C46" s="5" t="s">
        <v>401</v>
      </c>
      <c r="D46" s="6">
        <v>34649</v>
      </c>
      <c r="E46" s="7">
        <v>119406233000</v>
      </c>
      <c r="F46" s="7">
        <v>119618582000</v>
      </c>
      <c r="G46" s="9">
        <v>119840000000</v>
      </c>
      <c r="H46" s="9">
        <v>125440000000</v>
      </c>
      <c r="I46" s="9">
        <v>125440000000</v>
      </c>
      <c r="J46" s="9">
        <v>1120000000</v>
      </c>
      <c r="K46" s="9">
        <v>1120000000</v>
      </c>
      <c r="L46" s="9">
        <v>1120000000</v>
      </c>
      <c r="M46" s="10">
        <v>1120000000</v>
      </c>
      <c r="N46" s="8">
        <v>1120000000</v>
      </c>
      <c r="O46" s="8">
        <f t="shared" si="4"/>
        <v>106.61270803571429</v>
      </c>
      <c r="P46" s="8">
        <f t="shared" si="5"/>
        <v>106.80230535714286</v>
      </c>
      <c r="Q46" s="8">
        <f t="shared" si="6"/>
        <v>107</v>
      </c>
      <c r="R46" s="8">
        <f t="shared" si="7"/>
        <v>112</v>
      </c>
      <c r="S46" s="8">
        <f t="shared" si="8"/>
        <v>112</v>
      </c>
      <c r="T46" s="7">
        <v>200651968000</v>
      </c>
      <c r="U46" s="7">
        <v>221783249000</v>
      </c>
      <c r="V46" s="9">
        <v>162072984000</v>
      </c>
      <c r="W46" s="8">
        <v>146505337000</v>
      </c>
      <c r="X46" s="8">
        <v>149375011000</v>
      </c>
      <c r="Y46" s="9">
        <v>1120000000</v>
      </c>
      <c r="Z46" s="9">
        <v>1120000000</v>
      </c>
      <c r="AA46" s="9">
        <v>1120000000</v>
      </c>
      <c r="AB46" s="10">
        <v>1120000000</v>
      </c>
      <c r="AC46" s="8">
        <v>1120000000</v>
      </c>
      <c r="AD46" s="8">
        <f t="shared" si="9"/>
        <v>179.15354285714287</v>
      </c>
      <c r="AE46" s="8">
        <f t="shared" si="10"/>
        <v>198.02075803571429</v>
      </c>
      <c r="AF46" s="8">
        <f t="shared" si="11"/>
        <v>144.70802142857144</v>
      </c>
      <c r="AG46" s="8">
        <f t="shared" si="12"/>
        <v>130.80833660714285</v>
      </c>
      <c r="AH46" s="8">
        <f t="shared" si="13"/>
        <v>133.37054553571429</v>
      </c>
      <c r="AI46" s="70">
        <f t="shared" si="14"/>
        <v>0.59509126269820589</v>
      </c>
      <c r="AJ46" s="70">
        <f t="shared" si="15"/>
        <v>0.53934903803307521</v>
      </c>
      <c r="AK46" s="70">
        <f t="shared" si="16"/>
        <v>0.73941996403299382</v>
      </c>
      <c r="AL46" s="70">
        <f t="shared" si="17"/>
        <v>0.8562145418634135</v>
      </c>
      <c r="AM46" s="70">
        <f t="shared" si="18"/>
        <v>0.8397656285360876</v>
      </c>
      <c r="AN46" s="75">
        <f t="shared" si="19"/>
        <v>0.40490873730179411</v>
      </c>
      <c r="AO46" s="75">
        <f t="shared" si="20"/>
        <v>0.46065096196692479</v>
      </c>
      <c r="AP46" s="75">
        <f t="shared" si="21"/>
        <v>0.26058003596700618</v>
      </c>
      <c r="AQ46" s="75">
        <f t="shared" si="22"/>
        <v>0.1437854581365865</v>
      </c>
      <c r="AR46" s="75">
        <f t="shared" si="23"/>
        <v>0.1602343714639124</v>
      </c>
    </row>
    <row r="47" spans="1:44" x14ac:dyDescent="0.25">
      <c r="A47" s="5">
        <v>43</v>
      </c>
      <c r="B47" s="5" t="s">
        <v>404</v>
      </c>
      <c r="C47" s="5" t="s">
        <v>405</v>
      </c>
      <c r="D47" s="6">
        <v>37076</v>
      </c>
      <c r="E47" s="7">
        <v>98083640000</v>
      </c>
      <c r="F47" s="7">
        <v>83198920000</v>
      </c>
      <c r="G47" s="7">
        <v>32322987000</v>
      </c>
      <c r="H47" s="9">
        <v>17528119000</v>
      </c>
      <c r="I47" s="9">
        <v>90682089000</v>
      </c>
      <c r="J47" s="9">
        <v>5554000000</v>
      </c>
      <c r="K47" s="9">
        <v>5554000000</v>
      </c>
      <c r="L47" s="9">
        <v>5554000000</v>
      </c>
      <c r="M47" s="9">
        <v>5554000000</v>
      </c>
      <c r="N47" s="9">
        <v>5554000000</v>
      </c>
      <c r="O47" s="8">
        <f t="shared" si="4"/>
        <v>17.66</v>
      </c>
      <c r="P47" s="8">
        <f t="shared" si="5"/>
        <v>14.98</v>
      </c>
      <c r="Q47" s="8">
        <f t="shared" si="6"/>
        <v>5.8197671948145482</v>
      </c>
      <c r="R47" s="8">
        <f t="shared" si="7"/>
        <v>3.1559450846236947</v>
      </c>
      <c r="S47" s="8">
        <f t="shared" si="8"/>
        <v>16.327347677349657</v>
      </c>
      <c r="T47" s="7">
        <v>401792808948</v>
      </c>
      <c r="U47" s="7">
        <v>15890439000</v>
      </c>
      <c r="V47" s="7">
        <v>20425756000</v>
      </c>
      <c r="W47" s="8">
        <v>289888789000</v>
      </c>
      <c r="X47" s="8">
        <v>-109782957000</v>
      </c>
      <c r="Y47" s="9">
        <v>5554000000</v>
      </c>
      <c r="Z47" s="9">
        <v>5554000000</v>
      </c>
      <c r="AA47" s="9">
        <v>5554000000</v>
      </c>
      <c r="AB47" s="9">
        <v>5554000000</v>
      </c>
      <c r="AC47" s="9">
        <v>5554000000</v>
      </c>
      <c r="AD47" s="8">
        <f t="shared" si="9"/>
        <v>72.342961639899173</v>
      </c>
      <c r="AE47" s="8">
        <f t="shared" si="10"/>
        <v>2.8610801224342817</v>
      </c>
      <c r="AF47" s="8">
        <f t="shared" si="11"/>
        <v>3.6776658264314008</v>
      </c>
      <c r="AG47" s="8">
        <f t="shared" si="12"/>
        <v>52.194596507021963</v>
      </c>
      <c r="AH47" s="8">
        <f t="shared" si="13"/>
        <v>-19.766466870723804</v>
      </c>
      <c r="AI47" s="70">
        <f t="shared" si="14"/>
        <v>0.24411497123805911</v>
      </c>
      <c r="AJ47" s="70">
        <f t="shared" si="15"/>
        <v>5.2357848640934339</v>
      </c>
      <c r="AK47" s="70">
        <f t="shared" si="16"/>
        <v>1.5824622109458275</v>
      </c>
      <c r="AL47" s="70">
        <f t="shared" si="17"/>
        <v>6.0464977139905889E-2</v>
      </c>
      <c r="AM47" s="70">
        <f t="shared" si="18"/>
        <v>-0.82601244745120128</v>
      </c>
      <c r="AN47" s="75">
        <f t="shared" si="19"/>
        <v>0.75588502876194086</v>
      </c>
      <c r="AO47" s="75">
        <f t="shared" si="20"/>
        <v>-4.2357848640934339</v>
      </c>
      <c r="AP47" s="75">
        <f t="shared" si="21"/>
        <v>-0.58246221094582751</v>
      </c>
      <c r="AQ47" s="75">
        <f t="shared" si="22"/>
        <v>0.93953502286009416</v>
      </c>
      <c r="AR47" s="75">
        <f t="shared" si="23"/>
        <v>1.8260124474512014</v>
      </c>
    </row>
    <row r="48" spans="1:44" x14ac:dyDescent="0.25">
      <c r="A48" s="5">
        <v>44</v>
      </c>
      <c r="B48" s="5" t="s">
        <v>406</v>
      </c>
      <c r="C48" s="5" t="s">
        <v>407</v>
      </c>
      <c r="D48" s="6">
        <v>33449</v>
      </c>
      <c r="E48" s="7">
        <v>1190617265850</v>
      </c>
      <c r="F48" s="9">
        <v>1252864180779</v>
      </c>
      <c r="G48" s="9">
        <v>1252278191746</v>
      </c>
      <c r="H48" s="9">
        <v>1372742724917</v>
      </c>
      <c r="I48" s="9">
        <v>1696987952180</v>
      </c>
      <c r="J48" s="9">
        <v>46875122110</v>
      </c>
      <c r="K48" s="9">
        <v>46875122110</v>
      </c>
      <c r="L48" s="9">
        <v>46875122110</v>
      </c>
      <c r="M48" s="9">
        <v>46875122110</v>
      </c>
      <c r="N48" s="9">
        <v>46875122110</v>
      </c>
      <c r="O48" s="8">
        <f t="shared" si="4"/>
        <v>25.399768838063512</v>
      </c>
      <c r="P48" s="8">
        <f t="shared" si="5"/>
        <v>26.727699563938266</v>
      </c>
      <c r="Q48" s="8">
        <f t="shared" si="6"/>
        <v>26.715198497133045</v>
      </c>
      <c r="R48" s="8">
        <f t="shared" si="7"/>
        <v>29.285101843481897</v>
      </c>
      <c r="S48" s="8">
        <f t="shared" si="8"/>
        <v>36.202315338992513</v>
      </c>
      <c r="T48" s="7">
        <v>2497261964757</v>
      </c>
      <c r="U48" s="7">
        <v>2537601823645</v>
      </c>
      <c r="V48" s="9">
        <v>2799622515814</v>
      </c>
      <c r="W48" s="8">
        <v>3232007683281</v>
      </c>
      <c r="X48" s="8">
        <v>3450083412291</v>
      </c>
      <c r="Y48" s="9">
        <v>46875122110</v>
      </c>
      <c r="Z48" s="9">
        <v>46875122110</v>
      </c>
      <c r="AA48" s="9">
        <v>46875122110</v>
      </c>
      <c r="AB48" s="9">
        <v>46875122110</v>
      </c>
      <c r="AC48" s="9">
        <v>46875122110</v>
      </c>
      <c r="AD48" s="8">
        <f t="shared" si="9"/>
        <v>53.274783133295607</v>
      </c>
      <c r="AE48" s="8">
        <f t="shared" si="10"/>
        <v>54.135364547746882</v>
      </c>
      <c r="AF48" s="8">
        <f t="shared" si="11"/>
        <v>59.725124752619017</v>
      </c>
      <c r="AG48" s="8">
        <f t="shared" si="12"/>
        <v>68.949317629436251</v>
      </c>
      <c r="AH48" s="8">
        <f t="shared" si="13"/>
        <v>73.60158772909061</v>
      </c>
      <c r="AI48" s="70">
        <f t="shared" si="14"/>
        <v>0.47676907054717216</v>
      </c>
      <c r="AJ48" s="70">
        <f t="shared" si="15"/>
        <v>0.49371976687004088</v>
      </c>
      <c r="AK48" s="70">
        <f t="shared" si="16"/>
        <v>0.44730251477560207</v>
      </c>
      <c r="AL48" s="70">
        <f t="shared" si="17"/>
        <v>0.42473374429712019</v>
      </c>
      <c r="AM48" s="70">
        <f t="shared" si="18"/>
        <v>0.49186867370639281</v>
      </c>
      <c r="AN48" s="75">
        <f t="shared" si="19"/>
        <v>0.5232309294528279</v>
      </c>
      <c r="AO48" s="75">
        <f t="shared" si="20"/>
        <v>0.50628023312995918</v>
      </c>
      <c r="AP48" s="75">
        <f t="shared" si="21"/>
        <v>0.55269748522439799</v>
      </c>
      <c r="AQ48" s="75">
        <f t="shared" si="22"/>
        <v>0.57526625570287981</v>
      </c>
      <c r="AR48" s="75">
        <f t="shared" si="23"/>
        <v>0.50813132629360713</v>
      </c>
    </row>
    <row r="49" spans="1:44" x14ac:dyDescent="0.25">
      <c r="A49" s="5">
        <v>45</v>
      </c>
      <c r="B49" s="5" t="s">
        <v>410</v>
      </c>
      <c r="C49" s="5" t="s">
        <v>411</v>
      </c>
      <c r="D49" s="6">
        <v>43460</v>
      </c>
      <c r="E49" s="7">
        <v>87686243000</v>
      </c>
      <c r="F49" s="7">
        <v>92716852000</v>
      </c>
      <c r="G49" s="7">
        <v>71447083000</v>
      </c>
      <c r="H49" s="9">
        <v>19395150000</v>
      </c>
      <c r="I49" s="8">
        <v>6644400000</v>
      </c>
      <c r="J49" s="10">
        <v>840000000</v>
      </c>
      <c r="K49" s="10">
        <v>840000000</v>
      </c>
      <c r="L49" s="9">
        <v>840000000</v>
      </c>
      <c r="M49" s="9">
        <v>840000000</v>
      </c>
      <c r="N49" s="9">
        <v>840000000</v>
      </c>
      <c r="O49" s="8">
        <f t="shared" si="4"/>
        <v>104.38838452380952</v>
      </c>
      <c r="P49" s="8">
        <f t="shared" si="5"/>
        <v>110.37720476190476</v>
      </c>
      <c r="Q49" s="8">
        <f t="shared" si="6"/>
        <v>85.056051190476197</v>
      </c>
      <c r="R49" s="8">
        <f t="shared" si="7"/>
        <v>23.089464285714286</v>
      </c>
      <c r="S49" s="8">
        <f t="shared" si="8"/>
        <v>7.91</v>
      </c>
      <c r="T49" s="7">
        <v>133292514000</v>
      </c>
      <c r="U49" s="7">
        <v>102310124000</v>
      </c>
      <c r="V49" s="7">
        <v>48665149000</v>
      </c>
      <c r="W49" s="8">
        <v>11296951000</v>
      </c>
      <c r="X49" s="8">
        <v>27395254000</v>
      </c>
      <c r="Y49" s="10">
        <v>840000000</v>
      </c>
      <c r="Z49" s="10">
        <v>840000000</v>
      </c>
      <c r="AA49" s="9">
        <v>840000000</v>
      </c>
      <c r="AB49" s="9">
        <v>840000000</v>
      </c>
      <c r="AC49" s="9">
        <v>840000000</v>
      </c>
      <c r="AD49" s="8">
        <f t="shared" si="9"/>
        <v>158.68156428571427</v>
      </c>
      <c r="AE49" s="8">
        <f t="shared" si="10"/>
        <v>121.79776666666666</v>
      </c>
      <c r="AF49" s="8">
        <f t="shared" si="11"/>
        <v>57.93470119047619</v>
      </c>
      <c r="AG49" s="8">
        <f t="shared" si="12"/>
        <v>13.448751190476191</v>
      </c>
      <c r="AH49" s="8">
        <f t="shared" si="13"/>
        <v>32.613397619047618</v>
      </c>
      <c r="AI49" s="70">
        <f t="shared" si="14"/>
        <v>0.65784821944314142</v>
      </c>
      <c r="AJ49" s="70">
        <f t="shared" si="15"/>
        <v>0.90623340462376922</v>
      </c>
      <c r="AK49" s="70">
        <f t="shared" si="16"/>
        <v>1.4681365303124831</v>
      </c>
      <c r="AL49" s="70">
        <f t="shared" si="17"/>
        <v>1.716848200899517</v>
      </c>
      <c r="AM49" s="70">
        <f t="shared" si="18"/>
        <v>0.24253836084162608</v>
      </c>
      <c r="AN49" s="75">
        <f t="shared" si="19"/>
        <v>0.34215178055685858</v>
      </c>
      <c r="AO49" s="75">
        <f t="shared" si="20"/>
        <v>9.3766595376230777E-2</v>
      </c>
      <c r="AP49" s="75">
        <f t="shared" si="21"/>
        <v>-0.46813653031248315</v>
      </c>
      <c r="AQ49" s="75">
        <f t="shared" si="22"/>
        <v>-0.71684820089951695</v>
      </c>
      <c r="AR49" s="75">
        <f t="shared" si="23"/>
        <v>0.75746163915837394</v>
      </c>
    </row>
    <row r="50" spans="1:44" x14ac:dyDescent="0.25">
      <c r="A50" s="5">
        <v>46</v>
      </c>
      <c r="B50" s="5" t="s">
        <v>416</v>
      </c>
      <c r="C50" s="5" t="s">
        <v>417</v>
      </c>
      <c r="D50" s="6">
        <v>41626</v>
      </c>
      <c r="E50" s="7">
        <v>654882000000</v>
      </c>
      <c r="F50" s="7">
        <v>640028000000</v>
      </c>
      <c r="G50" s="7">
        <v>773988000000</v>
      </c>
      <c r="H50" s="9">
        <v>1018142000000</v>
      </c>
      <c r="I50" s="9">
        <v>1086000000000</v>
      </c>
      <c r="J50" s="10">
        <v>15000000000</v>
      </c>
      <c r="K50" s="10">
        <v>15000000000</v>
      </c>
      <c r="L50" s="9">
        <v>30000000000</v>
      </c>
      <c r="M50" s="9">
        <v>30000000000</v>
      </c>
      <c r="N50" s="9">
        <v>30000000000</v>
      </c>
      <c r="O50" s="8">
        <f t="shared" si="4"/>
        <v>43.658799999999999</v>
      </c>
      <c r="P50" s="8">
        <f t="shared" si="5"/>
        <v>42.668533333333336</v>
      </c>
      <c r="Q50" s="8">
        <f t="shared" si="6"/>
        <v>25.799600000000002</v>
      </c>
      <c r="R50" s="8">
        <f t="shared" si="7"/>
        <v>33.938066666666664</v>
      </c>
      <c r="S50" s="8">
        <f t="shared" si="8"/>
        <v>36.200000000000003</v>
      </c>
      <c r="T50" s="7">
        <v>663849000000</v>
      </c>
      <c r="U50" s="7">
        <v>807689000000</v>
      </c>
      <c r="V50" s="7">
        <v>934016000000</v>
      </c>
      <c r="W50" s="17">
        <v>1260898000000</v>
      </c>
      <c r="X50" s="17">
        <v>1104714000000</v>
      </c>
      <c r="Y50" s="10">
        <v>15000000000</v>
      </c>
      <c r="Z50" s="10">
        <v>15000000000</v>
      </c>
      <c r="AA50" s="9">
        <v>30000000000</v>
      </c>
      <c r="AB50" s="9">
        <v>30000000000</v>
      </c>
      <c r="AC50" s="9">
        <v>30000000000</v>
      </c>
      <c r="AD50" s="8">
        <f t="shared" si="9"/>
        <v>44.256599999999999</v>
      </c>
      <c r="AE50" s="8">
        <f t="shared" si="10"/>
        <v>53.845933333333335</v>
      </c>
      <c r="AF50" s="8">
        <f t="shared" si="11"/>
        <v>31.133866666666666</v>
      </c>
      <c r="AG50" s="8">
        <f t="shared" si="12"/>
        <v>42.029933333333332</v>
      </c>
      <c r="AH50" s="8">
        <f t="shared" si="13"/>
        <v>36.823799999999999</v>
      </c>
      <c r="AI50" s="70">
        <f t="shared" si="14"/>
        <v>0.98649241017159028</v>
      </c>
      <c r="AJ50" s="70">
        <f t="shared" si="15"/>
        <v>0.79241886419153906</v>
      </c>
      <c r="AK50" s="70">
        <f t="shared" si="16"/>
        <v>0.82866674660819517</v>
      </c>
      <c r="AL50" s="70">
        <f t="shared" si="17"/>
        <v>0.80747372110987559</v>
      </c>
      <c r="AM50" s="70">
        <f t="shared" si="18"/>
        <v>0.98305986888914243</v>
      </c>
      <c r="AN50" s="75">
        <f t="shared" si="19"/>
        <v>1.3507589828409716E-2</v>
      </c>
      <c r="AO50" s="75">
        <f t="shared" si="20"/>
        <v>0.20758113580846094</v>
      </c>
      <c r="AP50" s="75">
        <f t="shared" si="21"/>
        <v>0.17133325339180483</v>
      </c>
      <c r="AQ50" s="75">
        <f t="shared" si="22"/>
        <v>0.19252627889012441</v>
      </c>
      <c r="AR50" s="75">
        <f t="shared" si="23"/>
        <v>1.694013111085757E-2</v>
      </c>
    </row>
    <row r="51" spans="1:44" x14ac:dyDescent="0.25">
      <c r="A51" s="5">
        <v>47</v>
      </c>
      <c r="B51" s="5" t="s">
        <v>420</v>
      </c>
      <c r="C51" s="5" t="s">
        <v>421</v>
      </c>
      <c r="D51" s="6">
        <v>34351</v>
      </c>
      <c r="E51" s="7">
        <v>180000000000</v>
      </c>
      <c r="F51" s="7">
        <v>180000000000</v>
      </c>
      <c r="G51" s="7">
        <v>225000000000</v>
      </c>
      <c r="H51" s="9">
        <v>360197286000</v>
      </c>
      <c r="I51" s="9">
        <v>338239822500</v>
      </c>
      <c r="J51" s="10">
        <v>4500000000</v>
      </c>
      <c r="K51" s="10">
        <v>4500000000</v>
      </c>
      <c r="L51" s="9">
        <v>4500000000</v>
      </c>
      <c r="M51" s="9">
        <v>4509864300</v>
      </c>
      <c r="N51" s="9">
        <v>4509864300</v>
      </c>
      <c r="O51" s="8">
        <f t="shared" si="4"/>
        <v>40</v>
      </c>
      <c r="P51" s="8">
        <f t="shared" si="5"/>
        <v>40</v>
      </c>
      <c r="Q51" s="8">
        <f t="shared" si="6"/>
        <v>50</v>
      </c>
      <c r="R51" s="8">
        <f t="shared" si="7"/>
        <v>79.868763678765234</v>
      </c>
      <c r="S51" s="8">
        <f t="shared" si="8"/>
        <v>75</v>
      </c>
      <c r="T51" s="7">
        <v>540378145887</v>
      </c>
      <c r="U51" s="7">
        <v>595154912874</v>
      </c>
      <c r="V51" s="7">
        <v>834369751682</v>
      </c>
      <c r="W51" s="17">
        <v>877817637643</v>
      </c>
      <c r="X51" s="17">
        <v>1037527882044</v>
      </c>
      <c r="Y51" s="10">
        <v>4500000000</v>
      </c>
      <c r="Z51" s="10">
        <v>4500000000</v>
      </c>
      <c r="AA51" s="9">
        <v>4500000000</v>
      </c>
      <c r="AB51" s="9">
        <v>4509864300</v>
      </c>
      <c r="AC51" s="9">
        <v>4509864300</v>
      </c>
      <c r="AD51" s="8">
        <f t="shared" si="9"/>
        <v>120.08403241933334</v>
      </c>
      <c r="AE51" s="8">
        <f t="shared" si="10"/>
        <v>132.25664730533333</v>
      </c>
      <c r="AF51" s="8">
        <f t="shared" si="11"/>
        <v>185.41550037377777</v>
      </c>
      <c r="AG51" s="8">
        <f t="shared" si="12"/>
        <v>194.64391370778051</v>
      </c>
      <c r="AH51" s="8">
        <f t="shared" si="13"/>
        <v>230.05745029711869</v>
      </c>
      <c r="AI51" s="70">
        <f t="shared" si="14"/>
        <v>0.33310007329134345</v>
      </c>
      <c r="AJ51" s="70">
        <f t="shared" si="15"/>
        <v>0.3024422652092057</v>
      </c>
      <c r="AK51" s="70">
        <f t="shared" si="16"/>
        <v>0.2696646175708361</v>
      </c>
      <c r="AL51" s="70">
        <f t="shared" si="17"/>
        <v>0.41033270528392912</v>
      </c>
      <c r="AM51" s="70">
        <f t="shared" si="18"/>
        <v>0.32600552558996748</v>
      </c>
      <c r="AN51" s="75">
        <f t="shared" si="19"/>
        <v>0.66689992670865661</v>
      </c>
      <c r="AO51" s="75">
        <f t="shared" si="20"/>
        <v>0.6975577347907943</v>
      </c>
      <c r="AP51" s="75">
        <f t="shared" si="21"/>
        <v>0.73033538242916385</v>
      </c>
      <c r="AQ51" s="75">
        <f t="shared" si="22"/>
        <v>0.58966729471607082</v>
      </c>
      <c r="AR51" s="75">
        <f t="shared" si="23"/>
        <v>0.67399447441003257</v>
      </c>
    </row>
    <row r="52" spans="1:44" x14ac:dyDescent="0.25">
      <c r="A52" s="5">
        <v>48</v>
      </c>
      <c r="B52" s="19" t="s">
        <v>424</v>
      </c>
      <c r="C52" s="19" t="s">
        <v>425</v>
      </c>
      <c r="D52" s="6">
        <v>43003</v>
      </c>
      <c r="E52" s="52">
        <v>30723000000</v>
      </c>
      <c r="F52" s="52">
        <v>30362000000</v>
      </c>
      <c r="G52" s="52">
        <v>22771000000</v>
      </c>
      <c r="H52" s="52">
        <v>30362000000</v>
      </c>
      <c r="I52" s="9">
        <v>25302000000</v>
      </c>
      <c r="J52" s="10">
        <v>2131776780</v>
      </c>
      <c r="K52" s="10">
        <v>2530150002</v>
      </c>
      <c r="L52" s="10">
        <v>2530150002</v>
      </c>
      <c r="M52" s="10">
        <v>2530150002</v>
      </c>
      <c r="N52" s="10">
        <v>2530150002</v>
      </c>
      <c r="O52" s="8">
        <f t="shared" si="4"/>
        <v>14.411921683470068</v>
      </c>
      <c r="P52" s="8">
        <f t="shared" si="5"/>
        <v>12.000079037211171</v>
      </c>
      <c r="Q52" s="8">
        <f t="shared" si="6"/>
        <v>8.9998616611664435</v>
      </c>
      <c r="R52" s="8">
        <f t="shared" si="7"/>
        <v>12.000079037211171</v>
      </c>
      <c r="S52" s="8">
        <f t="shared" si="8"/>
        <v>10.000197608837265</v>
      </c>
      <c r="T52" s="7">
        <v>914065000000</v>
      </c>
      <c r="U52" s="7">
        <v>923795000000</v>
      </c>
      <c r="V52" s="7">
        <v>40085000000</v>
      </c>
      <c r="W52" s="8">
        <v>38851000000</v>
      </c>
      <c r="X52" s="8">
        <v>38417000000</v>
      </c>
      <c r="Y52" s="10">
        <v>2131776780</v>
      </c>
      <c r="Z52" s="10">
        <v>2530150002</v>
      </c>
      <c r="AA52" s="10">
        <v>2530150002</v>
      </c>
      <c r="AB52" s="10">
        <v>2530150002</v>
      </c>
      <c r="AC52" s="10">
        <v>2530150002</v>
      </c>
      <c r="AD52" s="8">
        <f t="shared" si="9"/>
        <v>428.78082197705521</v>
      </c>
      <c r="AE52" s="8">
        <f t="shared" si="10"/>
        <v>365.11471623017235</v>
      </c>
      <c r="AF52" s="8">
        <f t="shared" si="11"/>
        <v>15.842934200863242</v>
      </c>
      <c r="AG52" s="8">
        <f t="shared" si="12"/>
        <v>15.355216081769685</v>
      </c>
      <c r="AH52" s="8">
        <f t="shared" si="13"/>
        <v>15.183684749770816</v>
      </c>
      <c r="AI52" s="70">
        <f t="shared" si="14"/>
        <v>3.3611395250884787E-2</v>
      </c>
      <c r="AJ52" s="70">
        <f t="shared" si="15"/>
        <v>3.2866599191379041E-2</v>
      </c>
      <c r="AK52" s="70">
        <f t="shared" si="16"/>
        <v>0.56806785580641139</v>
      </c>
      <c r="AL52" s="70">
        <f t="shared" si="17"/>
        <v>0.78149854572597877</v>
      </c>
      <c r="AM52" s="70">
        <f t="shared" si="18"/>
        <v>0.65861467579457023</v>
      </c>
      <c r="AN52" s="75">
        <f t="shared" si="19"/>
        <v>0.96638860474911525</v>
      </c>
      <c r="AO52" s="75">
        <f t="shared" si="20"/>
        <v>0.96713340080862098</v>
      </c>
      <c r="AP52" s="75">
        <f t="shared" si="21"/>
        <v>0.43193214419358861</v>
      </c>
      <c r="AQ52" s="75">
        <f t="shared" si="22"/>
        <v>0.21850145427402123</v>
      </c>
      <c r="AR52" s="75">
        <f t="shared" si="23"/>
        <v>0.34138532420542977</v>
      </c>
    </row>
    <row r="53" spans="1:44" x14ac:dyDescent="0.25">
      <c r="A53" s="5">
        <v>49</v>
      </c>
      <c r="B53" s="5" t="s">
        <v>438</v>
      </c>
      <c r="C53" s="5" t="s">
        <v>439</v>
      </c>
      <c r="D53" s="6">
        <v>29962</v>
      </c>
      <c r="E53" s="7">
        <v>6981450000000</v>
      </c>
      <c r="F53" s="7">
        <v>9191962000000</v>
      </c>
      <c r="G53" s="9">
        <v>7401100000000</v>
      </c>
      <c r="H53" s="9">
        <v>6332900000000</v>
      </c>
      <c r="I53" s="9">
        <v>5836950000000</v>
      </c>
      <c r="J53" s="10">
        <v>7630000000</v>
      </c>
      <c r="K53" s="10">
        <v>7630000000</v>
      </c>
      <c r="L53" s="9">
        <v>38150000000</v>
      </c>
      <c r="M53" s="9">
        <v>38150000000</v>
      </c>
      <c r="N53" s="9">
        <v>38150000000</v>
      </c>
      <c r="O53" s="8">
        <f t="shared" si="4"/>
        <v>915</v>
      </c>
      <c r="P53" s="8">
        <f t="shared" si="5"/>
        <v>1204.7132372214942</v>
      </c>
      <c r="Q53" s="8">
        <f t="shared" si="6"/>
        <v>194</v>
      </c>
      <c r="R53" s="8">
        <f t="shared" si="7"/>
        <v>166</v>
      </c>
      <c r="S53" s="8">
        <f t="shared" si="8"/>
        <v>153</v>
      </c>
      <c r="T53" s="7">
        <v>9109445000000</v>
      </c>
      <c r="U53" s="7">
        <v>7392837000000</v>
      </c>
      <c r="V53" s="9">
        <v>7163536000000</v>
      </c>
      <c r="W53" s="17">
        <v>5758148000000</v>
      </c>
      <c r="X53" s="17">
        <v>5364761000000</v>
      </c>
      <c r="Y53" s="10">
        <v>7630000000</v>
      </c>
      <c r="Z53" s="10">
        <v>7630000000</v>
      </c>
      <c r="AA53" s="9">
        <v>38150000000</v>
      </c>
      <c r="AB53" s="9">
        <v>38150000000</v>
      </c>
      <c r="AC53" s="9">
        <v>38150000000</v>
      </c>
      <c r="AD53" s="8">
        <f t="shared" si="9"/>
        <v>1193.8984272608125</v>
      </c>
      <c r="AE53" s="8">
        <f t="shared" si="10"/>
        <v>968.91703800786365</v>
      </c>
      <c r="AF53" s="8">
        <f t="shared" si="11"/>
        <v>187.77289646133684</v>
      </c>
      <c r="AG53" s="8">
        <f t="shared" si="12"/>
        <v>150.93441677588467</v>
      </c>
      <c r="AH53" s="8">
        <f t="shared" si="13"/>
        <v>140.62283093053736</v>
      </c>
      <c r="AI53" s="70">
        <f t="shared" si="14"/>
        <v>0.76639685513222822</v>
      </c>
      <c r="AJ53" s="70">
        <f t="shared" si="15"/>
        <v>1.2433605664510121</v>
      </c>
      <c r="AK53" s="70">
        <f t="shared" si="16"/>
        <v>1.0331629519276513</v>
      </c>
      <c r="AL53" s="70">
        <f t="shared" si="17"/>
        <v>1.0998154267656892</v>
      </c>
      <c r="AM53" s="70">
        <f t="shared" si="18"/>
        <v>1.0880167821082802</v>
      </c>
      <c r="AN53" s="75">
        <f t="shared" si="19"/>
        <v>0.23360314486777178</v>
      </c>
      <c r="AO53" s="75">
        <f t="shared" si="20"/>
        <v>-0.24336056645101212</v>
      </c>
      <c r="AP53" s="75">
        <f t="shared" si="21"/>
        <v>-3.3162951927651285E-2</v>
      </c>
      <c r="AQ53" s="75">
        <f t="shared" si="22"/>
        <v>-9.9815426765689219E-2</v>
      </c>
      <c r="AR53" s="75">
        <f t="shared" si="23"/>
        <v>-8.8016782108280234E-2</v>
      </c>
    </row>
  </sheetData>
  <mergeCells count="8">
    <mergeCell ref="AI3:AM3"/>
    <mergeCell ref="AN3:AR3"/>
    <mergeCell ref="T3:X3"/>
    <mergeCell ref="E3:I3"/>
    <mergeCell ref="J3:N3"/>
    <mergeCell ref="O3:S3"/>
    <mergeCell ref="AD3:AH3"/>
    <mergeCell ref="Y3:A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awalan</vt:lpstr>
      <vt:lpstr>hasil seleksi sampel</vt:lpstr>
      <vt:lpstr>1</vt:lpstr>
      <vt:lpstr>2</vt:lpstr>
      <vt:lpstr>3</vt:lpstr>
      <vt:lpstr>sampel</vt:lpstr>
      <vt:lpstr>ESG</vt:lpstr>
      <vt:lpstr>cash</vt:lpstr>
      <vt:lpstr>RR</vt:lpstr>
      <vt:lpstr>TOBINS</vt:lpstr>
      <vt:lpstr>UKURAN PERUSAHAAN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Anggie cahyani</cp:lastModifiedBy>
  <dcterms:created xsi:type="dcterms:W3CDTF">2024-03-04T02:30:40Z</dcterms:created>
  <dcterms:modified xsi:type="dcterms:W3CDTF">2024-03-26T15:58:47Z</dcterms:modified>
</cp:coreProperties>
</file>