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-PC\Documents\Downloads\"/>
    </mc:Choice>
  </mc:AlternateContent>
  <bookViews>
    <workbookView xWindow="0" yWindow="0" windowWidth="20490" windowHeight="7755"/>
  </bookViews>
  <sheets>
    <sheet name="Perhitungan VAIC" sheetId="1" r:id="rId1"/>
    <sheet name="Perhitungan PER" sheetId="2" r:id="rId2"/>
    <sheet name="Perhitungan DPR" sheetId="3" r:id="rId3"/>
    <sheet name="Perhitungan PBV" sheetId="5" r:id="rId4"/>
    <sheet name="Perhitungan Kep Manajerial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6" l="1"/>
  <c r="G11" i="6"/>
  <c r="G12" i="6"/>
  <c r="G13" i="6"/>
  <c r="G15" i="6"/>
  <c r="G16" i="6"/>
  <c r="G17" i="6"/>
  <c r="G18" i="6"/>
  <c r="G19" i="6"/>
  <c r="G21" i="6"/>
  <c r="G22" i="6"/>
  <c r="G23" i="6"/>
  <c r="G24" i="6"/>
  <c r="G25" i="6"/>
  <c r="G27" i="6"/>
  <c r="G28" i="6"/>
  <c r="G29" i="6"/>
  <c r="G30" i="6"/>
  <c r="G31" i="6"/>
  <c r="G33" i="6"/>
  <c r="G34" i="6"/>
  <c r="G35" i="6"/>
  <c r="G36" i="6"/>
  <c r="G37" i="6"/>
  <c r="G39" i="6"/>
  <c r="G40" i="6"/>
  <c r="G41" i="6"/>
  <c r="G42" i="6"/>
  <c r="G43" i="6"/>
  <c r="G45" i="6"/>
  <c r="G46" i="6"/>
  <c r="G47" i="6"/>
  <c r="G48" i="6"/>
  <c r="G49" i="6"/>
  <c r="G51" i="6"/>
  <c r="G52" i="6"/>
  <c r="G53" i="6"/>
  <c r="G54" i="6"/>
  <c r="G55" i="6"/>
  <c r="G57" i="6"/>
  <c r="G58" i="6"/>
  <c r="G59" i="6"/>
  <c r="G60" i="6"/>
  <c r="G61" i="6"/>
  <c r="G63" i="6"/>
  <c r="G64" i="6"/>
  <c r="G65" i="6"/>
  <c r="G66" i="6"/>
  <c r="G67" i="6"/>
  <c r="G69" i="6"/>
  <c r="G70" i="6"/>
  <c r="G71" i="6"/>
  <c r="G72" i="6"/>
  <c r="G73" i="6"/>
  <c r="G75" i="6"/>
  <c r="G76" i="6"/>
  <c r="G77" i="6"/>
  <c r="G78" i="6"/>
  <c r="G79" i="6"/>
  <c r="G81" i="6"/>
  <c r="G82" i="6"/>
  <c r="G83" i="6"/>
  <c r="G84" i="6"/>
  <c r="G85" i="6"/>
  <c r="G87" i="6"/>
  <c r="G88" i="6"/>
  <c r="G89" i="6"/>
  <c r="G90" i="6"/>
  <c r="G91" i="6"/>
  <c r="G93" i="6"/>
  <c r="G94" i="6"/>
  <c r="G95" i="6"/>
  <c r="G96" i="6"/>
  <c r="G97" i="6"/>
  <c r="G99" i="6"/>
  <c r="G100" i="6"/>
  <c r="G101" i="6"/>
  <c r="G102" i="6"/>
  <c r="G103" i="6"/>
  <c r="G9" i="6"/>
  <c r="M36" i="1"/>
  <c r="M75" i="1"/>
  <c r="J35" i="1"/>
  <c r="M35" i="1" s="1"/>
  <c r="J46" i="1"/>
  <c r="M46" i="1" s="1"/>
  <c r="J99" i="1"/>
  <c r="M99" i="1" s="1"/>
  <c r="L35" i="1"/>
  <c r="N35" i="1" s="1"/>
  <c r="L36" i="1"/>
  <c r="L75" i="1"/>
  <c r="L88" i="1"/>
  <c r="F6" i="1"/>
  <c r="F17" i="1"/>
  <c r="J17" i="1" s="1"/>
  <c r="M17" i="1" s="1"/>
  <c r="F63" i="1"/>
  <c r="J63" i="1" s="1"/>
  <c r="M63" i="1" s="1"/>
  <c r="F91" i="1"/>
  <c r="L91" i="1" s="1"/>
  <c r="F101" i="1"/>
  <c r="J101" i="1" s="1"/>
  <c r="M101" i="1" s="1"/>
  <c r="E4" i="1"/>
  <c r="F4" i="1" s="1"/>
  <c r="E5" i="1"/>
  <c r="F5" i="1" s="1"/>
  <c r="E6" i="1"/>
  <c r="E7" i="1"/>
  <c r="F7" i="1" s="1"/>
  <c r="L7" i="1" s="1"/>
  <c r="E15" i="1"/>
  <c r="F15" i="1" s="1"/>
  <c r="L15" i="1" s="1"/>
  <c r="E16" i="1"/>
  <c r="F16" i="1" s="1"/>
  <c r="L16" i="1" s="1"/>
  <c r="E17" i="1"/>
  <c r="E18" i="1"/>
  <c r="F18" i="1" s="1"/>
  <c r="E19" i="1"/>
  <c r="F19" i="1" s="1"/>
  <c r="E30" i="1"/>
  <c r="F30" i="1" s="1"/>
  <c r="J30" i="1" s="1"/>
  <c r="M30" i="1" s="1"/>
  <c r="E31" i="1"/>
  <c r="F31" i="1" s="1"/>
  <c r="E33" i="1"/>
  <c r="F33" i="1" s="1"/>
  <c r="E34" i="1"/>
  <c r="F34" i="1" s="1"/>
  <c r="E35" i="1"/>
  <c r="F35" i="1" s="1"/>
  <c r="E36" i="1"/>
  <c r="F36" i="1" s="1"/>
  <c r="J36" i="1" s="1"/>
  <c r="E37" i="1"/>
  <c r="F37" i="1" s="1"/>
  <c r="E39" i="1"/>
  <c r="F39" i="1" s="1"/>
  <c r="E40" i="1"/>
  <c r="F40" i="1" s="1"/>
  <c r="L40" i="1" s="1"/>
  <c r="E41" i="1"/>
  <c r="F41" i="1" s="1"/>
  <c r="L41" i="1" s="1"/>
  <c r="E42" i="1"/>
  <c r="F42" i="1" s="1"/>
  <c r="E43" i="1"/>
  <c r="F43" i="1" s="1"/>
  <c r="E51" i="1"/>
  <c r="F51" i="1" s="1"/>
  <c r="E58" i="1"/>
  <c r="F58" i="1" s="1"/>
  <c r="E63" i="1"/>
  <c r="E65" i="1"/>
  <c r="F65" i="1" s="1"/>
  <c r="L65" i="1" s="1"/>
  <c r="E70" i="1"/>
  <c r="F70" i="1" s="1"/>
  <c r="E75" i="1"/>
  <c r="F75" i="1" s="1"/>
  <c r="J75" i="1" s="1"/>
  <c r="E76" i="1"/>
  <c r="F76" i="1" s="1"/>
  <c r="E79" i="1"/>
  <c r="F79" i="1" s="1"/>
  <c r="L79" i="1" s="1"/>
  <c r="E81" i="1"/>
  <c r="F81" i="1" s="1"/>
  <c r="E85" i="1"/>
  <c r="F85" i="1" s="1"/>
  <c r="E87" i="1"/>
  <c r="F87" i="1" s="1"/>
  <c r="E88" i="1"/>
  <c r="F88" i="1" s="1"/>
  <c r="J88" i="1" s="1"/>
  <c r="M88" i="1" s="1"/>
  <c r="E89" i="1"/>
  <c r="F89" i="1" s="1"/>
  <c r="E90" i="1"/>
  <c r="F90" i="1" s="1"/>
  <c r="E91" i="1"/>
  <c r="E99" i="1"/>
  <c r="F99" i="1" s="1"/>
  <c r="L99" i="1" s="1"/>
  <c r="E100" i="1"/>
  <c r="F100" i="1" s="1"/>
  <c r="E101" i="1"/>
  <c r="E102" i="1"/>
  <c r="F102" i="1" s="1"/>
  <c r="E103" i="1"/>
  <c r="F103" i="1" s="1"/>
  <c r="L103" i="1" s="1"/>
  <c r="K4" i="1"/>
  <c r="K6" i="1"/>
  <c r="K16" i="1"/>
  <c r="K17" i="1"/>
  <c r="K18" i="1"/>
  <c r="K30" i="1"/>
  <c r="K31" i="1"/>
  <c r="K35" i="1"/>
  <c r="K36" i="1"/>
  <c r="K40" i="1"/>
  <c r="K41" i="1"/>
  <c r="K46" i="1"/>
  <c r="K51" i="1"/>
  <c r="K70" i="1"/>
  <c r="K75" i="1"/>
  <c r="K79" i="1"/>
  <c r="K88" i="1"/>
  <c r="K89" i="1"/>
  <c r="K99" i="1"/>
  <c r="N99" i="1" s="1"/>
  <c r="K102" i="1"/>
  <c r="K103" i="1"/>
  <c r="E3" i="1"/>
  <c r="F3" i="1" s="1"/>
  <c r="G9" i="1"/>
  <c r="E9" i="1" s="1"/>
  <c r="F9" i="1" s="1"/>
  <c r="H9" i="1"/>
  <c r="G10" i="1"/>
  <c r="E10" i="1" s="1"/>
  <c r="F10" i="1" s="1"/>
  <c r="H10" i="1"/>
  <c r="G11" i="1"/>
  <c r="E11" i="1" s="1"/>
  <c r="F11" i="1" s="1"/>
  <c r="H11" i="1"/>
  <c r="G12" i="1"/>
  <c r="H12" i="1"/>
  <c r="G13" i="1"/>
  <c r="E13" i="1" s="1"/>
  <c r="F13" i="1" s="1"/>
  <c r="H13" i="1"/>
  <c r="G21" i="1"/>
  <c r="H21" i="1"/>
  <c r="G22" i="1"/>
  <c r="E22" i="1" s="1"/>
  <c r="F22" i="1" s="1"/>
  <c r="L22" i="1" s="1"/>
  <c r="H22" i="1"/>
  <c r="G23" i="1"/>
  <c r="E23" i="1" s="1"/>
  <c r="F23" i="1" s="1"/>
  <c r="H23" i="1"/>
  <c r="G24" i="1"/>
  <c r="E24" i="1" s="1"/>
  <c r="F24" i="1" s="1"/>
  <c r="H24" i="1"/>
  <c r="G25" i="1"/>
  <c r="H25" i="1"/>
  <c r="G27" i="1"/>
  <c r="E27" i="1" s="1"/>
  <c r="F27" i="1" s="1"/>
  <c r="L27" i="1" s="1"/>
  <c r="H27" i="1"/>
  <c r="G28" i="1"/>
  <c r="H28" i="1"/>
  <c r="E28" i="1" s="1"/>
  <c r="F28" i="1" s="1"/>
  <c r="G29" i="1"/>
  <c r="E29" i="1" s="1"/>
  <c r="F29" i="1" s="1"/>
  <c r="H29" i="1"/>
  <c r="G39" i="1"/>
  <c r="H39" i="1"/>
  <c r="H45" i="1"/>
  <c r="E45" i="1" s="1"/>
  <c r="F45" i="1" s="1"/>
  <c r="H46" i="1"/>
  <c r="E46" i="1" s="1"/>
  <c r="F46" i="1" s="1"/>
  <c r="L46" i="1" s="1"/>
  <c r="H47" i="1"/>
  <c r="E47" i="1" s="1"/>
  <c r="F47" i="1" s="1"/>
  <c r="H48" i="1"/>
  <c r="E48" i="1" s="1"/>
  <c r="F48" i="1" s="1"/>
  <c r="H49" i="1"/>
  <c r="E49" i="1" s="1"/>
  <c r="F49" i="1" s="1"/>
  <c r="J49" i="1" s="1"/>
  <c r="M49" i="1" s="1"/>
  <c r="G51" i="1"/>
  <c r="H51" i="1"/>
  <c r="G52" i="1"/>
  <c r="H52" i="1"/>
  <c r="E52" i="1" s="1"/>
  <c r="F52" i="1" s="1"/>
  <c r="G53" i="1"/>
  <c r="E53" i="1" s="1"/>
  <c r="F53" i="1" s="1"/>
  <c r="H53" i="1"/>
  <c r="G54" i="1"/>
  <c r="H54" i="1"/>
  <c r="G55" i="1"/>
  <c r="E55" i="1" s="1"/>
  <c r="F55" i="1" s="1"/>
  <c r="H55" i="1"/>
  <c r="G57" i="1"/>
  <c r="E57" i="1" s="1"/>
  <c r="F57" i="1" s="1"/>
  <c r="H57" i="1"/>
  <c r="G58" i="1"/>
  <c r="H58" i="1"/>
  <c r="G59" i="1"/>
  <c r="H59" i="1"/>
  <c r="G60" i="1"/>
  <c r="E60" i="1" s="1"/>
  <c r="F60" i="1" s="1"/>
  <c r="H60" i="1"/>
  <c r="G61" i="1"/>
  <c r="E61" i="1" s="1"/>
  <c r="F61" i="1" s="1"/>
  <c r="H61" i="1"/>
  <c r="G63" i="1"/>
  <c r="H63" i="1"/>
  <c r="G64" i="1"/>
  <c r="H64" i="1"/>
  <c r="G65" i="1"/>
  <c r="H65" i="1"/>
  <c r="G66" i="1"/>
  <c r="E66" i="1" s="1"/>
  <c r="F66" i="1" s="1"/>
  <c r="H66" i="1"/>
  <c r="G67" i="1"/>
  <c r="E67" i="1" s="1"/>
  <c r="F67" i="1" s="1"/>
  <c r="H67" i="1"/>
  <c r="G69" i="1"/>
  <c r="H69" i="1"/>
  <c r="G70" i="1"/>
  <c r="H70" i="1"/>
  <c r="G71" i="1"/>
  <c r="H71" i="1"/>
  <c r="E71" i="1" s="1"/>
  <c r="F71" i="1" s="1"/>
  <c r="G72" i="1"/>
  <c r="E72" i="1" s="1"/>
  <c r="F72" i="1" s="1"/>
  <c r="H72" i="1"/>
  <c r="G73" i="1"/>
  <c r="E73" i="1" s="1"/>
  <c r="F73" i="1" s="1"/>
  <c r="H73" i="1"/>
  <c r="H75" i="1"/>
  <c r="H76" i="1"/>
  <c r="H77" i="1"/>
  <c r="E77" i="1" s="1"/>
  <c r="F77" i="1" s="1"/>
  <c r="H78" i="1"/>
  <c r="E78" i="1" s="1"/>
  <c r="F78" i="1" s="1"/>
  <c r="H79" i="1"/>
  <c r="G81" i="1"/>
  <c r="H81" i="1"/>
  <c r="G82" i="1"/>
  <c r="E82" i="1" s="1"/>
  <c r="F82" i="1" s="1"/>
  <c r="H82" i="1"/>
  <c r="G83" i="1"/>
  <c r="E83" i="1" s="1"/>
  <c r="F83" i="1" s="1"/>
  <c r="H83" i="1"/>
  <c r="G84" i="1"/>
  <c r="E84" i="1" s="1"/>
  <c r="F84" i="1" s="1"/>
  <c r="H84" i="1"/>
  <c r="G85" i="1"/>
  <c r="H85" i="1"/>
  <c r="G93" i="1"/>
  <c r="E93" i="1" s="1"/>
  <c r="F93" i="1" s="1"/>
  <c r="H93" i="1"/>
  <c r="G94" i="1"/>
  <c r="H94" i="1"/>
  <c r="E94" i="1" s="1"/>
  <c r="F94" i="1" s="1"/>
  <c r="G95" i="1"/>
  <c r="E95" i="1" s="1"/>
  <c r="F95" i="1" s="1"/>
  <c r="H95" i="1"/>
  <c r="G96" i="1"/>
  <c r="E96" i="1" s="1"/>
  <c r="F96" i="1" s="1"/>
  <c r="H96" i="1"/>
  <c r="G97" i="1"/>
  <c r="E97" i="1" s="1"/>
  <c r="F97" i="1" s="1"/>
  <c r="H97" i="1"/>
  <c r="L77" i="1" l="1"/>
  <c r="J77" i="1"/>
  <c r="M77" i="1" s="1"/>
  <c r="K77" i="1"/>
  <c r="N77" i="1" s="1"/>
  <c r="J66" i="1"/>
  <c r="M66" i="1" s="1"/>
  <c r="L66" i="1"/>
  <c r="K66" i="1"/>
  <c r="J57" i="1"/>
  <c r="M57" i="1" s="1"/>
  <c r="L57" i="1"/>
  <c r="K57" i="1"/>
  <c r="K87" i="1"/>
  <c r="L87" i="1"/>
  <c r="J87" i="1"/>
  <c r="M87" i="1" s="1"/>
  <c r="J42" i="1"/>
  <c r="M42" i="1" s="1"/>
  <c r="L42" i="1"/>
  <c r="K42" i="1"/>
  <c r="N42" i="1" s="1"/>
  <c r="J33" i="1"/>
  <c r="M33" i="1" s="1"/>
  <c r="L33" i="1"/>
  <c r="K33" i="1"/>
  <c r="J47" i="1"/>
  <c r="M47" i="1" s="1"/>
  <c r="L47" i="1"/>
  <c r="K47" i="1"/>
  <c r="K10" i="1"/>
  <c r="L10" i="1"/>
  <c r="J10" i="1"/>
  <c r="M10" i="1" s="1"/>
  <c r="N10" i="1" s="1"/>
  <c r="L3" i="1"/>
  <c r="K3" i="1"/>
  <c r="J3" i="1"/>
  <c r="M3" i="1" s="1"/>
  <c r="J90" i="1"/>
  <c r="M90" i="1" s="1"/>
  <c r="L90" i="1"/>
  <c r="K90" i="1"/>
  <c r="N90" i="1" s="1"/>
  <c r="J85" i="1"/>
  <c r="M85" i="1" s="1"/>
  <c r="L85" i="1"/>
  <c r="K85" i="1"/>
  <c r="L58" i="1"/>
  <c r="J58" i="1"/>
  <c r="M58" i="1" s="1"/>
  <c r="K58" i="1"/>
  <c r="L72" i="1"/>
  <c r="K72" i="1"/>
  <c r="J72" i="1"/>
  <c r="M72" i="1" s="1"/>
  <c r="L67" i="1"/>
  <c r="K67" i="1"/>
  <c r="J67" i="1"/>
  <c r="M67" i="1" s="1"/>
  <c r="K60" i="1"/>
  <c r="N60" i="1" s="1"/>
  <c r="J60" i="1"/>
  <c r="M60" i="1" s="1"/>
  <c r="L60" i="1"/>
  <c r="J55" i="1"/>
  <c r="M55" i="1" s="1"/>
  <c r="K55" i="1"/>
  <c r="N55" i="1" s="1"/>
  <c r="L55" i="1"/>
  <c r="L53" i="1"/>
  <c r="J53" i="1"/>
  <c r="M53" i="1" s="1"/>
  <c r="K53" i="1"/>
  <c r="N53" i="1" s="1"/>
  <c r="J100" i="1"/>
  <c r="M100" i="1" s="1"/>
  <c r="L100" i="1"/>
  <c r="K100" i="1"/>
  <c r="N100" i="1" s="1"/>
  <c r="J81" i="1"/>
  <c r="M81" i="1" s="1"/>
  <c r="L81" i="1"/>
  <c r="K81" i="1"/>
  <c r="N81" i="1" s="1"/>
  <c r="J5" i="1"/>
  <c r="M5" i="1" s="1"/>
  <c r="K5" i="1"/>
  <c r="L5" i="1"/>
  <c r="J94" i="1"/>
  <c r="M94" i="1" s="1"/>
  <c r="K94" i="1"/>
  <c r="N94" i="1" s="1"/>
  <c r="L94" i="1"/>
  <c r="L73" i="1"/>
  <c r="J73" i="1"/>
  <c r="M73" i="1" s="1"/>
  <c r="K73" i="1"/>
  <c r="N73" i="1" s="1"/>
  <c r="J61" i="1"/>
  <c r="M61" i="1" s="1"/>
  <c r="L61" i="1"/>
  <c r="K61" i="1"/>
  <c r="N61" i="1" s="1"/>
  <c r="K48" i="1"/>
  <c r="N48" i="1" s="1"/>
  <c r="L48" i="1"/>
  <c r="J48" i="1"/>
  <c r="M48" i="1" s="1"/>
  <c r="J28" i="1"/>
  <c r="M28" i="1" s="1"/>
  <c r="L28" i="1"/>
  <c r="K28" i="1"/>
  <c r="J76" i="1"/>
  <c r="M76" i="1" s="1"/>
  <c r="L76" i="1"/>
  <c r="K76" i="1"/>
  <c r="J37" i="1"/>
  <c r="M37" i="1" s="1"/>
  <c r="L37" i="1"/>
  <c r="K37" i="1"/>
  <c r="N37" i="1" s="1"/>
  <c r="L96" i="1"/>
  <c r="J96" i="1"/>
  <c r="M96" i="1" s="1"/>
  <c r="K96" i="1"/>
  <c r="N96" i="1" s="1"/>
  <c r="L83" i="1"/>
  <c r="J83" i="1"/>
  <c r="M83" i="1" s="1"/>
  <c r="K83" i="1"/>
  <c r="J23" i="1"/>
  <c r="M23" i="1" s="1"/>
  <c r="L23" i="1"/>
  <c r="K23" i="1"/>
  <c r="L97" i="1"/>
  <c r="J97" i="1"/>
  <c r="M97" i="1" s="1"/>
  <c r="K97" i="1"/>
  <c r="J95" i="1"/>
  <c r="M95" i="1" s="1"/>
  <c r="L95" i="1"/>
  <c r="K95" i="1"/>
  <c r="N95" i="1" s="1"/>
  <c r="L93" i="1"/>
  <c r="J93" i="1"/>
  <c r="M93" i="1" s="1"/>
  <c r="K93" i="1"/>
  <c r="N93" i="1" s="1"/>
  <c r="L84" i="1"/>
  <c r="K84" i="1"/>
  <c r="J84" i="1"/>
  <c r="M84" i="1" s="1"/>
  <c r="J82" i="1"/>
  <c r="M82" i="1" s="1"/>
  <c r="K82" i="1"/>
  <c r="N82" i="1" s="1"/>
  <c r="L82" i="1"/>
  <c r="L78" i="1"/>
  <c r="J78" i="1"/>
  <c r="M78" i="1" s="1"/>
  <c r="K78" i="1"/>
  <c r="N78" i="1" s="1"/>
  <c r="J71" i="1"/>
  <c r="M71" i="1" s="1"/>
  <c r="L71" i="1"/>
  <c r="K71" i="1"/>
  <c r="N71" i="1" s="1"/>
  <c r="J52" i="1"/>
  <c r="M52" i="1" s="1"/>
  <c r="L52" i="1"/>
  <c r="K52" i="1"/>
  <c r="L29" i="1"/>
  <c r="K29" i="1"/>
  <c r="N29" i="1" s="1"/>
  <c r="J29" i="1"/>
  <c r="M29" i="1" s="1"/>
  <c r="J24" i="1"/>
  <c r="M24" i="1" s="1"/>
  <c r="K24" i="1"/>
  <c r="L24" i="1"/>
  <c r="J13" i="1"/>
  <c r="M13" i="1" s="1"/>
  <c r="L13" i="1"/>
  <c r="K13" i="1"/>
  <c r="N13" i="1" s="1"/>
  <c r="J11" i="1"/>
  <c r="M11" i="1" s="1"/>
  <c r="K11" i="1"/>
  <c r="L11" i="1"/>
  <c r="J9" i="1"/>
  <c r="M9" i="1" s="1"/>
  <c r="L9" i="1"/>
  <c r="K9" i="1"/>
  <c r="N17" i="1"/>
  <c r="J43" i="1"/>
  <c r="M43" i="1" s="1"/>
  <c r="K43" i="1"/>
  <c r="L43" i="1"/>
  <c r="L39" i="1"/>
  <c r="J39" i="1"/>
  <c r="M39" i="1" s="1"/>
  <c r="K39" i="1"/>
  <c r="L34" i="1"/>
  <c r="K34" i="1"/>
  <c r="J34" i="1"/>
  <c r="M34" i="1" s="1"/>
  <c r="L19" i="1"/>
  <c r="J19" i="1"/>
  <c r="M19" i="1" s="1"/>
  <c r="K19" i="1"/>
  <c r="N19" i="1" s="1"/>
  <c r="L45" i="1"/>
  <c r="J45" i="1"/>
  <c r="M45" i="1" s="1"/>
  <c r="L63" i="1"/>
  <c r="E69" i="1"/>
  <c r="F69" i="1" s="1"/>
  <c r="E64" i="1"/>
  <c r="F64" i="1" s="1"/>
  <c r="N75" i="1"/>
  <c r="K65" i="1"/>
  <c r="N65" i="1" s="1"/>
  <c r="N46" i="1"/>
  <c r="N36" i="1"/>
  <c r="K27" i="1"/>
  <c r="L70" i="1"/>
  <c r="N70" i="1" s="1"/>
  <c r="J70" i="1"/>
  <c r="M70" i="1" s="1"/>
  <c r="L51" i="1"/>
  <c r="N51" i="1" s="1"/>
  <c r="J51" i="1"/>
  <c r="M51" i="1" s="1"/>
  <c r="J18" i="1"/>
  <c r="M18" i="1" s="1"/>
  <c r="N18" i="1" s="1"/>
  <c r="L18" i="1"/>
  <c r="J7" i="1"/>
  <c r="M7" i="1" s="1"/>
  <c r="E25" i="1"/>
  <c r="F25" i="1" s="1"/>
  <c r="E21" i="1"/>
  <c r="F21" i="1" s="1"/>
  <c r="E12" i="1"/>
  <c r="F12" i="1" s="1"/>
  <c r="N88" i="1"/>
  <c r="K49" i="1"/>
  <c r="K45" i="1"/>
  <c r="N45" i="1" s="1"/>
  <c r="L102" i="1"/>
  <c r="N102" i="1" s="1"/>
  <c r="J102" i="1"/>
  <c r="M102" i="1" s="1"/>
  <c r="L31" i="1"/>
  <c r="J31" i="1"/>
  <c r="M31" i="1" s="1"/>
  <c r="L6" i="1"/>
  <c r="N6" i="1" s="1"/>
  <c r="J6" i="1"/>
  <c r="M6" i="1" s="1"/>
  <c r="L30" i="1"/>
  <c r="L17" i="1"/>
  <c r="J79" i="1"/>
  <c r="M79" i="1" s="1"/>
  <c r="N79" i="1" s="1"/>
  <c r="J41" i="1"/>
  <c r="M41" i="1" s="1"/>
  <c r="N41" i="1" s="1"/>
  <c r="J16" i="1"/>
  <c r="M16" i="1" s="1"/>
  <c r="N16" i="1" s="1"/>
  <c r="L101" i="1"/>
  <c r="L49" i="1"/>
  <c r="J22" i="1"/>
  <c r="M22" i="1" s="1"/>
  <c r="E59" i="1"/>
  <c r="F59" i="1" s="1"/>
  <c r="E54" i="1"/>
  <c r="F54" i="1" s="1"/>
  <c r="N31" i="1"/>
  <c r="K22" i="1"/>
  <c r="K7" i="1"/>
  <c r="N7" i="1" s="1"/>
  <c r="L89" i="1"/>
  <c r="N89" i="1" s="1"/>
  <c r="J89" i="1"/>
  <c r="M89" i="1" s="1"/>
  <c r="K101" i="1"/>
  <c r="N101" i="1" s="1"/>
  <c r="K91" i="1"/>
  <c r="K63" i="1"/>
  <c r="K15" i="1"/>
  <c r="N30" i="1"/>
  <c r="J4" i="1"/>
  <c r="M4" i="1" s="1"/>
  <c r="L4" i="1"/>
  <c r="J103" i="1"/>
  <c r="M103" i="1" s="1"/>
  <c r="N103" i="1" s="1"/>
  <c r="J91" i="1"/>
  <c r="M91" i="1" s="1"/>
  <c r="J65" i="1"/>
  <c r="M65" i="1" s="1"/>
  <c r="J40" i="1"/>
  <c r="M40" i="1" s="1"/>
  <c r="N40" i="1" s="1"/>
  <c r="J27" i="1"/>
  <c r="M27" i="1" s="1"/>
  <c r="J15" i="1"/>
  <c r="M15" i="1" s="1"/>
  <c r="L21" i="1" l="1"/>
  <c r="J21" i="1"/>
  <c r="M21" i="1" s="1"/>
  <c r="K21" i="1"/>
  <c r="N21" i="1" s="1"/>
  <c r="J69" i="1"/>
  <c r="M69" i="1" s="1"/>
  <c r="L69" i="1"/>
  <c r="K69" i="1"/>
  <c r="N63" i="1"/>
  <c r="L54" i="1"/>
  <c r="J54" i="1"/>
  <c r="M54" i="1" s="1"/>
  <c r="K54" i="1"/>
  <c r="N39" i="1"/>
  <c r="N43" i="1"/>
  <c r="N24" i="1"/>
  <c r="N52" i="1"/>
  <c r="N83" i="1"/>
  <c r="N67" i="1"/>
  <c r="N85" i="1"/>
  <c r="N3" i="1"/>
  <c r="N33" i="1"/>
  <c r="N87" i="1"/>
  <c r="N66" i="1"/>
  <c r="N22" i="1"/>
  <c r="N15" i="1"/>
  <c r="N49" i="1"/>
  <c r="L25" i="1"/>
  <c r="J25" i="1"/>
  <c r="M25" i="1" s="1"/>
  <c r="K25" i="1"/>
  <c r="N25" i="1" s="1"/>
  <c r="N27" i="1"/>
  <c r="N28" i="1"/>
  <c r="N72" i="1"/>
  <c r="N4" i="1"/>
  <c r="N91" i="1"/>
  <c r="L59" i="1"/>
  <c r="K59" i="1"/>
  <c r="J59" i="1"/>
  <c r="M59" i="1" s="1"/>
  <c r="L12" i="1"/>
  <c r="J12" i="1"/>
  <c r="M12" i="1" s="1"/>
  <c r="K12" i="1"/>
  <c r="L64" i="1"/>
  <c r="J64" i="1"/>
  <c r="M64" i="1" s="1"/>
  <c r="K64" i="1"/>
  <c r="N34" i="1"/>
  <c r="N9" i="1"/>
  <c r="N11" i="1"/>
  <c r="N84" i="1"/>
  <c r="N97" i="1"/>
  <c r="N23" i="1"/>
  <c r="N76" i="1"/>
  <c r="N5" i="1"/>
  <c r="N58" i="1"/>
  <c r="N47" i="1"/>
  <c r="N57" i="1"/>
  <c r="N59" i="1" l="1"/>
  <c r="N54" i="1"/>
  <c r="N69" i="1"/>
  <c r="N64" i="1"/>
  <c r="N12" i="1"/>
  <c r="H4" i="5" l="1"/>
  <c r="H6" i="5"/>
  <c r="H9" i="5"/>
  <c r="H11" i="5"/>
  <c r="H13" i="5"/>
  <c r="H16" i="5"/>
  <c r="H18" i="5"/>
  <c r="H21" i="5"/>
  <c r="H23" i="5"/>
  <c r="H25" i="5"/>
  <c r="H28" i="5"/>
  <c r="H30" i="5"/>
  <c r="H33" i="5"/>
  <c r="H35" i="5"/>
  <c r="H37" i="5"/>
  <c r="H40" i="5"/>
  <c r="H42" i="5"/>
  <c r="H45" i="5"/>
  <c r="H47" i="5"/>
  <c r="H49" i="5"/>
  <c r="H52" i="5"/>
  <c r="H54" i="5"/>
  <c r="H57" i="5"/>
  <c r="H59" i="5"/>
  <c r="H61" i="5"/>
  <c r="H64" i="5"/>
  <c r="H66" i="5"/>
  <c r="H69" i="5"/>
  <c r="H71" i="5"/>
  <c r="H73" i="5"/>
  <c r="H76" i="5"/>
  <c r="H78" i="5"/>
  <c r="H81" i="5"/>
  <c r="H83" i="5"/>
  <c r="H85" i="5"/>
  <c r="H88" i="5"/>
  <c r="H90" i="5"/>
  <c r="H93" i="5"/>
  <c r="H95" i="5"/>
  <c r="H97" i="5"/>
  <c r="H100" i="5"/>
  <c r="H102" i="5"/>
  <c r="H3" i="5"/>
  <c r="G4" i="5"/>
  <c r="G5" i="5"/>
  <c r="H5" i="5" s="1"/>
  <c r="G6" i="5"/>
  <c r="G7" i="5"/>
  <c r="H7" i="5" s="1"/>
  <c r="G9" i="5"/>
  <c r="G10" i="5"/>
  <c r="H10" i="5" s="1"/>
  <c r="G11" i="5"/>
  <c r="G12" i="5"/>
  <c r="H12" i="5" s="1"/>
  <c r="G13" i="5"/>
  <c r="G15" i="5"/>
  <c r="H15" i="5" s="1"/>
  <c r="G16" i="5"/>
  <c r="G17" i="5"/>
  <c r="H17" i="5" s="1"/>
  <c r="G18" i="5"/>
  <c r="G19" i="5"/>
  <c r="H19" i="5" s="1"/>
  <c r="G21" i="5"/>
  <c r="G22" i="5"/>
  <c r="H22" i="5" s="1"/>
  <c r="G23" i="5"/>
  <c r="G24" i="5"/>
  <c r="H24" i="5" s="1"/>
  <c r="G25" i="5"/>
  <c r="G27" i="5"/>
  <c r="H27" i="5" s="1"/>
  <c r="G28" i="5"/>
  <c r="G29" i="5"/>
  <c r="H29" i="5" s="1"/>
  <c r="G30" i="5"/>
  <c r="G31" i="5"/>
  <c r="H31" i="5" s="1"/>
  <c r="G33" i="5"/>
  <c r="G34" i="5"/>
  <c r="H34" i="5" s="1"/>
  <c r="G35" i="5"/>
  <c r="G36" i="5"/>
  <c r="H36" i="5" s="1"/>
  <c r="G37" i="5"/>
  <c r="G39" i="5"/>
  <c r="H39" i="5" s="1"/>
  <c r="G40" i="5"/>
  <c r="G41" i="5"/>
  <c r="H41" i="5" s="1"/>
  <c r="G42" i="5"/>
  <c r="G43" i="5"/>
  <c r="H43" i="5" s="1"/>
  <c r="G45" i="5"/>
  <c r="G46" i="5"/>
  <c r="H46" i="5" s="1"/>
  <c r="G47" i="5"/>
  <c r="G48" i="5"/>
  <c r="H48" i="5" s="1"/>
  <c r="G49" i="5"/>
  <c r="G51" i="5"/>
  <c r="H51" i="5" s="1"/>
  <c r="G52" i="5"/>
  <c r="G53" i="5"/>
  <c r="H53" i="5" s="1"/>
  <c r="G54" i="5"/>
  <c r="G55" i="5"/>
  <c r="H55" i="5" s="1"/>
  <c r="G57" i="5"/>
  <c r="G58" i="5"/>
  <c r="H58" i="5" s="1"/>
  <c r="G59" i="5"/>
  <c r="G60" i="5"/>
  <c r="H60" i="5" s="1"/>
  <c r="G61" i="5"/>
  <c r="G63" i="5"/>
  <c r="H63" i="5" s="1"/>
  <c r="G64" i="5"/>
  <c r="G65" i="5"/>
  <c r="H65" i="5" s="1"/>
  <c r="G66" i="5"/>
  <c r="G67" i="5"/>
  <c r="H67" i="5" s="1"/>
  <c r="G69" i="5"/>
  <c r="G70" i="5"/>
  <c r="H70" i="5" s="1"/>
  <c r="G71" i="5"/>
  <c r="G72" i="5"/>
  <c r="H72" i="5" s="1"/>
  <c r="G73" i="5"/>
  <c r="G75" i="5"/>
  <c r="H75" i="5" s="1"/>
  <c r="G76" i="5"/>
  <c r="G77" i="5"/>
  <c r="H77" i="5" s="1"/>
  <c r="G78" i="5"/>
  <c r="G79" i="5"/>
  <c r="H79" i="5" s="1"/>
  <c r="G81" i="5"/>
  <c r="G82" i="5"/>
  <c r="H82" i="5" s="1"/>
  <c r="G83" i="5"/>
  <c r="G84" i="5"/>
  <c r="H84" i="5" s="1"/>
  <c r="G85" i="5"/>
  <c r="G87" i="5"/>
  <c r="H87" i="5" s="1"/>
  <c r="G88" i="5"/>
  <c r="G89" i="5"/>
  <c r="H89" i="5" s="1"/>
  <c r="G90" i="5"/>
  <c r="G91" i="5"/>
  <c r="H91" i="5" s="1"/>
  <c r="G93" i="5"/>
  <c r="G94" i="5"/>
  <c r="H94" i="5" s="1"/>
  <c r="G95" i="5"/>
  <c r="G96" i="5"/>
  <c r="H96" i="5" s="1"/>
  <c r="G97" i="5"/>
  <c r="G99" i="5"/>
  <c r="H99" i="5" s="1"/>
  <c r="G100" i="5"/>
  <c r="G101" i="5"/>
  <c r="H101" i="5" s="1"/>
  <c r="G102" i="5"/>
  <c r="G103" i="5"/>
  <c r="H103" i="5" s="1"/>
  <c r="G3" i="5"/>
  <c r="F4" i="3"/>
  <c r="F5" i="3"/>
  <c r="F6" i="3"/>
  <c r="F7" i="3"/>
  <c r="F9" i="3"/>
  <c r="F10" i="3"/>
  <c r="F11" i="3"/>
  <c r="F12" i="3"/>
  <c r="F13" i="3"/>
  <c r="F15" i="3"/>
  <c r="F16" i="3"/>
  <c r="F17" i="3"/>
  <c r="F18" i="3"/>
  <c r="F19" i="3"/>
  <c r="F21" i="3"/>
  <c r="F22" i="3"/>
  <c r="F23" i="3"/>
  <c r="F24" i="3"/>
  <c r="F25" i="3"/>
  <c r="F27" i="3"/>
  <c r="F28" i="3"/>
  <c r="F29" i="3"/>
  <c r="F30" i="3"/>
  <c r="F31" i="3"/>
  <c r="F33" i="3"/>
  <c r="F34" i="3"/>
  <c r="F35" i="3"/>
  <c r="F36" i="3"/>
  <c r="F37" i="3"/>
  <c r="F39" i="3"/>
  <c r="F40" i="3"/>
  <c r="F41" i="3"/>
  <c r="F42" i="3"/>
  <c r="F43" i="3"/>
  <c r="F45" i="3"/>
  <c r="F46" i="3"/>
  <c r="F47" i="3"/>
  <c r="F48" i="3"/>
  <c r="F49" i="3"/>
  <c r="F51" i="3"/>
  <c r="F52" i="3"/>
  <c r="F53" i="3"/>
  <c r="F54" i="3"/>
  <c r="F55" i="3"/>
  <c r="F57" i="3"/>
  <c r="F58" i="3"/>
  <c r="F59" i="3"/>
  <c r="F60" i="3"/>
  <c r="F61" i="3"/>
  <c r="F63" i="3"/>
  <c r="F64" i="3"/>
  <c r="F65" i="3"/>
  <c r="F66" i="3"/>
  <c r="F67" i="3"/>
  <c r="F69" i="3"/>
  <c r="F70" i="3"/>
  <c r="F71" i="3"/>
  <c r="F72" i="3"/>
  <c r="F73" i="3"/>
  <c r="F75" i="3"/>
  <c r="F76" i="3"/>
  <c r="F77" i="3"/>
  <c r="F78" i="3"/>
  <c r="F79" i="3"/>
  <c r="F81" i="3"/>
  <c r="F82" i="3"/>
  <c r="F83" i="3"/>
  <c r="F84" i="3"/>
  <c r="F85" i="3"/>
  <c r="F87" i="3"/>
  <c r="F88" i="3"/>
  <c r="F89" i="3"/>
  <c r="F90" i="3"/>
  <c r="F91" i="3"/>
  <c r="F93" i="3"/>
  <c r="F94" i="3"/>
  <c r="F95" i="3"/>
  <c r="F96" i="3"/>
  <c r="F97" i="3"/>
  <c r="F99" i="3"/>
  <c r="F100" i="3"/>
  <c r="F101" i="3"/>
  <c r="F102" i="3"/>
  <c r="F103" i="3"/>
  <c r="F3" i="3"/>
  <c r="H12" i="2"/>
  <c r="H17" i="2"/>
  <c r="H22" i="2"/>
  <c r="H27" i="2"/>
  <c r="H31" i="2"/>
  <c r="H36" i="2"/>
  <c r="H41" i="2"/>
  <c r="H46" i="2"/>
  <c r="H51" i="2"/>
  <c r="H55" i="2"/>
  <c r="H60" i="2"/>
  <c r="H65" i="2"/>
  <c r="H70" i="2"/>
  <c r="H75" i="2"/>
  <c r="H79" i="2"/>
  <c r="H84" i="2"/>
  <c r="H89" i="2"/>
  <c r="H94" i="2"/>
  <c r="H99" i="2"/>
  <c r="H103" i="2"/>
  <c r="G4" i="2"/>
  <c r="H4" i="2" s="1"/>
  <c r="G5" i="2"/>
  <c r="H5" i="2" s="1"/>
  <c r="G6" i="2"/>
  <c r="H6" i="2" s="1"/>
  <c r="G7" i="2"/>
  <c r="H7" i="2" s="1"/>
  <c r="G9" i="2"/>
  <c r="H9" i="2" s="1"/>
  <c r="G10" i="2"/>
  <c r="H10" i="2" s="1"/>
  <c r="G11" i="2"/>
  <c r="H11" i="2" s="1"/>
  <c r="G12" i="2"/>
  <c r="G13" i="2"/>
  <c r="H13" i="2" s="1"/>
  <c r="G15" i="2"/>
  <c r="H15" i="2" s="1"/>
  <c r="G16" i="2"/>
  <c r="H16" i="2" s="1"/>
  <c r="G17" i="2"/>
  <c r="G18" i="2"/>
  <c r="H18" i="2" s="1"/>
  <c r="G19" i="2"/>
  <c r="H19" i="2" s="1"/>
  <c r="G21" i="2"/>
  <c r="H21" i="2" s="1"/>
  <c r="G22" i="2"/>
  <c r="G23" i="2"/>
  <c r="H23" i="2" s="1"/>
  <c r="G24" i="2"/>
  <c r="H24" i="2" s="1"/>
  <c r="G25" i="2"/>
  <c r="H25" i="2" s="1"/>
  <c r="G27" i="2"/>
  <c r="G28" i="2"/>
  <c r="H28" i="2" s="1"/>
  <c r="G29" i="2"/>
  <c r="H29" i="2" s="1"/>
  <c r="G30" i="2"/>
  <c r="H30" i="2" s="1"/>
  <c r="G31" i="2"/>
  <c r="G33" i="2"/>
  <c r="H33" i="2" s="1"/>
  <c r="G34" i="2"/>
  <c r="H34" i="2" s="1"/>
  <c r="G35" i="2"/>
  <c r="H35" i="2" s="1"/>
  <c r="G36" i="2"/>
  <c r="G37" i="2"/>
  <c r="H37" i="2" s="1"/>
  <c r="G39" i="2"/>
  <c r="H39" i="2" s="1"/>
  <c r="G40" i="2"/>
  <c r="H40" i="2" s="1"/>
  <c r="G41" i="2"/>
  <c r="G42" i="2"/>
  <c r="H42" i="2" s="1"/>
  <c r="G43" i="2"/>
  <c r="H43" i="2" s="1"/>
  <c r="G45" i="2"/>
  <c r="H45" i="2" s="1"/>
  <c r="G46" i="2"/>
  <c r="G47" i="2"/>
  <c r="H47" i="2" s="1"/>
  <c r="G48" i="2"/>
  <c r="H48" i="2" s="1"/>
  <c r="G49" i="2"/>
  <c r="H49" i="2" s="1"/>
  <c r="G51" i="2"/>
  <c r="G52" i="2"/>
  <c r="H52" i="2" s="1"/>
  <c r="G53" i="2"/>
  <c r="H53" i="2" s="1"/>
  <c r="G54" i="2"/>
  <c r="H54" i="2" s="1"/>
  <c r="G55" i="2"/>
  <c r="G57" i="2"/>
  <c r="H57" i="2" s="1"/>
  <c r="G58" i="2"/>
  <c r="H58" i="2" s="1"/>
  <c r="G59" i="2"/>
  <c r="H59" i="2" s="1"/>
  <c r="G60" i="2"/>
  <c r="G61" i="2"/>
  <c r="H61" i="2" s="1"/>
  <c r="G63" i="2"/>
  <c r="H63" i="2" s="1"/>
  <c r="G64" i="2"/>
  <c r="H64" i="2" s="1"/>
  <c r="G65" i="2"/>
  <c r="G66" i="2"/>
  <c r="H66" i="2" s="1"/>
  <c r="G67" i="2"/>
  <c r="H67" i="2" s="1"/>
  <c r="G69" i="2"/>
  <c r="H69" i="2" s="1"/>
  <c r="G70" i="2"/>
  <c r="G71" i="2"/>
  <c r="H71" i="2" s="1"/>
  <c r="G72" i="2"/>
  <c r="H72" i="2" s="1"/>
  <c r="G73" i="2"/>
  <c r="H73" i="2" s="1"/>
  <c r="G75" i="2"/>
  <c r="G76" i="2"/>
  <c r="H76" i="2" s="1"/>
  <c r="G77" i="2"/>
  <c r="H77" i="2" s="1"/>
  <c r="G78" i="2"/>
  <c r="H78" i="2" s="1"/>
  <c r="G79" i="2"/>
  <c r="G81" i="2"/>
  <c r="H81" i="2" s="1"/>
  <c r="G82" i="2"/>
  <c r="H82" i="2" s="1"/>
  <c r="G83" i="2"/>
  <c r="H83" i="2" s="1"/>
  <c r="G84" i="2"/>
  <c r="G85" i="2"/>
  <c r="H85" i="2" s="1"/>
  <c r="G87" i="2"/>
  <c r="H87" i="2" s="1"/>
  <c r="G88" i="2"/>
  <c r="H88" i="2" s="1"/>
  <c r="G89" i="2"/>
  <c r="G90" i="2"/>
  <c r="H90" i="2" s="1"/>
  <c r="G91" i="2"/>
  <c r="H91" i="2" s="1"/>
  <c r="G93" i="2"/>
  <c r="H93" i="2" s="1"/>
  <c r="G94" i="2"/>
  <c r="G95" i="2"/>
  <c r="H95" i="2" s="1"/>
  <c r="G96" i="2"/>
  <c r="H96" i="2" s="1"/>
  <c r="G97" i="2"/>
  <c r="H97" i="2" s="1"/>
  <c r="G99" i="2"/>
  <c r="G100" i="2"/>
  <c r="H100" i="2" s="1"/>
  <c r="G101" i="2"/>
  <c r="H101" i="2" s="1"/>
  <c r="G102" i="2"/>
  <c r="H102" i="2" s="1"/>
  <c r="G103" i="2"/>
  <c r="G3" i="2"/>
  <c r="H3" i="2" s="1"/>
</calcChain>
</file>

<file path=xl/comments1.xml><?xml version="1.0" encoding="utf-8"?>
<comments xmlns="http://schemas.openxmlformats.org/spreadsheetml/2006/main">
  <authors>
    <author>ASUS-PC</author>
  </authors>
  <commentList>
    <comment ref="F57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bergabung
</t>
        </r>
      </text>
    </comment>
    <comment ref="F58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</t>
        </r>
      </text>
    </comment>
  </commentList>
</comments>
</file>

<file path=xl/comments2.xml><?xml version="1.0" encoding="utf-8"?>
<comments xmlns="http://schemas.openxmlformats.org/spreadsheetml/2006/main">
  <authors>
    <author>ASUS-PC</author>
  </authors>
  <commentList>
    <comment ref="E57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bergabung
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</t>
        </r>
      </text>
    </comment>
  </commentList>
</comments>
</file>

<file path=xl/comments3.xml><?xml version="1.0" encoding="utf-8"?>
<comments xmlns="http://schemas.openxmlformats.org/spreadsheetml/2006/main">
  <authors>
    <author>ASUS-PC</author>
  </authors>
  <commentList>
    <comment ref="E57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bergabung
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</t>
        </r>
      </text>
    </comment>
  </commentList>
</comments>
</file>

<file path=xl/comments4.xml><?xml version="1.0" encoding="utf-8"?>
<comments xmlns="http://schemas.openxmlformats.org/spreadsheetml/2006/main">
  <authors>
    <author>ASUS-PC</author>
  </authors>
  <commentList>
    <comment ref="E57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bergabung
</t>
        </r>
      </text>
    </comment>
    <comment ref="E58" authorId="0" shapeId="0">
      <text>
        <r>
          <rPr>
            <b/>
            <sz val="9"/>
            <color indexed="81"/>
            <rFont val="Tahoma"/>
            <family val="2"/>
          </rPr>
          <t>ASUS-PC:</t>
        </r>
        <r>
          <rPr>
            <sz val="9"/>
            <color indexed="81"/>
            <rFont val="Tahoma"/>
            <family val="2"/>
          </rPr>
          <t xml:space="preserve">
laba tahun berjalan setelah efek penyesuaian laba entitas yang bergabun</t>
        </r>
      </text>
    </comment>
  </commentList>
</comments>
</file>

<file path=xl/sharedStrings.xml><?xml version="1.0" encoding="utf-8"?>
<sst xmlns="http://schemas.openxmlformats.org/spreadsheetml/2006/main" count="155" uniqueCount="66">
  <si>
    <t>No</t>
  </si>
  <si>
    <t>Perusahaan</t>
  </si>
  <si>
    <t>Tahun</t>
  </si>
  <si>
    <t>ICBP</t>
  </si>
  <si>
    <t>INDF</t>
  </si>
  <si>
    <t>MYOR</t>
  </si>
  <si>
    <t>ROTI</t>
  </si>
  <si>
    <t>DLTA</t>
  </si>
  <si>
    <t>CEKA</t>
  </si>
  <si>
    <t>SKLT</t>
  </si>
  <si>
    <t>Catatan :</t>
  </si>
  <si>
    <t>AALI</t>
  </si>
  <si>
    <t>BISI</t>
  </si>
  <si>
    <t>BUDI</t>
  </si>
  <si>
    <t>CPIN</t>
  </si>
  <si>
    <t>DSNG</t>
  </si>
  <si>
    <t>JPFA</t>
  </si>
  <si>
    <t>LSIP</t>
  </si>
  <si>
    <t>TBLA</t>
  </si>
  <si>
    <t>TGKA</t>
  </si>
  <si>
    <t>ULTJ</t>
  </si>
  <si>
    <t>Harga Sahan</t>
  </si>
  <si>
    <t>Jumlah Saham Beredar</t>
  </si>
  <si>
    <t>Keputusan Investasi (PER) Perusahaan Makanan dan Minuman Tahun 2018-2022</t>
  </si>
  <si>
    <t>Total Ekuitas</t>
  </si>
  <si>
    <t>PER</t>
  </si>
  <si>
    <t>Laba Tahun Berjalan</t>
  </si>
  <si>
    <t>Laba Per Sahan</t>
  </si>
  <si>
    <t>Dividen</t>
  </si>
  <si>
    <t>Laba Bersih</t>
  </si>
  <si>
    <t>DPR</t>
  </si>
  <si>
    <t>Harga Pasar Per Saham</t>
  </si>
  <si>
    <t>Nilai Buku Per Saham</t>
  </si>
  <si>
    <t>PBV</t>
  </si>
  <si>
    <t>Jumlah Kepemilikan Saham Manajemen</t>
  </si>
  <si>
    <t>Jumlah Saham Yang Beredar</t>
  </si>
  <si>
    <t>Kepemilikan Manajerial</t>
  </si>
  <si>
    <t>Intellectual Capital (VAIC) Perusahaan Makanan dan Minuman Tahun 2018-2022</t>
  </si>
  <si>
    <t>Kebijakan Dividen (DPR) Perusahaan Makanan dan Minuman Tahun 2018-2022</t>
  </si>
  <si>
    <t>Nilai Prusahaan (PBV) Perusahaan Makanan dan Minuman Tahun 2018-2022</t>
  </si>
  <si>
    <t>Kepemilikan Manajerial Perusahaan Makanan dan Minuman Tahun 2018-2022</t>
  </si>
  <si>
    <t>Harga Saham</t>
  </si>
  <si>
    <r>
      <t xml:space="preserve">Rumus </t>
    </r>
    <r>
      <rPr>
        <i/>
        <sz val="11"/>
        <color theme="1"/>
        <rFont val="Calibri"/>
        <family val="2"/>
        <scheme val="minor"/>
      </rPr>
      <t>Dividend Payout Ratio</t>
    </r>
    <r>
      <rPr>
        <sz val="11"/>
        <color theme="1"/>
        <rFont val="Calibri"/>
        <family val="2"/>
        <scheme val="minor"/>
      </rPr>
      <t xml:space="preserve"> (DPR) = </t>
    </r>
  </si>
  <si>
    <r>
      <t xml:space="preserve">Rumus </t>
    </r>
    <r>
      <rPr>
        <i/>
        <sz val="11"/>
        <color theme="1"/>
        <rFont val="Calibri"/>
        <family val="2"/>
        <scheme val="minor"/>
      </rPr>
      <t>Price Earning Ratio</t>
    </r>
    <r>
      <rPr>
        <sz val="11"/>
        <color theme="1"/>
        <rFont val="Calibri"/>
        <family val="2"/>
        <scheme val="minor"/>
      </rPr>
      <t xml:space="preserve"> (PER) = </t>
    </r>
  </si>
  <si>
    <r>
      <t xml:space="preserve">Rumus </t>
    </r>
    <r>
      <rPr>
        <i/>
        <sz val="11"/>
        <color theme="1"/>
        <rFont val="Calibri"/>
        <family val="2"/>
        <scheme val="minor"/>
      </rPr>
      <t>Price Book Value</t>
    </r>
    <r>
      <rPr>
        <sz val="11"/>
        <color theme="1"/>
        <rFont val="Calibri"/>
        <family val="2"/>
        <scheme val="minor"/>
      </rPr>
      <t xml:space="preserve"> (PBV) = </t>
    </r>
  </si>
  <si>
    <t>Harga Saham Per Saham</t>
  </si>
  <si>
    <t xml:space="preserve">Rumus Kepemilikan Manajerial = </t>
  </si>
  <si>
    <t>Jumlah Kepemlikan Saham Manajemen x</t>
  </si>
  <si>
    <t>INPUT</t>
  </si>
  <si>
    <t>VA</t>
  </si>
  <si>
    <t>BEBAN USAHA</t>
  </si>
  <si>
    <t>BEBAN GAJI &amp; TUNJANGAN KARYAWAN (HC)</t>
  </si>
  <si>
    <t>PENJUALAN (OUT)</t>
  </si>
  <si>
    <t>SC</t>
  </si>
  <si>
    <t>VACA</t>
  </si>
  <si>
    <t>VAHU</t>
  </si>
  <si>
    <t>STVA</t>
  </si>
  <si>
    <t>VAIC</t>
  </si>
  <si>
    <t>TOTAL EKUITAS (EC)</t>
  </si>
  <si>
    <t>Laba Per Saham</t>
  </si>
  <si>
    <t>Value Added= OUTPUT – INPUT</t>
  </si>
  <si>
    <t>VACA = VA / CE</t>
  </si>
  <si>
    <t>VAHU = VA / HC</t>
  </si>
  <si>
    <t>STVA = SC / VA</t>
  </si>
  <si>
    <t>VAIC = VACA + VAHU + STVA</t>
  </si>
  <si>
    <r>
      <t xml:space="preserve">Rumus </t>
    </r>
    <r>
      <rPr>
        <i/>
        <sz val="11"/>
        <color theme="1"/>
        <rFont val="Calibri"/>
        <family val="2"/>
        <scheme val="minor"/>
      </rPr>
      <t>Intellectual Capital</t>
    </r>
    <r>
      <rPr>
        <sz val="11"/>
        <color theme="1"/>
        <rFont val="Calibri"/>
        <family val="2"/>
        <scheme val="minor"/>
      </rPr>
      <t xml:space="preserve"> (IC) =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</si>
</sst>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0.000000000000000"/>
    <numFmt numFmtId="184" formatCode="_(* #,##0.000_);_(* \(#,##0.000\);_(* &quot;-&quot;??_);_(@_)"/>
    <numFmt numFmtId="201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0" fillId="0" borderId="1" xfId="0" applyNumberFormat="1" applyBorder="1"/>
    <xf numFmtId="3" fontId="0" fillId="0" borderId="1" xfId="0" applyNumberFormat="1" applyBorder="1" applyAlignment="1">
      <alignment vertical="center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167" fontId="2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1" fontId="0" fillId="0" borderId="1" xfId="0" applyNumberFormat="1" applyBorder="1"/>
    <xf numFmtId="0" fontId="0" fillId="0" borderId="0" xfId="0" applyBorder="1"/>
    <xf numFmtId="41" fontId="5" fillId="0" borderId="1" xfId="1" applyNumberFormat="1" applyFont="1" applyFill="1" applyBorder="1" applyAlignment="1">
      <alignment horizontal="right"/>
    </xf>
    <xf numFmtId="184" fontId="0" fillId="0" borderId="1" xfId="0" applyNumberFormat="1" applyBorder="1"/>
    <xf numFmtId="43" fontId="0" fillId="0" borderId="1" xfId="0" applyNumberFormat="1" applyBorder="1"/>
    <xf numFmtId="41" fontId="5" fillId="0" borderId="1" xfId="1" applyNumberFormat="1" applyFont="1" applyBorder="1" applyAlignment="1">
      <alignment horizontal="right"/>
    </xf>
    <xf numFmtId="201" fontId="0" fillId="0" borderId="1" xfId="0" applyNumberFormat="1" applyBorder="1"/>
    <xf numFmtId="9" fontId="2" fillId="2" borderId="1" xfId="0" applyNumberFormat="1" applyFont="1" applyFill="1" applyBorder="1" applyAlignment="1">
      <alignment horizontal="center" vertical="center"/>
    </xf>
    <xf numFmtId="9" fontId="0" fillId="0" borderId="1" xfId="0" applyNumberFormat="1" applyBorder="1"/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0" fillId="0" borderId="4" xfId="0" applyBorder="1"/>
    <xf numFmtId="0" fontId="0" fillId="0" borderId="8" xfId="0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0" fillId="0" borderId="3" xfId="0" applyBorder="1"/>
    <xf numFmtId="0" fontId="2" fillId="0" borderId="9" xfId="0" applyFont="1" applyBorder="1" applyAlignment="1">
      <alignment horizontal="left" vertical="top"/>
    </xf>
    <xf numFmtId="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9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/>
    <xf numFmtId="3" fontId="7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3" fontId="9" fillId="0" borderId="1" xfId="0" applyNumberFormat="1" applyFont="1" applyBorder="1"/>
    <xf numFmtId="3" fontId="8" fillId="0" borderId="1" xfId="0" applyNumberFormat="1" applyFont="1" applyBorder="1"/>
    <xf numFmtId="0" fontId="2" fillId="2" borderId="12" xfId="0" applyFont="1" applyFill="1" applyBorder="1" applyAlignment="1">
      <alignment horizontal="center" vertical="center"/>
    </xf>
    <xf numFmtId="3" fontId="0" fillId="3" borderId="1" xfId="0" applyNumberFormat="1" applyFont="1" applyFill="1" applyBorder="1"/>
    <xf numFmtId="41" fontId="8" fillId="3" borderId="1" xfId="0" applyNumberFormat="1" applyFont="1" applyFill="1" applyBorder="1"/>
    <xf numFmtId="43" fontId="0" fillId="3" borderId="1" xfId="0" applyNumberFormat="1" applyFont="1" applyFill="1" applyBorder="1"/>
    <xf numFmtId="41" fontId="0" fillId="3" borderId="1" xfId="0" applyNumberFormat="1" applyFont="1" applyFill="1" applyBorder="1"/>
    <xf numFmtId="3" fontId="8" fillId="3" borderId="1" xfId="0" applyNumberFormat="1" applyFont="1" applyFill="1" applyBorder="1"/>
    <xf numFmtId="3" fontId="7" fillId="3" borderId="1" xfId="0" applyNumberFormat="1" applyFont="1" applyFill="1" applyBorder="1" applyAlignment="1">
      <alignment horizontal="right"/>
    </xf>
    <xf numFmtId="41" fontId="9" fillId="3" borderId="1" xfId="0" applyNumberFormat="1" applyFont="1" applyFill="1" applyBorder="1"/>
    <xf numFmtId="0" fontId="0" fillId="3" borderId="1" xfId="0" applyFont="1" applyFill="1" applyBorder="1"/>
    <xf numFmtId="0" fontId="0" fillId="0" borderId="7" xfId="0" applyBorder="1"/>
    <xf numFmtId="0" fontId="0" fillId="0" borderId="10" xfId="0" applyFont="1" applyBorder="1" applyAlignment="1">
      <alignment vertical="center"/>
    </xf>
    <xf numFmtId="0" fontId="0" fillId="0" borderId="5" xfId="0" applyFont="1" applyBorder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tabSelected="1" topLeftCell="A84" workbookViewId="0">
      <selection activeCell="A105" sqref="A105"/>
    </sheetView>
  </sheetViews>
  <sheetFormatPr defaultRowHeight="15" x14ac:dyDescent="0.25"/>
  <cols>
    <col min="2" max="2" width="11.28515625" bestFit="1" customWidth="1"/>
    <col min="3" max="3" width="6.42578125" bestFit="1" customWidth="1"/>
    <col min="4" max="4" width="18.5703125" bestFit="1" customWidth="1"/>
    <col min="5" max="5" width="17.5703125" bestFit="1" customWidth="1"/>
    <col min="6" max="6" width="18.5703125" bestFit="1" customWidth="1"/>
    <col min="7" max="7" width="17.5703125" bestFit="1" customWidth="1"/>
    <col min="8" max="8" width="41.7109375" bestFit="1" customWidth="1"/>
    <col min="9" max="9" width="19" bestFit="1" customWidth="1"/>
    <col min="10" max="10" width="20.42578125" customWidth="1"/>
    <col min="11" max="11" width="7" bestFit="1" customWidth="1"/>
    <col min="16" max="16" width="31.28515625" bestFit="1" customWidth="1"/>
    <col min="17" max="17" width="28.5703125" bestFit="1" customWidth="1"/>
  </cols>
  <sheetData>
    <row r="1" spans="1:17" ht="25.5" customHeight="1" x14ac:dyDescent="0.25">
      <c r="A1" s="1" t="s">
        <v>37</v>
      </c>
      <c r="B1" s="1"/>
      <c r="C1" s="1"/>
      <c r="D1" s="1"/>
      <c r="E1" s="1"/>
      <c r="F1" s="1"/>
      <c r="G1" s="1"/>
      <c r="H1" s="1"/>
      <c r="I1" s="1"/>
      <c r="J1" s="1"/>
      <c r="K1" s="1"/>
      <c r="L1" s="31"/>
      <c r="M1" s="31"/>
      <c r="N1" s="31"/>
    </row>
    <row r="2" spans="1:17" x14ac:dyDescent="0.25">
      <c r="A2" s="2" t="s">
        <v>0</v>
      </c>
      <c r="B2" s="2" t="s">
        <v>1</v>
      </c>
      <c r="C2" s="2" t="s">
        <v>2</v>
      </c>
      <c r="D2" s="2" t="s">
        <v>52</v>
      </c>
      <c r="E2" s="40" t="s">
        <v>48</v>
      </c>
      <c r="F2" s="40" t="s">
        <v>49</v>
      </c>
      <c r="G2" s="40" t="s">
        <v>50</v>
      </c>
      <c r="H2" s="40" t="s">
        <v>51</v>
      </c>
      <c r="I2" s="40" t="s">
        <v>58</v>
      </c>
      <c r="J2" s="40" t="s">
        <v>53</v>
      </c>
      <c r="K2" s="40" t="s">
        <v>54</v>
      </c>
      <c r="L2" s="2" t="s">
        <v>55</v>
      </c>
      <c r="M2" s="2" t="s">
        <v>56</v>
      </c>
      <c r="N2" s="2" t="s">
        <v>57</v>
      </c>
    </row>
    <row r="3" spans="1:17" x14ac:dyDescent="0.25">
      <c r="A3" s="32">
        <v>1</v>
      </c>
      <c r="B3" s="33" t="s">
        <v>11</v>
      </c>
      <c r="C3" s="32">
        <v>2018</v>
      </c>
      <c r="D3" s="34">
        <v>19084387000000</v>
      </c>
      <c r="E3" s="41">
        <f>G3-H3</f>
        <v>547233000000</v>
      </c>
      <c r="F3" s="41">
        <f>D3-E3</f>
        <v>18537154000000</v>
      </c>
      <c r="G3" s="41">
        <v>786046000000</v>
      </c>
      <c r="H3" s="41">
        <v>238813000000</v>
      </c>
      <c r="I3" s="42">
        <v>19474522000000</v>
      </c>
      <c r="J3" s="41">
        <f>F3-H3</f>
        <v>18298341000000</v>
      </c>
      <c r="K3" s="43">
        <f>F3/I3</f>
        <v>0.95186695724803927</v>
      </c>
      <c r="L3" s="43">
        <f>F3/H3</f>
        <v>77.622047375980372</v>
      </c>
      <c r="M3" s="43">
        <f>J3/F3</f>
        <v>0.98711706230632812</v>
      </c>
      <c r="N3" s="43">
        <f>K3+L3+M3</f>
        <v>79.561031395534741</v>
      </c>
    </row>
    <row r="4" spans="1:17" x14ac:dyDescent="0.25">
      <c r="A4" s="32"/>
      <c r="B4" s="33"/>
      <c r="C4" s="32">
        <v>2019</v>
      </c>
      <c r="D4" s="34">
        <v>17452736000000</v>
      </c>
      <c r="E4" s="41">
        <f t="shared" ref="E4:E61" si="0">G4-H4</f>
        <v>942309000000</v>
      </c>
      <c r="F4" s="41">
        <f t="shared" ref="F4:F61" si="1">D4-E4</f>
        <v>16510427000000</v>
      </c>
      <c r="G4" s="41">
        <v>1184198000000</v>
      </c>
      <c r="H4" s="41">
        <v>241889000000</v>
      </c>
      <c r="I4" s="42">
        <v>18978527000000</v>
      </c>
      <c r="J4" s="41">
        <f t="shared" ref="J4:J61" si="2">F4-H4</f>
        <v>16268538000000</v>
      </c>
      <c r="K4" s="43">
        <f t="shared" ref="K4:K61" si="3">F4/I4</f>
        <v>0.86995302638608363</v>
      </c>
      <c r="L4" s="43">
        <f t="shared" ref="L4:L61" si="4">F4/H4</f>
        <v>68.256212560306594</v>
      </c>
      <c r="M4" s="43">
        <f t="shared" ref="M4:M18" si="5">J4/F4</f>
        <v>0.98534931894856503</v>
      </c>
      <c r="N4" s="43">
        <f t="shared" ref="N4:N18" si="6">K4+L4+M4</f>
        <v>70.111514905641243</v>
      </c>
    </row>
    <row r="5" spans="1:17" ht="15.75" thickBot="1" x14ac:dyDescent="0.3">
      <c r="A5" s="32"/>
      <c r="B5" s="33"/>
      <c r="C5" s="32">
        <v>2020</v>
      </c>
      <c r="D5" s="34">
        <v>18807043000000</v>
      </c>
      <c r="E5" s="41">
        <f t="shared" si="0"/>
        <v>892933000000</v>
      </c>
      <c r="F5" s="41">
        <f t="shared" si="1"/>
        <v>17914110000000</v>
      </c>
      <c r="G5" s="41">
        <v>1120734000000</v>
      </c>
      <c r="H5" s="41">
        <v>227801000000</v>
      </c>
      <c r="I5" s="42">
        <v>19247794000000</v>
      </c>
      <c r="J5" s="41">
        <f t="shared" si="2"/>
        <v>17686309000000</v>
      </c>
      <c r="K5" s="43">
        <f t="shared" si="3"/>
        <v>0.93070977380576703</v>
      </c>
      <c r="L5" s="43">
        <f t="shared" si="4"/>
        <v>78.639294823113161</v>
      </c>
      <c r="M5" s="43">
        <f t="shared" si="5"/>
        <v>0.98728371099652734</v>
      </c>
      <c r="N5" s="43">
        <f t="shared" si="6"/>
        <v>80.557288307915456</v>
      </c>
    </row>
    <row r="6" spans="1:17" x14ac:dyDescent="0.25">
      <c r="A6" s="32"/>
      <c r="B6" s="33"/>
      <c r="C6" s="32">
        <v>2021</v>
      </c>
      <c r="D6" s="34">
        <v>24322048000000</v>
      </c>
      <c r="E6" s="41">
        <f t="shared" si="0"/>
        <v>1153483000000</v>
      </c>
      <c r="F6" s="41">
        <f t="shared" si="1"/>
        <v>23168565000000</v>
      </c>
      <c r="G6" s="41">
        <v>1400356000000</v>
      </c>
      <c r="H6" s="41">
        <v>246873000000</v>
      </c>
      <c r="I6" s="42">
        <v>21171173000000</v>
      </c>
      <c r="J6" s="41">
        <f t="shared" si="2"/>
        <v>22921692000000</v>
      </c>
      <c r="K6" s="43">
        <f t="shared" si="3"/>
        <v>1.0943448905736115</v>
      </c>
      <c r="L6" s="43">
        <f t="shared" si="4"/>
        <v>93.848112187237973</v>
      </c>
      <c r="M6" s="43">
        <f t="shared" si="5"/>
        <v>0.98934448464978297</v>
      </c>
      <c r="N6" s="43">
        <f t="shared" si="6"/>
        <v>95.931801562461359</v>
      </c>
      <c r="P6" s="7" t="s">
        <v>10</v>
      </c>
      <c r="Q6" s="8"/>
    </row>
    <row r="7" spans="1:17" x14ac:dyDescent="0.25">
      <c r="A7" s="32"/>
      <c r="B7" s="33"/>
      <c r="C7" s="32">
        <v>2022</v>
      </c>
      <c r="D7" s="34">
        <v>21828591000000</v>
      </c>
      <c r="E7" s="41">
        <f t="shared" si="0"/>
        <v>1222210000000</v>
      </c>
      <c r="F7" s="41">
        <f t="shared" si="1"/>
        <v>20606381000000</v>
      </c>
      <c r="G7" s="41">
        <v>1461704000000</v>
      </c>
      <c r="H7" s="41">
        <v>239494000000</v>
      </c>
      <c r="I7" s="42">
        <v>22243221000000</v>
      </c>
      <c r="J7" s="41">
        <f t="shared" si="2"/>
        <v>20366887000000</v>
      </c>
      <c r="K7" s="43">
        <f t="shared" si="3"/>
        <v>0.92641173686131162</v>
      </c>
      <c r="L7" s="43">
        <f t="shared" si="4"/>
        <v>86.041324626086663</v>
      </c>
      <c r="M7" s="43">
        <f t="shared" si="5"/>
        <v>0.98837767776884256</v>
      </c>
      <c r="N7" s="43">
        <f t="shared" si="6"/>
        <v>87.956114040716812</v>
      </c>
      <c r="P7" s="21" t="s">
        <v>65</v>
      </c>
      <c r="Q7" s="50" t="s">
        <v>60</v>
      </c>
    </row>
    <row r="8" spans="1:17" x14ac:dyDescent="0.25">
      <c r="A8" s="32"/>
      <c r="B8" s="33"/>
      <c r="C8" s="32"/>
      <c r="D8" s="34"/>
      <c r="E8" s="41"/>
      <c r="F8" s="41"/>
      <c r="G8" s="41"/>
      <c r="H8" s="41"/>
      <c r="I8" s="41"/>
      <c r="J8" s="41"/>
      <c r="K8" s="43"/>
      <c r="L8" s="43"/>
      <c r="M8" s="43"/>
      <c r="N8" s="43"/>
      <c r="P8" s="49"/>
      <c r="Q8" s="50" t="s">
        <v>61</v>
      </c>
    </row>
    <row r="9" spans="1:17" x14ac:dyDescent="0.25">
      <c r="A9" s="32">
        <v>2</v>
      </c>
      <c r="B9" s="33" t="s">
        <v>12</v>
      </c>
      <c r="C9" s="32">
        <v>2018</v>
      </c>
      <c r="D9" s="38">
        <v>2265615000000</v>
      </c>
      <c r="E9" s="41">
        <f t="shared" si="0"/>
        <v>301691000000</v>
      </c>
      <c r="F9" s="41">
        <f t="shared" si="1"/>
        <v>1963924000000</v>
      </c>
      <c r="G9" s="41">
        <f>245694000000+132603000000</f>
        <v>378297000000</v>
      </c>
      <c r="H9" s="41">
        <f>35436000000+41170000000</f>
        <v>76606000000</v>
      </c>
      <c r="I9" s="44">
        <v>2309930000000</v>
      </c>
      <c r="J9" s="41">
        <f t="shared" si="2"/>
        <v>1887318000000</v>
      </c>
      <c r="K9" s="43">
        <f t="shared" si="3"/>
        <v>0.85020931370214681</v>
      </c>
      <c r="L9" s="43">
        <f t="shared" si="4"/>
        <v>25.636686421429133</v>
      </c>
      <c r="M9" s="43">
        <f t="shared" si="5"/>
        <v>0.96099339892989744</v>
      </c>
      <c r="N9" s="43">
        <f t="shared" si="6"/>
        <v>27.447889134061178</v>
      </c>
      <c r="P9" s="49"/>
      <c r="Q9" s="50" t="s">
        <v>62</v>
      </c>
    </row>
    <row r="10" spans="1:17" x14ac:dyDescent="0.25">
      <c r="A10" s="32"/>
      <c r="B10" s="33"/>
      <c r="C10" s="32">
        <v>2019</v>
      </c>
      <c r="D10" s="38">
        <v>2272410000000</v>
      </c>
      <c r="E10" s="41">
        <f t="shared" si="0"/>
        <v>347675000000</v>
      </c>
      <c r="F10" s="41">
        <f t="shared" si="1"/>
        <v>1924735000000</v>
      </c>
      <c r="G10" s="41">
        <f>243770000000+148816000000+62369000000</f>
        <v>454955000000</v>
      </c>
      <c r="H10" s="41">
        <f>42384000000+26850000000+38046000000</f>
        <v>107280000000</v>
      </c>
      <c r="I10" s="44">
        <v>2316586000000</v>
      </c>
      <c r="J10" s="41">
        <f t="shared" si="2"/>
        <v>1817455000000</v>
      </c>
      <c r="K10" s="43">
        <f t="shared" si="3"/>
        <v>0.83084979361871303</v>
      </c>
      <c r="L10" s="43">
        <f t="shared" si="4"/>
        <v>17.941228560775542</v>
      </c>
      <c r="M10" s="43">
        <f t="shared" si="5"/>
        <v>0.94426245690965249</v>
      </c>
      <c r="N10" s="43">
        <f t="shared" si="6"/>
        <v>19.716340811303908</v>
      </c>
      <c r="P10" s="49"/>
      <c r="Q10" s="50" t="s">
        <v>63</v>
      </c>
    </row>
    <row r="11" spans="1:17" ht="15.75" thickBot="1" x14ac:dyDescent="0.3">
      <c r="A11" s="32"/>
      <c r="B11" s="33"/>
      <c r="C11" s="32">
        <v>2020</v>
      </c>
      <c r="D11" s="38">
        <v>1812762000000</v>
      </c>
      <c r="E11" s="41">
        <f t="shared" si="0"/>
        <v>202752000000</v>
      </c>
      <c r="F11" s="41">
        <f t="shared" si="1"/>
        <v>1610010000000</v>
      </c>
      <c r="G11" s="41">
        <f>96011000000+158776000000+62047000000</f>
        <v>316834000000</v>
      </c>
      <c r="H11" s="41">
        <f>47892000000+29547000000+36643000000</f>
        <v>114082000000</v>
      </c>
      <c r="I11" s="44">
        <v>2458387000000</v>
      </c>
      <c r="J11" s="41">
        <f t="shared" si="2"/>
        <v>1495928000000</v>
      </c>
      <c r="K11" s="43">
        <f t="shared" si="3"/>
        <v>0.65490502512419724</v>
      </c>
      <c r="L11" s="43">
        <f t="shared" si="4"/>
        <v>14.112743465226767</v>
      </c>
      <c r="M11" s="43">
        <f t="shared" si="5"/>
        <v>0.92914205501829183</v>
      </c>
      <c r="N11" s="43">
        <f t="shared" si="6"/>
        <v>15.696790545369257</v>
      </c>
      <c r="P11" s="22"/>
      <c r="Q11" s="51" t="s">
        <v>64</v>
      </c>
    </row>
    <row r="12" spans="1:17" x14ac:dyDescent="0.25">
      <c r="A12" s="32"/>
      <c r="B12" s="33"/>
      <c r="C12" s="32">
        <v>2021</v>
      </c>
      <c r="D12" s="38">
        <v>2015138000000</v>
      </c>
      <c r="E12" s="41">
        <f t="shared" si="0"/>
        <v>205254000000</v>
      </c>
      <c r="F12" s="41">
        <f t="shared" si="1"/>
        <v>1809884000000</v>
      </c>
      <c r="G12" s="41">
        <f>179229000000+93183000000</f>
        <v>272412000000</v>
      </c>
      <c r="H12" s="41">
        <f>53147000000+14011000000</f>
        <v>67158000000</v>
      </c>
      <c r="I12" s="44">
        <v>2728045000000</v>
      </c>
      <c r="J12" s="41">
        <f t="shared" si="2"/>
        <v>1742726000000</v>
      </c>
      <c r="K12" s="43">
        <f t="shared" si="3"/>
        <v>0.66343627029612784</v>
      </c>
      <c r="L12" s="43">
        <f t="shared" si="4"/>
        <v>26.949641144763095</v>
      </c>
      <c r="M12" s="43">
        <f t="shared" si="5"/>
        <v>0.9628937545168641</v>
      </c>
      <c r="N12" s="43">
        <f t="shared" si="6"/>
        <v>28.575971169576086</v>
      </c>
    </row>
    <row r="13" spans="1:17" x14ac:dyDescent="0.25">
      <c r="A13" s="32"/>
      <c r="B13" s="33"/>
      <c r="C13" s="32">
        <v>2022</v>
      </c>
      <c r="D13" s="38">
        <v>2415592000000</v>
      </c>
      <c r="E13" s="41">
        <f t="shared" si="0"/>
        <v>226017000000</v>
      </c>
      <c r="F13" s="41">
        <f t="shared" si="1"/>
        <v>2189575000000</v>
      </c>
      <c r="G13" s="41">
        <f>111436000000+227579000000</f>
        <v>339015000000</v>
      </c>
      <c r="H13" s="41">
        <f>87739000000+25259000000</f>
        <v>112998000000</v>
      </c>
      <c r="I13" s="44">
        <v>3050250000000</v>
      </c>
      <c r="J13" s="41">
        <f t="shared" si="2"/>
        <v>2076577000000</v>
      </c>
      <c r="K13" s="43">
        <f t="shared" si="3"/>
        <v>0.71783460372100649</v>
      </c>
      <c r="L13" s="43">
        <f t="shared" si="4"/>
        <v>19.377112869254322</v>
      </c>
      <c r="M13" s="43">
        <f t="shared" si="5"/>
        <v>0.94839272461550761</v>
      </c>
      <c r="N13" s="43">
        <f t="shared" si="6"/>
        <v>21.043340197590837</v>
      </c>
    </row>
    <row r="14" spans="1:17" x14ac:dyDescent="0.25">
      <c r="A14" s="32"/>
      <c r="B14" s="33"/>
      <c r="C14" s="32"/>
      <c r="D14" s="34"/>
      <c r="E14" s="41"/>
      <c r="F14" s="41"/>
      <c r="G14" s="41"/>
      <c r="H14" s="41"/>
      <c r="I14" s="41"/>
      <c r="J14" s="41"/>
      <c r="K14" s="43"/>
      <c r="L14" s="43"/>
      <c r="M14" s="43"/>
      <c r="N14" s="43"/>
    </row>
    <row r="15" spans="1:17" x14ac:dyDescent="0.25">
      <c r="A15" s="32">
        <v>3</v>
      </c>
      <c r="B15" s="33" t="s">
        <v>13</v>
      </c>
      <c r="C15" s="32">
        <v>2018</v>
      </c>
      <c r="D15" s="35">
        <v>2647193000000</v>
      </c>
      <c r="E15" s="41">
        <f t="shared" si="0"/>
        <v>91802000000</v>
      </c>
      <c r="F15" s="41">
        <f t="shared" si="1"/>
        <v>2555391000000</v>
      </c>
      <c r="G15" s="41">
        <v>156142000000</v>
      </c>
      <c r="H15" s="41">
        <v>64340000000</v>
      </c>
      <c r="I15" s="44">
        <v>1226484000000</v>
      </c>
      <c r="J15" s="41">
        <f t="shared" si="2"/>
        <v>2491051000000</v>
      </c>
      <c r="K15" s="43">
        <f t="shared" si="3"/>
        <v>2.0835094465154049</v>
      </c>
      <c r="L15" s="43">
        <f t="shared" si="4"/>
        <v>39.71698787690395</v>
      </c>
      <c r="M15" s="43">
        <f t="shared" si="5"/>
        <v>0.9748218570074012</v>
      </c>
      <c r="N15" s="43">
        <f t="shared" si="6"/>
        <v>42.775319180426756</v>
      </c>
    </row>
    <row r="16" spans="1:17" x14ac:dyDescent="0.25">
      <c r="A16" s="32"/>
      <c r="B16" s="33"/>
      <c r="C16" s="32">
        <v>2019</v>
      </c>
      <c r="D16" s="35">
        <v>3003768000000</v>
      </c>
      <c r="E16" s="41">
        <f t="shared" si="0"/>
        <v>75268000000</v>
      </c>
      <c r="F16" s="41">
        <f t="shared" si="1"/>
        <v>2928500000000</v>
      </c>
      <c r="G16" s="41">
        <v>149098000000</v>
      </c>
      <c r="H16" s="41">
        <v>73830000000</v>
      </c>
      <c r="I16" s="44">
        <v>1285318000000</v>
      </c>
      <c r="J16" s="41">
        <f t="shared" si="2"/>
        <v>2854670000000</v>
      </c>
      <c r="K16" s="43">
        <f t="shared" si="3"/>
        <v>2.2784244832796241</v>
      </c>
      <c r="L16" s="43">
        <f t="shared" si="4"/>
        <v>39.665447650006776</v>
      </c>
      <c r="M16" s="43">
        <f t="shared" si="5"/>
        <v>0.97478914119856586</v>
      </c>
      <c r="N16" s="43">
        <f t="shared" si="6"/>
        <v>42.918661274484961</v>
      </c>
    </row>
    <row r="17" spans="1:14" x14ac:dyDescent="0.25">
      <c r="A17" s="32"/>
      <c r="B17" s="33"/>
      <c r="C17" s="32">
        <v>2020</v>
      </c>
      <c r="D17" s="35">
        <v>2725866000000</v>
      </c>
      <c r="E17" s="41">
        <f t="shared" si="0"/>
        <v>83443000000</v>
      </c>
      <c r="F17" s="41">
        <f t="shared" si="1"/>
        <v>2642423000000</v>
      </c>
      <c r="G17" s="41">
        <v>156980000000</v>
      </c>
      <c r="H17" s="41">
        <v>73537000000</v>
      </c>
      <c r="I17" s="44">
        <v>1322156000000</v>
      </c>
      <c r="J17" s="41">
        <f t="shared" si="2"/>
        <v>2568886000000</v>
      </c>
      <c r="K17" s="43">
        <f t="shared" si="3"/>
        <v>1.9985712729814031</v>
      </c>
      <c r="L17" s="43">
        <f t="shared" si="4"/>
        <v>35.933244489168715</v>
      </c>
      <c r="M17" s="43">
        <f t="shared" si="5"/>
        <v>0.9721706176490289</v>
      </c>
      <c r="N17" s="43">
        <f t="shared" si="6"/>
        <v>38.903986379799143</v>
      </c>
    </row>
    <row r="18" spans="1:14" x14ac:dyDescent="0.25">
      <c r="A18" s="32"/>
      <c r="B18" s="33"/>
      <c r="C18" s="32">
        <v>2021</v>
      </c>
      <c r="D18" s="35">
        <v>3374782000000</v>
      </c>
      <c r="E18" s="41">
        <f t="shared" si="0"/>
        <v>138539000000</v>
      </c>
      <c r="F18" s="41">
        <f t="shared" si="1"/>
        <v>3236243000000</v>
      </c>
      <c r="G18" s="41">
        <v>219488000000</v>
      </c>
      <c r="H18" s="41">
        <v>80949000000</v>
      </c>
      <c r="I18" s="44">
        <v>1387697000000</v>
      </c>
      <c r="J18" s="41">
        <f t="shared" si="2"/>
        <v>3155294000000</v>
      </c>
      <c r="K18" s="43">
        <f t="shared" si="3"/>
        <v>2.3320962717365536</v>
      </c>
      <c r="L18" s="43">
        <f t="shared" si="4"/>
        <v>39.97878911413359</v>
      </c>
      <c r="M18" s="43">
        <f t="shared" si="5"/>
        <v>0.97498673616289011</v>
      </c>
      <c r="N18" s="43">
        <f t="shared" si="6"/>
        <v>43.285872122033034</v>
      </c>
    </row>
    <row r="19" spans="1:14" x14ac:dyDescent="0.25">
      <c r="A19" s="32"/>
      <c r="B19" s="33"/>
      <c r="C19" s="32">
        <v>2022</v>
      </c>
      <c r="D19" s="35">
        <v>3382326000000</v>
      </c>
      <c r="E19" s="41">
        <f t="shared" si="0"/>
        <v>103741000000</v>
      </c>
      <c r="F19" s="41">
        <f t="shared" si="1"/>
        <v>3278585000000</v>
      </c>
      <c r="G19" s="41">
        <v>190604000000</v>
      </c>
      <c r="H19" s="41">
        <v>86863000000</v>
      </c>
      <c r="I19" s="45">
        <v>1445037000000</v>
      </c>
      <c r="J19" s="41">
        <f t="shared" si="2"/>
        <v>3191722000000</v>
      </c>
      <c r="K19" s="43">
        <f t="shared" si="3"/>
        <v>2.2688588596693373</v>
      </c>
      <c r="L19" s="43">
        <f t="shared" si="4"/>
        <v>37.744321517792386</v>
      </c>
      <c r="M19" s="43">
        <f t="shared" ref="M19:M76" si="7">J19/F19</f>
        <v>0.97350594845032234</v>
      </c>
      <c r="N19" s="43">
        <f t="shared" ref="N19:N76" si="8">K19+L19+M19</f>
        <v>40.986686325912046</v>
      </c>
    </row>
    <row r="20" spans="1:14" x14ac:dyDescent="0.25">
      <c r="A20" s="32"/>
      <c r="B20" s="33"/>
      <c r="C20" s="32"/>
      <c r="D20" s="34"/>
      <c r="E20" s="41"/>
      <c r="F20" s="41"/>
      <c r="G20" s="41"/>
      <c r="H20" s="41"/>
      <c r="I20" s="41"/>
      <c r="J20" s="41"/>
      <c r="K20" s="43"/>
      <c r="L20" s="43"/>
      <c r="M20" s="43"/>
      <c r="N20" s="43"/>
    </row>
    <row r="21" spans="1:14" x14ac:dyDescent="0.25">
      <c r="A21" s="32">
        <v>4</v>
      </c>
      <c r="B21" s="33" t="s">
        <v>8</v>
      </c>
      <c r="C21" s="32">
        <v>2018</v>
      </c>
      <c r="D21" s="39">
        <v>3629327583572</v>
      </c>
      <c r="E21" s="41">
        <f t="shared" si="0"/>
        <v>87842157204</v>
      </c>
      <c r="F21" s="41">
        <f t="shared" si="1"/>
        <v>3541485426368</v>
      </c>
      <c r="G21" s="41">
        <f>77735839903+62839760948</f>
        <v>140575600851</v>
      </c>
      <c r="H21" s="41">
        <f>39208512468+13524931179</f>
        <v>52733443647</v>
      </c>
      <c r="I21" s="45">
        <v>976647575842</v>
      </c>
      <c r="J21" s="41">
        <f t="shared" si="2"/>
        <v>3488751982721</v>
      </c>
      <c r="K21" s="43">
        <f t="shared" si="3"/>
        <v>3.6261651735681308</v>
      </c>
      <c r="L21" s="43">
        <f t="shared" si="4"/>
        <v>67.158243070087735</v>
      </c>
      <c r="M21" s="43">
        <f t="shared" si="7"/>
        <v>0.98510979510056007</v>
      </c>
      <c r="N21" s="43">
        <f t="shared" si="8"/>
        <v>71.769518038756416</v>
      </c>
    </row>
    <row r="22" spans="1:14" x14ac:dyDescent="0.25">
      <c r="A22" s="32"/>
      <c r="B22" s="33"/>
      <c r="C22" s="32">
        <v>2019</v>
      </c>
      <c r="D22" s="39">
        <v>3120937098980</v>
      </c>
      <c r="E22" s="41">
        <f t="shared" si="0"/>
        <v>60327408836</v>
      </c>
      <c r="F22" s="41">
        <f t="shared" si="1"/>
        <v>3060609690144</v>
      </c>
      <c r="G22" s="41">
        <f>48951237291+44598253533</f>
        <v>93549490824</v>
      </c>
      <c r="H22" s="41">
        <f>13847551913+19374530075</f>
        <v>33222081988</v>
      </c>
      <c r="I22" s="45">
        <v>1131294696834</v>
      </c>
      <c r="J22" s="41">
        <f t="shared" si="2"/>
        <v>3027387608156</v>
      </c>
      <c r="K22" s="43">
        <f t="shared" si="3"/>
        <v>2.7054044350329853</v>
      </c>
      <c r="L22" s="43">
        <f t="shared" si="4"/>
        <v>92.125764160401175</v>
      </c>
      <c r="M22" s="43">
        <f t="shared" si="7"/>
        <v>0.98914527321305157</v>
      </c>
      <c r="N22" s="43">
        <f t="shared" si="8"/>
        <v>95.820313868647219</v>
      </c>
    </row>
    <row r="23" spans="1:14" x14ac:dyDescent="0.25">
      <c r="A23" s="32"/>
      <c r="B23" s="33"/>
      <c r="C23" s="32">
        <v>2020</v>
      </c>
      <c r="D23" s="39">
        <v>3634297273749</v>
      </c>
      <c r="E23" s="41">
        <f t="shared" si="0"/>
        <v>84505631560</v>
      </c>
      <c r="F23" s="41">
        <f t="shared" si="1"/>
        <v>3549791642189</v>
      </c>
      <c r="G23" s="41">
        <f>79134141192+51430321036</f>
        <v>130564462228</v>
      </c>
      <c r="H23" s="41">
        <f>16426730698+29632099970</f>
        <v>46058830668</v>
      </c>
      <c r="I23" s="45">
        <v>1260714994864</v>
      </c>
      <c r="J23" s="41">
        <f t="shared" si="2"/>
        <v>3503732811521</v>
      </c>
      <c r="K23" s="43">
        <f t="shared" si="3"/>
        <v>2.8156971691860737</v>
      </c>
      <c r="L23" s="43">
        <f t="shared" si="4"/>
        <v>77.070815535385833</v>
      </c>
      <c r="M23" s="43">
        <f t="shared" si="7"/>
        <v>0.98702491996414821</v>
      </c>
      <c r="N23" s="43">
        <f t="shared" si="8"/>
        <v>80.873537624536056</v>
      </c>
    </row>
    <row r="24" spans="1:14" x14ac:dyDescent="0.25">
      <c r="A24" s="32"/>
      <c r="B24" s="33"/>
      <c r="C24" s="32">
        <v>2021</v>
      </c>
      <c r="D24" s="39">
        <v>5359440530374</v>
      </c>
      <c r="E24" s="41">
        <f t="shared" si="0"/>
        <v>103668019979</v>
      </c>
      <c r="F24" s="41">
        <f t="shared" si="1"/>
        <v>5255772510395</v>
      </c>
      <c r="G24" s="41">
        <f>105714295886+45113383907</f>
        <v>150827679793</v>
      </c>
      <c r="H24" s="41">
        <f>30026911834+17132747980</f>
        <v>47159659814</v>
      </c>
      <c r="I24" s="45">
        <v>1387366962835</v>
      </c>
      <c r="J24" s="41">
        <f t="shared" si="2"/>
        <v>5208612850581</v>
      </c>
      <c r="K24" s="43">
        <f t="shared" si="3"/>
        <v>3.7883073845546593</v>
      </c>
      <c r="L24" s="43">
        <f t="shared" si="4"/>
        <v>111.44636180846138</v>
      </c>
      <c r="M24" s="43">
        <f t="shared" si="7"/>
        <v>0.99102707361844022</v>
      </c>
      <c r="N24" s="43">
        <f t="shared" si="8"/>
        <v>116.22569626663447</v>
      </c>
    </row>
    <row r="25" spans="1:14" x14ac:dyDescent="0.25">
      <c r="A25" s="32"/>
      <c r="B25" s="33"/>
      <c r="C25" s="32">
        <v>2022</v>
      </c>
      <c r="D25" s="39">
        <v>6143759424928</v>
      </c>
      <c r="E25" s="41">
        <f t="shared" si="0"/>
        <v>98142028631</v>
      </c>
      <c r="F25" s="41">
        <f t="shared" si="1"/>
        <v>6045617396297</v>
      </c>
      <c r="G25" s="41">
        <f>95770791433+56587080066</f>
        <v>152357871499</v>
      </c>
      <c r="H25" s="41">
        <f>34966030224+19249812644</f>
        <v>54215842868</v>
      </c>
      <c r="I25" s="46">
        <v>1550042869748</v>
      </c>
      <c r="J25" s="41">
        <f t="shared" si="2"/>
        <v>5991401553429</v>
      </c>
      <c r="K25" s="43">
        <f t="shared" si="3"/>
        <v>3.9002904463409283</v>
      </c>
      <c r="L25" s="43">
        <f t="shared" si="4"/>
        <v>111.5101615410894</v>
      </c>
      <c r="M25" s="43">
        <f t="shared" si="7"/>
        <v>0.99103220741338882</v>
      </c>
      <c r="N25" s="43">
        <f t="shared" si="8"/>
        <v>116.40148419484372</v>
      </c>
    </row>
    <row r="26" spans="1:14" x14ac:dyDescent="0.25">
      <c r="A26" s="32"/>
      <c r="B26" s="33"/>
      <c r="C26" s="32"/>
      <c r="D26" s="34"/>
      <c r="E26" s="41"/>
      <c r="F26" s="41"/>
      <c r="G26" s="41"/>
      <c r="H26" s="41"/>
      <c r="I26" s="41"/>
      <c r="J26" s="41"/>
      <c r="K26" s="43"/>
      <c r="L26" s="43"/>
      <c r="M26" s="43"/>
      <c r="N26" s="43"/>
    </row>
    <row r="27" spans="1:14" x14ac:dyDescent="0.25">
      <c r="A27" s="32">
        <v>5</v>
      </c>
      <c r="B27" s="33" t="s">
        <v>14</v>
      </c>
      <c r="C27" s="32">
        <v>2018</v>
      </c>
      <c r="D27" s="39">
        <v>53957604000000</v>
      </c>
      <c r="E27" s="41">
        <f t="shared" si="0"/>
        <v>1693907000000</v>
      </c>
      <c r="F27" s="41">
        <f t="shared" si="1"/>
        <v>52263697000000</v>
      </c>
      <c r="G27" s="41">
        <f>1184085000000+1556530000000</f>
        <v>2740615000000</v>
      </c>
      <c r="H27" s="41">
        <f>646171000000+400537000000</f>
        <v>1046708000000</v>
      </c>
      <c r="I27" s="44">
        <v>19391174000000</v>
      </c>
      <c r="J27" s="41">
        <f t="shared" si="2"/>
        <v>51216989000000</v>
      </c>
      <c r="K27" s="43">
        <f t="shared" si="3"/>
        <v>2.6952311912625815</v>
      </c>
      <c r="L27" s="43">
        <f t="shared" si="4"/>
        <v>49.931496654272252</v>
      </c>
      <c r="M27" s="43">
        <f t="shared" si="7"/>
        <v>0.9799725610685367</v>
      </c>
      <c r="N27" s="43">
        <f t="shared" si="8"/>
        <v>53.606700406603366</v>
      </c>
    </row>
    <row r="28" spans="1:14" x14ac:dyDescent="0.25">
      <c r="A28" s="32"/>
      <c r="B28" s="33"/>
      <c r="C28" s="32">
        <v>2019</v>
      </c>
      <c r="D28" s="39">
        <v>42501146000000</v>
      </c>
      <c r="E28" s="41">
        <f t="shared" si="0"/>
        <v>1746339000000</v>
      </c>
      <c r="F28" s="41">
        <f t="shared" si="1"/>
        <v>40754807000000</v>
      </c>
      <c r="G28" s="41">
        <f>1200343000000+1608896000000</f>
        <v>2809239000000</v>
      </c>
      <c r="H28" s="41">
        <f>425493000000+637407000000</f>
        <v>1062900000000</v>
      </c>
      <c r="I28" s="44">
        <v>21071600000000</v>
      </c>
      <c r="J28" s="41">
        <f t="shared" si="2"/>
        <v>39691907000000</v>
      </c>
      <c r="K28" s="43">
        <f t="shared" si="3"/>
        <v>1.9341106987604169</v>
      </c>
      <c r="L28" s="43">
        <f t="shared" si="4"/>
        <v>38.343030388559598</v>
      </c>
      <c r="M28" s="43">
        <f t="shared" si="7"/>
        <v>0.97391964093953387</v>
      </c>
      <c r="N28" s="43">
        <f t="shared" si="8"/>
        <v>41.251060728259546</v>
      </c>
    </row>
    <row r="29" spans="1:14" x14ac:dyDescent="0.25">
      <c r="A29" s="32"/>
      <c r="B29" s="33"/>
      <c r="C29" s="32">
        <v>2020</v>
      </c>
      <c r="D29" s="39">
        <v>42518782000000</v>
      </c>
      <c r="E29" s="41">
        <f t="shared" si="0"/>
        <v>1669698000000</v>
      </c>
      <c r="F29" s="41">
        <f t="shared" si="1"/>
        <v>40849084000000</v>
      </c>
      <c r="G29" s="41">
        <f>1280330000000+1603115000000</f>
        <v>2883445000000</v>
      </c>
      <c r="H29" s="41">
        <f>562453000000+651294000000</f>
        <v>1213747000000</v>
      </c>
      <c r="I29" s="44">
        <v>23349683000000</v>
      </c>
      <c r="J29" s="41">
        <f t="shared" si="2"/>
        <v>39635337000000</v>
      </c>
      <c r="K29" s="43">
        <f t="shared" si="3"/>
        <v>1.7494491895243289</v>
      </c>
      <c r="L29" s="43">
        <f t="shared" si="4"/>
        <v>33.655353216115053</v>
      </c>
      <c r="M29" s="43">
        <f t="shared" si="7"/>
        <v>0.9702870448698433</v>
      </c>
      <c r="N29" s="43">
        <f t="shared" si="8"/>
        <v>36.375089450509222</v>
      </c>
    </row>
    <row r="30" spans="1:14" x14ac:dyDescent="0.25">
      <c r="A30" s="32"/>
      <c r="B30" s="33"/>
      <c r="C30" s="32">
        <v>2021</v>
      </c>
      <c r="D30" s="39">
        <v>51698249000000</v>
      </c>
      <c r="E30" s="41">
        <f t="shared" si="0"/>
        <v>2097797000000</v>
      </c>
      <c r="F30" s="41">
        <f t="shared" si="1"/>
        <v>49600452000000</v>
      </c>
      <c r="G30" s="41">
        <v>3528500000000</v>
      </c>
      <c r="H30" s="41">
        <v>1430703000000</v>
      </c>
      <c r="I30" s="44">
        <v>25149999000000</v>
      </c>
      <c r="J30" s="41">
        <f t="shared" si="2"/>
        <v>48169749000000</v>
      </c>
      <c r="K30" s="43">
        <f t="shared" si="3"/>
        <v>1.972185048595827</v>
      </c>
      <c r="L30" s="43">
        <f t="shared" si="4"/>
        <v>34.668587400739355</v>
      </c>
      <c r="M30" s="43">
        <f t="shared" si="7"/>
        <v>0.97115544430925749</v>
      </c>
      <c r="N30" s="43">
        <f t="shared" si="8"/>
        <v>37.611927893644442</v>
      </c>
    </row>
    <row r="31" spans="1:14" x14ac:dyDescent="0.25">
      <c r="A31" s="32"/>
      <c r="B31" s="33"/>
      <c r="C31" s="32">
        <v>2022</v>
      </c>
      <c r="D31" s="39">
        <v>56867544000000</v>
      </c>
      <c r="E31" s="41">
        <f t="shared" si="0"/>
        <v>2393440000000</v>
      </c>
      <c r="F31" s="41">
        <f t="shared" si="1"/>
        <v>54474104000000</v>
      </c>
      <c r="G31" s="41">
        <v>3958195000000</v>
      </c>
      <c r="H31" s="41">
        <v>1564755000000</v>
      </c>
      <c r="I31" s="45">
        <v>26327214000000</v>
      </c>
      <c r="J31" s="41">
        <f t="shared" si="2"/>
        <v>52909349000000</v>
      </c>
      <c r="K31" s="43">
        <f t="shared" si="3"/>
        <v>2.0691176818025636</v>
      </c>
      <c r="L31" s="43">
        <f t="shared" si="4"/>
        <v>34.813184172602099</v>
      </c>
      <c r="M31" s="43">
        <f t="shared" si="7"/>
        <v>0.97127525034647655</v>
      </c>
      <c r="N31" s="43">
        <f t="shared" si="8"/>
        <v>37.853577104751146</v>
      </c>
    </row>
    <row r="32" spans="1:14" x14ac:dyDescent="0.25">
      <c r="A32" s="32"/>
      <c r="B32" s="33"/>
      <c r="C32" s="32"/>
      <c r="D32" s="34"/>
      <c r="E32" s="41"/>
      <c r="F32" s="41"/>
      <c r="G32" s="41"/>
      <c r="H32" s="41"/>
      <c r="I32" s="41"/>
      <c r="J32" s="41"/>
      <c r="K32" s="43"/>
      <c r="L32" s="43"/>
      <c r="M32" s="43"/>
      <c r="N32" s="43"/>
    </row>
    <row r="33" spans="1:14" x14ac:dyDescent="0.25">
      <c r="A33" s="32">
        <v>6</v>
      </c>
      <c r="B33" s="33" t="s">
        <v>7</v>
      </c>
      <c r="C33" s="32">
        <v>2018</v>
      </c>
      <c r="D33" s="39">
        <v>893006350000</v>
      </c>
      <c r="E33" s="41">
        <f t="shared" si="0"/>
        <v>179015217000</v>
      </c>
      <c r="F33" s="41">
        <f t="shared" si="1"/>
        <v>713991133000</v>
      </c>
      <c r="G33" s="41">
        <v>254692973000</v>
      </c>
      <c r="H33" s="41">
        <v>75677756000</v>
      </c>
      <c r="I33" s="44">
        <v>1284163814000</v>
      </c>
      <c r="J33" s="41">
        <f t="shared" si="2"/>
        <v>638313377000</v>
      </c>
      <c r="K33" s="43">
        <f t="shared" si="3"/>
        <v>0.55599692594982275</v>
      </c>
      <c r="L33" s="43">
        <f t="shared" si="4"/>
        <v>9.4346234711293508</v>
      </c>
      <c r="M33" s="43">
        <f t="shared" si="7"/>
        <v>0.89400742880093997</v>
      </c>
      <c r="N33" s="43">
        <f t="shared" si="8"/>
        <v>10.884627825880113</v>
      </c>
    </row>
    <row r="34" spans="1:14" x14ac:dyDescent="0.25">
      <c r="A34" s="32"/>
      <c r="B34" s="33"/>
      <c r="C34" s="32">
        <v>2019</v>
      </c>
      <c r="D34" s="39">
        <v>827136727000</v>
      </c>
      <c r="E34" s="41">
        <f t="shared" si="0"/>
        <v>171550319000</v>
      </c>
      <c r="F34" s="41">
        <f t="shared" si="1"/>
        <v>655586408000</v>
      </c>
      <c r="G34" s="41">
        <v>234847981000</v>
      </c>
      <c r="H34" s="41">
        <v>63297662000</v>
      </c>
      <c r="I34" s="44">
        <v>1213563332000</v>
      </c>
      <c r="J34" s="41">
        <f t="shared" si="2"/>
        <v>592288746000</v>
      </c>
      <c r="K34" s="43">
        <f t="shared" si="3"/>
        <v>0.54021606513074838</v>
      </c>
      <c r="L34" s="43">
        <f t="shared" si="4"/>
        <v>10.357197837733722</v>
      </c>
      <c r="M34" s="43">
        <f t="shared" si="7"/>
        <v>0.90344878840136056</v>
      </c>
      <c r="N34" s="43">
        <f t="shared" si="8"/>
        <v>11.800862691265831</v>
      </c>
    </row>
    <row r="35" spans="1:14" x14ac:dyDescent="0.25">
      <c r="A35" s="32"/>
      <c r="B35" s="33"/>
      <c r="C35" s="32">
        <v>2020</v>
      </c>
      <c r="D35" s="39">
        <v>546336411000</v>
      </c>
      <c r="E35" s="41">
        <f t="shared" si="0"/>
        <v>163379827000</v>
      </c>
      <c r="F35" s="41">
        <f t="shared" si="1"/>
        <v>382956584000</v>
      </c>
      <c r="G35" s="41">
        <v>235143082000</v>
      </c>
      <c r="H35" s="41">
        <v>71763255000</v>
      </c>
      <c r="I35" s="44">
        <v>1019898963000</v>
      </c>
      <c r="J35" s="41">
        <f t="shared" si="2"/>
        <v>311193329000</v>
      </c>
      <c r="K35" s="43">
        <f t="shared" si="3"/>
        <v>0.37548482535323452</v>
      </c>
      <c r="L35" s="43">
        <f t="shared" si="4"/>
        <v>5.3363881557490664</v>
      </c>
      <c r="M35" s="43">
        <f t="shared" si="7"/>
        <v>0.81260733462151413</v>
      </c>
      <c r="N35" s="43">
        <f t="shared" si="8"/>
        <v>6.5244803157238156</v>
      </c>
    </row>
    <row r="36" spans="1:14" x14ac:dyDescent="0.25">
      <c r="A36" s="32"/>
      <c r="B36" s="33"/>
      <c r="C36" s="32">
        <v>2021</v>
      </c>
      <c r="D36" s="39">
        <v>681205785000</v>
      </c>
      <c r="E36" s="41">
        <f t="shared" si="0"/>
        <v>178598535000</v>
      </c>
      <c r="F36" s="41">
        <f t="shared" si="1"/>
        <v>502607250000</v>
      </c>
      <c r="G36" s="41">
        <v>250966445000</v>
      </c>
      <c r="H36" s="41">
        <v>72367910000</v>
      </c>
      <c r="I36" s="44">
        <v>1010174017000</v>
      </c>
      <c r="J36" s="41">
        <f t="shared" si="2"/>
        <v>430239340000</v>
      </c>
      <c r="K36" s="43">
        <f t="shared" si="3"/>
        <v>0.49754521650896905</v>
      </c>
      <c r="L36" s="43">
        <f t="shared" si="4"/>
        <v>6.9451674091458493</v>
      </c>
      <c r="M36" s="43">
        <f t="shared" si="7"/>
        <v>0.85601498983550273</v>
      </c>
      <c r="N36" s="43">
        <f t="shared" si="8"/>
        <v>8.2987276154903213</v>
      </c>
    </row>
    <row r="37" spans="1:14" x14ac:dyDescent="0.25">
      <c r="A37" s="32"/>
      <c r="B37" s="33"/>
      <c r="C37" s="32">
        <v>2022</v>
      </c>
      <c r="D37" s="39">
        <v>778744315000</v>
      </c>
      <c r="E37" s="41">
        <f t="shared" si="0"/>
        <v>197503461000</v>
      </c>
      <c r="F37" s="41">
        <f t="shared" si="1"/>
        <v>581240854000</v>
      </c>
      <c r="G37" s="41">
        <v>273208755000</v>
      </c>
      <c r="H37" s="41">
        <v>75705294000</v>
      </c>
      <c r="I37" s="44">
        <v>1000775865000</v>
      </c>
      <c r="J37" s="41">
        <f t="shared" si="2"/>
        <v>505535560000</v>
      </c>
      <c r="K37" s="43">
        <f t="shared" si="3"/>
        <v>0.58079023918107775</v>
      </c>
      <c r="L37" s="43">
        <f t="shared" si="4"/>
        <v>7.6776777856512917</v>
      </c>
      <c r="M37" s="43">
        <f t="shared" si="7"/>
        <v>0.86975228344840327</v>
      </c>
      <c r="N37" s="43">
        <f t="shared" si="8"/>
        <v>9.1282203082807722</v>
      </c>
    </row>
    <row r="38" spans="1:14" x14ac:dyDescent="0.25">
      <c r="A38" s="32"/>
      <c r="B38" s="33"/>
      <c r="C38" s="32"/>
      <c r="D38" s="34"/>
      <c r="E38" s="41"/>
      <c r="F38" s="41"/>
      <c r="G38" s="41"/>
      <c r="H38" s="41"/>
      <c r="I38" s="41"/>
      <c r="J38" s="41"/>
      <c r="K38" s="43"/>
      <c r="L38" s="43"/>
      <c r="M38" s="43"/>
      <c r="N38" s="43"/>
    </row>
    <row r="39" spans="1:14" x14ac:dyDescent="0.25">
      <c r="A39" s="32">
        <v>7</v>
      </c>
      <c r="B39" s="33" t="s">
        <v>15</v>
      </c>
      <c r="C39" s="32">
        <v>2018</v>
      </c>
      <c r="D39" s="39">
        <v>47618050000000</v>
      </c>
      <c r="E39" s="41">
        <f t="shared" si="0"/>
        <v>391536000000</v>
      </c>
      <c r="F39" s="41">
        <f t="shared" si="1"/>
        <v>47226514000000</v>
      </c>
      <c r="G39" s="41">
        <f>276332000000+352736000000</f>
        <v>629068000000</v>
      </c>
      <c r="H39" s="41">
        <f>220856000000+16676000000</f>
        <v>237532000000</v>
      </c>
      <c r="I39" s="44">
        <v>3658962000000</v>
      </c>
      <c r="J39" s="41">
        <f t="shared" si="2"/>
        <v>46988982000000</v>
      </c>
      <c r="K39" s="43">
        <f t="shared" si="3"/>
        <v>12.907079658110689</v>
      </c>
      <c r="L39" s="43">
        <f t="shared" si="4"/>
        <v>198.82169139315965</v>
      </c>
      <c r="M39" s="43">
        <f t="shared" si="7"/>
        <v>0.99497036770488712</v>
      </c>
      <c r="N39" s="43">
        <f t="shared" si="8"/>
        <v>212.72374141897524</v>
      </c>
    </row>
    <row r="40" spans="1:14" x14ac:dyDescent="0.25">
      <c r="A40" s="32"/>
      <c r="B40" s="33"/>
      <c r="C40" s="32">
        <v>2019</v>
      </c>
      <c r="D40" s="39">
        <v>57366840000000</v>
      </c>
      <c r="E40" s="41">
        <f t="shared" si="0"/>
        <v>532478000000</v>
      </c>
      <c r="F40" s="41">
        <f t="shared" si="1"/>
        <v>56834362000000</v>
      </c>
      <c r="G40" s="41">
        <v>752848000000</v>
      </c>
      <c r="H40" s="41">
        <v>220370000000</v>
      </c>
      <c r="I40" s="44">
        <v>3731592000000</v>
      </c>
      <c r="J40" s="41">
        <f t="shared" si="2"/>
        <v>56613992000000</v>
      </c>
      <c r="K40" s="43">
        <f t="shared" si="3"/>
        <v>15.230593805539298</v>
      </c>
      <c r="L40" s="43">
        <f t="shared" si="4"/>
        <v>257.90426101556471</v>
      </c>
      <c r="M40" s="43">
        <f t="shared" si="7"/>
        <v>0.9961225921740795</v>
      </c>
      <c r="N40" s="43">
        <f t="shared" si="8"/>
        <v>274.13097741327806</v>
      </c>
    </row>
    <row r="41" spans="1:14" x14ac:dyDescent="0.25">
      <c r="A41" s="32"/>
      <c r="B41" s="33"/>
      <c r="C41" s="32">
        <v>2020</v>
      </c>
      <c r="D41" s="39">
        <v>66989180000000</v>
      </c>
      <c r="E41" s="41">
        <f t="shared" si="0"/>
        <v>485026000000</v>
      </c>
      <c r="F41" s="41">
        <f t="shared" si="1"/>
        <v>66504154000000</v>
      </c>
      <c r="G41" s="41">
        <v>718863000000</v>
      </c>
      <c r="H41" s="41">
        <v>233837000000</v>
      </c>
      <c r="I41" s="44">
        <v>6230749000000</v>
      </c>
      <c r="J41" s="41">
        <f t="shared" si="2"/>
        <v>66270317000000</v>
      </c>
      <c r="K41" s="43">
        <f t="shared" si="3"/>
        <v>10.673540853595611</v>
      </c>
      <c r="L41" s="43">
        <f t="shared" si="4"/>
        <v>284.40389673148388</v>
      </c>
      <c r="M41" s="43">
        <f t="shared" si="7"/>
        <v>0.99648387377426073</v>
      </c>
      <c r="N41" s="43">
        <f t="shared" si="8"/>
        <v>296.07392145885376</v>
      </c>
    </row>
    <row r="42" spans="1:14" x14ac:dyDescent="0.25">
      <c r="A42" s="32"/>
      <c r="B42" s="33"/>
      <c r="C42" s="32">
        <v>2021</v>
      </c>
      <c r="D42" s="39">
        <v>71244950000000</v>
      </c>
      <c r="E42" s="41">
        <f t="shared" si="0"/>
        <v>509479000000</v>
      </c>
      <c r="F42" s="41">
        <f t="shared" si="1"/>
        <v>70735471000000</v>
      </c>
      <c r="G42" s="41">
        <v>731322000000</v>
      </c>
      <c r="H42" s="41">
        <v>221843000000</v>
      </c>
      <c r="I42" s="44">
        <v>7025463000000</v>
      </c>
      <c r="J42" s="41">
        <f t="shared" si="2"/>
        <v>70513628000000</v>
      </c>
      <c r="K42" s="43">
        <f t="shared" si="3"/>
        <v>10.068442606558458</v>
      </c>
      <c r="L42" s="43">
        <f t="shared" si="4"/>
        <v>318.85374341313451</v>
      </c>
      <c r="M42" s="43">
        <f t="shared" si="7"/>
        <v>0.99686376584669945</v>
      </c>
      <c r="N42" s="43">
        <f t="shared" si="8"/>
        <v>329.91904978553964</v>
      </c>
    </row>
    <row r="43" spans="1:14" x14ac:dyDescent="0.25">
      <c r="A43" s="32"/>
      <c r="B43" s="33"/>
      <c r="C43" s="32">
        <v>2022</v>
      </c>
      <c r="D43" s="39">
        <v>96336710000000</v>
      </c>
      <c r="E43" s="41">
        <f t="shared" si="0"/>
        <v>615262000000</v>
      </c>
      <c r="F43" s="41">
        <f t="shared" si="1"/>
        <v>95721448000000</v>
      </c>
      <c r="G43" s="41">
        <v>883038000000</v>
      </c>
      <c r="H43" s="41">
        <v>267776000000</v>
      </c>
      <c r="I43" s="44">
        <v>8160140000000</v>
      </c>
      <c r="J43" s="41">
        <f t="shared" si="2"/>
        <v>95453672000000</v>
      </c>
      <c r="K43" s="43">
        <f t="shared" si="3"/>
        <v>11.730368351523381</v>
      </c>
      <c r="L43" s="43">
        <f t="shared" si="4"/>
        <v>357.46836161567876</v>
      </c>
      <c r="M43" s="43">
        <f t="shared" si="7"/>
        <v>0.99720254963130106</v>
      </c>
      <c r="N43" s="43">
        <f t="shared" si="8"/>
        <v>370.19593251683347</v>
      </c>
    </row>
    <row r="44" spans="1:14" x14ac:dyDescent="0.25">
      <c r="A44" s="32"/>
      <c r="B44" s="33"/>
      <c r="C44" s="32"/>
      <c r="D44" s="34"/>
      <c r="E44" s="41"/>
      <c r="F44" s="41"/>
      <c r="G44" s="41"/>
      <c r="H44" s="41"/>
      <c r="I44" s="41"/>
      <c r="J44" s="41"/>
      <c r="K44" s="43"/>
      <c r="L44" s="43"/>
      <c r="M44" s="43"/>
      <c r="N44" s="43"/>
    </row>
    <row r="45" spans="1:14" x14ac:dyDescent="0.25">
      <c r="A45" s="32">
        <v>8</v>
      </c>
      <c r="B45" s="33" t="s">
        <v>3</v>
      </c>
      <c r="C45" s="32">
        <v>2018</v>
      </c>
      <c r="D45" s="39">
        <v>38413407000000</v>
      </c>
      <c r="E45" s="41">
        <f t="shared" si="0"/>
        <v>4916368000000</v>
      </c>
      <c r="F45" s="41">
        <f t="shared" si="1"/>
        <v>33497039000000</v>
      </c>
      <c r="G45" s="41">
        <v>6493793000000</v>
      </c>
      <c r="H45" s="41">
        <f>544611000000+1032814000000</f>
        <v>1577425000000</v>
      </c>
      <c r="I45" s="44">
        <v>22707150000000</v>
      </c>
      <c r="J45" s="41">
        <f t="shared" si="2"/>
        <v>31919614000000</v>
      </c>
      <c r="K45" s="43">
        <f t="shared" si="3"/>
        <v>1.4751758366858017</v>
      </c>
      <c r="L45" s="43">
        <f t="shared" si="4"/>
        <v>21.23526570201436</v>
      </c>
      <c r="M45" s="43">
        <f t="shared" si="7"/>
        <v>0.95290852424299355</v>
      </c>
      <c r="N45" s="43">
        <f t="shared" si="8"/>
        <v>23.663350062943152</v>
      </c>
    </row>
    <row r="46" spans="1:14" x14ac:dyDescent="0.25">
      <c r="A46" s="32"/>
      <c r="B46" s="33"/>
      <c r="C46" s="32">
        <v>2019</v>
      </c>
      <c r="D46" s="39">
        <v>42296703000000</v>
      </c>
      <c r="E46" s="41">
        <f t="shared" si="0"/>
        <v>5472013000000</v>
      </c>
      <c r="F46" s="41">
        <f t="shared" si="1"/>
        <v>36824690000000</v>
      </c>
      <c r="G46" s="41">
        <v>7125871000000</v>
      </c>
      <c r="H46" s="41">
        <f>1053020000000+600838000000</f>
        <v>1653858000000</v>
      </c>
      <c r="I46" s="44">
        <v>26671104000000</v>
      </c>
      <c r="J46" s="41">
        <f t="shared" si="2"/>
        <v>35170832000000</v>
      </c>
      <c r="K46" s="43">
        <f t="shared" si="3"/>
        <v>1.3806961271644398</v>
      </c>
      <c r="L46" s="43">
        <f t="shared" si="4"/>
        <v>22.265932141695359</v>
      </c>
      <c r="M46" s="43">
        <f t="shared" si="7"/>
        <v>0.95508833882919308</v>
      </c>
      <c r="N46" s="43">
        <f t="shared" si="8"/>
        <v>24.601716607688992</v>
      </c>
    </row>
    <row r="47" spans="1:14" x14ac:dyDescent="0.25">
      <c r="A47" s="32"/>
      <c r="B47" s="33"/>
      <c r="C47" s="32">
        <v>2020</v>
      </c>
      <c r="D47" s="39">
        <v>46641048000000</v>
      </c>
      <c r="E47" s="41">
        <f t="shared" si="0"/>
        <v>6259622000000</v>
      </c>
      <c r="F47" s="41">
        <f t="shared" si="1"/>
        <v>40381426000000</v>
      </c>
      <c r="G47" s="41">
        <v>8106983000000</v>
      </c>
      <c r="H47" s="41">
        <f>606457000000+1240904000000</f>
        <v>1847361000000</v>
      </c>
      <c r="I47" s="44">
        <v>50318053000000</v>
      </c>
      <c r="J47" s="41">
        <f t="shared" si="2"/>
        <v>38534065000000</v>
      </c>
      <c r="K47" s="43">
        <f t="shared" si="3"/>
        <v>0.80252361910744041</v>
      </c>
      <c r="L47" s="43">
        <f t="shared" si="4"/>
        <v>21.85897937652684</v>
      </c>
      <c r="M47" s="43">
        <f t="shared" si="7"/>
        <v>0.95425220991452853</v>
      </c>
      <c r="N47" s="43">
        <f t="shared" si="8"/>
        <v>23.615755205548808</v>
      </c>
    </row>
    <row r="48" spans="1:14" x14ac:dyDescent="0.25">
      <c r="A48" s="32"/>
      <c r="B48" s="33"/>
      <c r="C48" s="32">
        <v>2021</v>
      </c>
      <c r="D48" s="39">
        <v>56803733000000</v>
      </c>
      <c r="E48" s="41">
        <f t="shared" si="0"/>
        <v>6473725000000</v>
      </c>
      <c r="F48" s="41">
        <f t="shared" si="1"/>
        <v>50330008000000</v>
      </c>
      <c r="G48" s="41">
        <v>8635631000000</v>
      </c>
      <c r="H48" s="41">
        <f>788963000000+1372943000000</f>
        <v>2161906000000</v>
      </c>
      <c r="I48" s="44">
        <v>54723863000000</v>
      </c>
      <c r="J48" s="41">
        <f t="shared" si="2"/>
        <v>48168102000000</v>
      </c>
      <c r="K48" s="43">
        <f t="shared" si="3"/>
        <v>0.91970861048314512</v>
      </c>
      <c r="L48" s="43">
        <f t="shared" si="4"/>
        <v>23.280386843831323</v>
      </c>
      <c r="M48" s="43">
        <f t="shared" si="7"/>
        <v>0.9570453873164495</v>
      </c>
      <c r="N48" s="43">
        <f t="shared" si="8"/>
        <v>25.157140841630916</v>
      </c>
    </row>
    <row r="49" spans="1:14" x14ac:dyDescent="0.25">
      <c r="A49" s="32"/>
      <c r="B49" s="33"/>
      <c r="C49" s="32">
        <v>2022</v>
      </c>
      <c r="D49" s="39">
        <v>64797516000000</v>
      </c>
      <c r="E49" s="41">
        <f t="shared" si="0"/>
        <v>7295761000000</v>
      </c>
      <c r="F49" s="41">
        <f t="shared" si="1"/>
        <v>57501755000000</v>
      </c>
      <c r="G49" s="41">
        <v>9378241000000</v>
      </c>
      <c r="H49" s="41">
        <f>1281416000000+801064000000</f>
        <v>2082480000000</v>
      </c>
      <c r="I49" s="44">
        <v>57473007000000</v>
      </c>
      <c r="J49" s="41">
        <f t="shared" si="2"/>
        <v>55419275000000</v>
      </c>
      <c r="K49" s="43">
        <f t="shared" si="3"/>
        <v>1.0005002000330347</v>
      </c>
      <c r="L49" s="43">
        <f t="shared" si="4"/>
        <v>27.612152337597479</v>
      </c>
      <c r="M49" s="43">
        <f t="shared" si="7"/>
        <v>0.96378406189515431</v>
      </c>
      <c r="N49" s="43">
        <f t="shared" si="8"/>
        <v>29.576436599525668</v>
      </c>
    </row>
    <row r="50" spans="1:14" x14ac:dyDescent="0.25">
      <c r="A50" s="32"/>
      <c r="B50" s="33"/>
      <c r="C50" s="32"/>
      <c r="D50" s="34"/>
      <c r="E50" s="41"/>
      <c r="F50" s="41"/>
      <c r="G50" s="41"/>
      <c r="H50" s="41"/>
      <c r="I50" s="41"/>
      <c r="J50" s="41"/>
      <c r="K50" s="43"/>
      <c r="L50" s="43"/>
      <c r="M50" s="43"/>
      <c r="N50" s="43"/>
    </row>
    <row r="51" spans="1:14" x14ac:dyDescent="0.25">
      <c r="A51" s="32">
        <v>9</v>
      </c>
      <c r="B51" s="33" t="s">
        <v>4</v>
      </c>
      <c r="C51" s="32">
        <v>2018</v>
      </c>
      <c r="D51" s="39">
        <v>73394728000000</v>
      </c>
      <c r="E51" s="41">
        <f t="shared" si="0"/>
        <v>8217555000000</v>
      </c>
      <c r="F51" s="41">
        <f t="shared" si="1"/>
        <v>65177173000000</v>
      </c>
      <c r="G51" s="41">
        <f>7817444000000+4466279000000</f>
        <v>12283723000000</v>
      </c>
      <c r="H51" s="41">
        <f>2637762000000+1428406000000</f>
        <v>4066168000000</v>
      </c>
      <c r="I51" s="47">
        <v>49916800000000</v>
      </c>
      <c r="J51" s="41">
        <f t="shared" si="2"/>
        <v>61111005000000</v>
      </c>
      <c r="K51" s="43">
        <f t="shared" si="3"/>
        <v>1.305716171709725</v>
      </c>
      <c r="L51" s="43">
        <f t="shared" si="4"/>
        <v>16.029139228875934</v>
      </c>
      <c r="M51" s="43">
        <f t="shared" si="7"/>
        <v>0.93761361819114186</v>
      </c>
      <c r="N51" s="43">
        <f t="shared" si="8"/>
        <v>18.272469018776803</v>
      </c>
    </row>
    <row r="52" spans="1:14" x14ac:dyDescent="0.25">
      <c r="A52" s="32"/>
      <c r="B52" s="33"/>
      <c r="C52" s="32">
        <v>2019</v>
      </c>
      <c r="D52" s="39">
        <v>76592955000000</v>
      </c>
      <c r="E52" s="41">
        <f t="shared" si="0"/>
        <v>8672586000000</v>
      </c>
      <c r="F52" s="41">
        <f t="shared" si="1"/>
        <v>67920369000000</v>
      </c>
      <c r="G52" s="41">
        <f>8489356000000+4697173000000</f>
        <v>13186529000000</v>
      </c>
      <c r="H52" s="41">
        <f>1697366000000+2816577000000</f>
        <v>4513943000000</v>
      </c>
      <c r="I52" s="44">
        <v>54202488000000</v>
      </c>
      <c r="J52" s="41">
        <f t="shared" si="2"/>
        <v>63406426000000</v>
      </c>
      <c r="K52" s="43">
        <f t="shared" si="3"/>
        <v>1.2530858177580335</v>
      </c>
      <c r="L52" s="43">
        <f t="shared" si="4"/>
        <v>15.046793679051774</v>
      </c>
      <c r="M52" s="43">
        <f t="shared" si="7"/>
        <v>0.93354065847315992</v>
      </c>
      <c r="N52" s="43">
        <f t="shared" si="8"/>
        <v>17.233420155282968</v>
      </c>
    </row>
    <row r="53" spans="1:14" x14ac:dyDescent="0.25">
      <c r="A53" s="32"/>
      <c r="B53" s="33"/>
      <c r="C53" s="32">
        <v>2020</v>
      </c>
      <c r="D53" s="39">
        <v>81731469000000</v>
      </c>
      <c r="E53" s="41">
        <f t="shared" si="0"/>
        <v>9555720000000</v>
      </c>
      <c r="F53" s="41">
        <f t="shared" si="1"/>
        <v>72175749000000</v>
      </c>
      <c r="G53" s="41">
        <f>9007860000000+5087140000000</f>
        <v>14095000000000</v>
      </c>
      <c r="H53" s="41">
        <f>1604590000000+2934690000000</f>
        <v>4539280000000</v>
      </c>
      <c r="I53" s="44">
        <v>79138044000000</v>
      </c>
      <c r="J53" s="41">
        <f t="shared" si="2"/>
        <v>67636469000000</v>
      </c>
      <c r="K53" s="43">
        <f t="shared" si="3"/>
        <v>0.91202341316396451</v>
      </c>
      <c r="L53" s="43">
        <f t="shared" si="4"/>
        <v>15.900263698207645</v>
      </c>
      <c r="M53" s="43">
        <f t="shared" si="7"/>
        <v>0.93710796129043283</v>
      </c>
      <c r="N53" s="43">
        <f t="shared" si="8"/>
        <v>17.749395072662043</v>
      </c>
    </row>
    <row r="54" spans="1:14" x14ac:dyDescent="0.25">
      <c r="A54" s="32"/>
      <c r="B54" s="33"/>
      <c r="C54" s="32">
        <v>2021</v>
      </c>
      <c r="D54" s="39">
        <v>99345618000000</v>
      </c>
      <c r="E54" s="41">
        <f t="shared" si="0"/>
        <v>10283027000000</v>
      </c>
      <c r="F54" s="41">
        <f t="shared" si="1"/>
        <v>89062591000000</v>
      </c>
      <c r="G54" s="41">
        <f>10047519000000+5294066000000</f>
        <v>15341585000000</v>
      </c>
      <c r="H54" s="41">
        <f>1771386000000+3287172000000</f>
        <v>5058558000000</v>
      </c>
      <c r="I54" s="47">
        <v>86986509000000</v>
      </c>
      <c r="J54" s="41">
        <f t="shared" si="2"/>
        <v>84004033000000</v>
      </c>
      <c r="K54" s="43">
        <f t="shared" si="3"/>
        <v>1.0238667124806675</v>
      </c>
      <c r="L54" s="43">
        <f t="shared" si="4"/>
        <v>17.606320022425365</v>
      </c>
      <c r="M54" s="43">
        <f t="shared" si="7"/>
        <v>0.94320221382286085</v>
      </c>
      <c r="N54" s="43">
        <f t="shared" si="8"/>
        <v>19.573388948728894</v>
      </c>
    </row>
    <row r="55" spans="1:14" x14ac:dyDescent="0.25">
      <c r="A55" s="32"/>
      <c r="B55" s="33"/>
      <c r="C55" s="32">
        <v>2022</v>
      </c>
      <c r="D55" s="39">
        <v>110830272000000</v>
      </c>
      <c r="E55" s="41">
        <f t="shared" si="0"/>
        <v>10578112000000</v>
      </c>
      <c r="F55" s="41">
        <f t="shared" si="1"/>
        <v>100252160000000</v>
      </c>
      <c r="G55" s="41">
        <f>10640348000000+4648354000000</f>
        <v>15288702000000</v>
      </c>
      <c r="H55" s="41">
        <f>1811367000000+2899223000000</f>
        <v>4710590000000</v>
      </c>
      <c r="I55" s="47">
        <v>93623038000000</v>
      </c>
      <c r="J55" s="41">
        <f t="shared" si="2"/>
        <v>95541570000000</v>
      </c>
      <c r="K55" s="43">
        <f t="shared" si="3"/>
        <v>1.0708065252059007</v>
      </c>
      <c r="L55" s="43">
        <f t="shared" si="4"/>
        <v>21.282293725414437</v>
      </c>
      <c r="M55" s="43">
        <f t="shared" si="7"/>
        <v>0.95301258346952322</v>
      </c>
      <c r="N55" s="43">
        <f t="shared" si="8"/>
        <v>23.306112834089859</v>
      </c>
    </row>
    <row r="56" spans="1:14" x14ac:dyDescent="0.25">
      <c r="A56" s="32"/>
      <c r="B56" s="33"/>
      <c r="C56" s="32"/>
      <c r="D56" s="34"/>
      <c r="E56" s="41"/>
      <c r="F56" s="41"/>
      <c r="G56" s="41"/>
      <c r="H56" s="41"/>
      <c r="I56" s="41"/>
      <c r="J56" s="41"/>
      <c r="K56" s="43"/>
      <c r="L56" s="43"/>
      <c r="M56" s="43"/>
      <c r="N56" s="43"/>
    </row>
    <row r="57" spans="1:14" x14ac:dyDescent="0.25">
      <c r="A57" s="36">
        <v>10</v>
      </c>
      <c r="B57" s="36" t="s">
        <v>16</v>
      </c>
      <c r="C57" s="36">
        <v>2018</v>
      </c>
      <c r="D57" s="39">
        <v>34012965000000</v>
      </c>
      <c r="E57" s="41">
        <f t="shared" si="0"/>
        <v>1821766000000</v>
      </c>
      <c r="F57" s="41">
        <f t="shared" si="1"/>
        <v>32191199000000</v>
      </c>
      <c r="G57" s="41">
        <f>836629000000+2647489000000</f>
        <v>3484118000000</v>
      </c>
      <c r="H57" s="41">
        <f>1352441000000+309911000000</f>
        <v>1662352000000</v>
      </c>
      <c r="I57" s="47">
        <v>10214809000000</v>
      </c>
      <c r="J57" s="41">
        <f t="shared" si="2"/>
        <v>30528847000000</v>
      </c>
      <c r="K57" s="43">
        <f t="shared" si="3"/>
        <v>3.1514244661843409</v>
      </c>
      <c r="L57" s="43">
        <f t="shared" si="4"/>
        <v>19.364851126596534</v>
      </c>
      <c r="M57" s="43">
        <f t="shared" si="7"/>
        <v>0.94836004710480026</v>
      </c>
      <c r="N57" s="43">
        <f t="shared" si="8"/>
        <v>23.464635639885675</v>
      </c>
    </row>
    <row r="58" spans="1:14" x14ac:dyDescent="0.25">
      <c r="A58" s="36"/>
      <c r="B58" s="36"/>
      <c r="C58" s="36">
        <v>2019</v>
      </c>
      <c r="D58" s="39">
        <v>38872084000000</v>
      </c>
      <c r="E58" s="41">
        <f t="shared" si="0"/>
        <v>2589157000000</v>
      </c>
      <c r="F58" s="41">
        <f t="shared" si="1"/>
        <v>36282927000000</v>
      </c>
      <c r="G58" s="41">
        <f>1557777000000+3178331000000</f>
        <v>4736108000000</v>
      </c>
      <c r="H58" s="41">
        <f>431843000000+1715108000000</f>
        <v>2146951000000</v>
      </c>
      <c r="I58" s="47">
        <v>11448168000000</v>
      </c>
      <c r="J58" s="41">
        <f t="shared" si="2"/>
        <v>34135976000000</v>
      </c>
      <c r="K58" s="43">
        <f t="shared" si="3"/>
        <v>3.1693216766210979</v>
      </c>
      <c r="L58" s="43">
        <f t="shared" si="4"/>
        <v>16.899746198213187</v>
      </c>
      <c r="M58" s="43">
        <f t="shared" si="7"/>
        <v>0.9408275137229144</v>
      </c>
      <c r="N58" s="43">
        <f t="shared" si="8"/>
        <v>21.009895388557201</v>
      </c>
    </row>
    <row r="59" spans="1:14" x14ac:dyDescent="0.25">
      <c r="A59" s="36"/>
      <c r="B59" s="36"/>
      <c r="C59" s="36">
        <v>2020</v>
      </c>
      <c r="D59" s="39">
        <v>36964948000000</v>
      </c>
      <c r="E59" s="41">
        <f t="shared" si="0"/>
        <v>2625907000000</v>
      </c>
      <c r="F59" s="41">
        <f t="shared" si="1"/>
        <v>34339041000000</v>
      </c>
      <c r="G59" s="41">
        <f>1549972000000+3244208000000</f>
        <v>4794180000000</v>
      </c>
      <c r="H59" s="41">
        <f>499678000000+1668595000000</f>
        <v>2168273000000</v>
      </c>
      <c r="I59" s="47">
        <v>11411970000000</v>
      </c>
      <c r="J59" s="41">
        <f t="shared" si="2"/>
        <v>32170768000000</v>
      </c>
      <c r="K59" s="43">
        <f t="shared" si="3"/>
        <v>3.0090370900028653</v>
      </c>
      <c r="L59" s="43">
        <f t="shared" si="4"/>
        <v>15.837046810987362</v>
      </c>
      <c r="M59" s="43">
        <f t="shared" si="7"/>
        <v>0.93685691455390385</v>
      </c>
      <c r="N59" s="43">
        <f t="shared" si="8"/>
        <v>19.78294081554413</v>
      </c>
    </row>
    <row r="60" spans="1:14" x14ac:dyDescent="0.25">
      <c r="A60" s="36"/>
      <c r="B60" s="36"/>
      <c r="C60" s="36">
        <v>2021</v>
      </c>
      <c r="D60" s="39">
        <v>44878300000000</v>
      </c>
      <c r="E60" s="41">
        <f t="shared" si="0"/>
        <v>2488989000000</v>
      </c>
      <c r="F60" s="41">
        <f t="shared" si="1"/>
        <v>42389311000000</v>
      </c>
      <c r="G60" s="41">
        <f>1657611000000+3140807000000</f>
        <v>4798418000000</v>
      </c>
      <c r="H60" s="41">
        <f>508526000000+1800903000000</f>
        <v>2309429000000</v>
      </c>
      <c r="I60" s="47">
        <v>13102710000000</v>
      </c>
      <c r="J60" s="41">
        <f t="shared" si="2"/>
        <v>40079882000000</v>
      </c>
      <c r="K60" s="43">
        <f t="shared" si="3"/>
        <v>3.2351560097109684</v>
      </c>
      <c r="L60" s="43">
        <f t="shared" si="4"/>
        <v>18.354888156336479</v>
      </c>
      <c r="M60" s="43">
        <f t="shared" si="7"/>
        <v>0.9455186001961674</v>
      </c>
      <c r="N60" s="43">
        <f t="shared" si="8"/>
        <v>22.535562766243615</v>
      </c>
    </row>
    <row r="61" spans="1:14" x14ac:dyDescent="0.25">
      <c r="A61" s="36"/>
      <c r="B61" s="36"/>
      <c r="C61" s="36">
        <v>2022</v>
      </c>
      <c r="D61" s="39">
        <v>48972085000000</v>
      </c>
      <c r="E61" s="41">
        <f t="shared" si="0"/>
        <v>2558154000000</v>
      </c>
      <c r="F61" s="41">
        <f t="shared" si="1"/>
        <v>46413931000000</v>
      </c>
      <c r="G61" s="41">
        <f>1810591000000+3069696000000</f>
        <v>4880287000000</v>
      </c>
      <c r="H61" s="41">
        <f>570770000000+1751363000000</f>
        <v>2322133000000</v>
      </c>
      <c r="I61" s="45">
        <v>13654777000000</v>
      </c>
      <c r="J61" s="41">
        <f t="shared" si="2"/>
        <v>44091798000000</v>
      </c>
      <c r="K61" s="43">
        <f t="shared" si="3"/>
        <v>3.3990984254081922</v>
      </c>
      <c r="L61" s="43">
        <f t="shared" si="4"/>
        <v>19.987628184948925</v>
      </c>
      <c r="M61" s="43">
        <f t="shared" si="7"/>
        <v>0.94996905131780374</v>
      </c>
      <c r="N61" s="43">
        <f t="shared" si="8"/>
        <v>24.33669566167492</v>
      </c>
    </row>
    <row r="62" spans="1:14" x14ac:dyDescent="0.25">
      <c r="A62" s="36"/>
      <c r="B62" s="36"/>
      <c r="C62" s="36"/>
      <c r="D62" s="37"/>
      <c r="E62" s="41"/>
      <c r="F62" s="41"/>
      <c r="G62" s="48"/>
      <c r="H62" s="48"/>
      <c r="I62" s="48"/>
      <c r="J62" s="41"/>
      <c r="K62" s="43"/>
      <c r="L62" s="43"/>
      <c r="M62" s="43"/>
      <c r="N62" s="43"/>
    </row>
    <row r="63" spans="1:14" x14ac:dyDescent="0.25">
      <c r="A63" s="36">
        <v>11</v>
      </c>
      <c r="B63" s="36" t="s">
        <v>17</v>
      </c>
      <c r="C63" s="36">
        <v>2018</v>
      </c>
      <c r="D63" s="39">
        <v>4019846000000</v>
      </c>
      <c r="E63" s="41">
        <f t="shared" ref="E63:E103" si="9">G63-H63</f>
        <v>181857000000</v>
      </c>
      <c r="F63" s="41">
        <f t="shared" ref="F63:F103" si="10">D63-E63</f>
        <v>3837989000000</v>
      </c>
      <c r="G63" s="41">
        <f>79625000000+293455000000</f>
        <v>373080000000</v>
      </c>
      <c r="H63" s="41">
        <f>6195000000+185028000000</f>
        <v>191223000000</v>
      </c>
      <c r="I63" s="47">
        <v>8332119000000</v>
      </c>
      <c r="J63" s="41">
        <f t="shared" ref="J63:J103" si="11">F63-H63</f>
        <v>3646766000000</v>
      </c>
      <c r="K63" s="43">
        <f t="shared" ref="K63:K103" si="12">F63/I63</f>
        <v>0.46062580239192458</v>
      </c>
      <c r="L63" s="43">
        <f t="shared" ref="L63:L103" si="13">F63/H63</f>
        <v>20.070749857496221</v>
      </c>
      <c r="M63" s="43">
        <f t="shared" si="7"/>
        <v>0.95017625115653015</v>
      </c>
      <c r="N63" s="43">
        <f t="shared" si="8"/>
        <v>21.481551911044676</v>
      </c>
    </row>
    <row r="64" spans="1:14" x14ac:dyDescent="0.25">
      <c r="A64" s="36"/>
      <c r="B64" s="36"/>
      <c r="C64" s="36">
        <v>2019</v>
      </c>
      <c r="D64" s="39">
        <v>3699439000000</v>
      </c>
      <c r="E64" s="41">
        <f t="shared" si="9"/>
        <v>150362000000</v>
      </c>
      <c r="F64" s="41">
        <f t="shared" si="10"/>
        <v>3549077000000</v>
      </c>
      <c r="G64" s="41">
        <f>59292000000+301285000000</f>
        <v>360577000000</v>
      </c>
      <c r="H64" s="41">
        <f>6470000000+203745000000</f>
        <v>210215000000</v>
      </c>
      <c r="I64" s="47">
        <v>8498500000000</v>
      </c>
      <c r="J64" s="41">
        <f t="shared" si="11"/>
        <v>3338862000000</v>
      </c>
      <c r="K64" s="43">
        <f t="shared" si="12"/>
        <v>0.41761216685297403</v>
      </c>
      <c r="L64" s="43">
        <f t="shared" si="13"/>
        <v>16.883081606926243</v>
      </c>
      <c r="M64" s="43">
        <f t="shared" si="7"/>
        <v>0.9407691070100761</v>
      </c>
      <c r="N64" s="43">
        <f t="shared" si="8"/>
        <v>18.241462880789292</v>
      </c>
    </row>
    <row r="65" spans="1:14" x14ac:dyDescent="0.25">
      <c r="A65" s="36"/>
      <c r="B65" s="36"/>
      <c r="C65" s="36">
        <v>2020</v>
      </c>
      <c r="D65" s="39">
        <v>3536721000000</v>
      </c>
      <c r="E65" s="41">
        <f t="shared" si="9"/>
        <v>119682000000</v>
      </c>
      <c r="F65" s="41">
        <f t="shared" si="10"/>
        <v>3417039000000</v>
      </c>
      <c r="G65" s="41">
        <f>52938000000+212694000000</f>
        <v>265632000000</v>
      </c>
      <c r="H65" s="41">
        <f>5082000000+140868000000</f>
        <v>145950000000</v>
      </c>
      <c r="I65" s="47">
        <v>9286332000000</v>
      </c>
      <c r="J65" s="41">
        <f t="shared" si="11"/>
        <v>3271089000000</v>
      </c>
      <c r="K65" s="43">
        <f t="shared" si="12"/>
        <v>0.36796433726470257</v>
      </c>
      <c r="L65" s="43">
        <f t="shared" si="13"/>
        <v>23.412394655704009</v>
      </c>
      <c r="M65" s="43">
        <f t="shared" si="7"/>
        <v>0.95728758144112491</v>
      </c>
      <c r="N65" s="43">
        <f t="shared" si="8"/>
        <v>24.737646574409837</v>
      </c>
    </row>
    <row r="66" spans="1:14" x14ac:dyDescent="0.25">
      <c r="A66" s="36"/>
      <c r="B66" s="36"/>
      <c r="C66" s="36">
        <v>2021</v>
      </c>
      <c r="D66" s="39">
        <v>4525473000000</v>
      </c>
      <c r="E66" s="41">
        <f t="shared" si="9"/>
        <v>115053000000</v>
      </c>
      <c r="F66" s="41">
        <f t="shared" si="10"/>
        <v>4410420000000</v>
      </c>
      <c r="G66" s="41">
        <f>42804000000+255735000000</f>
        <v>298539000000</v>
      </c>
      <c r="H66" s="41">
        <f>4627000000+178859000000</f>
        <v>183486000000</v>
      </c>
      <c r="I66" s="47">
        <v>10191396000000</v>
      </c>
      <c r="J66" s="41">
        <f t="shared" si="11"/>
        <v>4226934000000</v>
      </c>
      <c r="K66" s="43">
        <f t="shared" si="12"/>
        <v>0.43275916272903142</v>
      </c>
      <c r="L66" s="43">
        <f t="shared" si="13"/>
        <v>24.036820247866324</v>
      </c>
      <c r="M66" s="43">
        <f t="shared" si="7"/>
        <v>0.95839715945420167</v>
      </c>
      <c r="N66" s="43">
        <f t="shared" si="8"/>
        <v>25.427976570049555</v>
      </c>
    </row>
    <row r="67" spans="1:14" x14ac:dyDescent="0.25">
      <c r="A67" s="36"/>
      <c r="B67" s="36"/>
      <c r="C67" s="36">
        <v>2022</v>
      </c>
      <c r="D67" s="39">
        <v>4585348000000</v>
      </c>
      <c r="E67" s="41">
        <f t="shared" si="9"/>
        <v>168998000000</v>
      </c>
      <c r="F67" s="41">
        <f t="shared" si="10"/>
        <v>4416350000000</v>
      </c>
      <c r="G67" s="41">
        <f>90590000000+194436000000</f>
        <v>285026000000</v>
      </c>
      <c r="H67" s="41">
        <f>4796000000+111232000000</f>
        <v>116028000000</v>
      </c>
      <c r="I67" s="47">
        <v>10935707000000</v>
      </c>
      <c r="J67" s="41">
        <f t="shared" si="11"/>
        <v>4300322000000</v>
      </c>
      <c r="K67" s="43">
        <f t="shared" si="12"/>
        <v>0.40384677460725676</v>
      </c>
      <c r="L67" s="43">
        <f t="shared" si="13"/>
        <v>38.062795187368565</v>
      </c>
      <c r="M67" s="43">
        <f t="shared" si="7"/>
        <v>0.97372762575429939</v>
      </c>
      <c r="N67" s="43">
        <f t="shared" si="8"/>
        <v>39.440369587730125</v>
      </c>
    </row>
    <row r="68" spans="1:14" x14ac:dyDescent="0.25">
      <c r="A68" s="36"/>
      <c r="B68" s="36"/>
      <c r="C68" s="36"/>
      <c r="D68" s="37"/>
      <c r="E68" s="41"/>
      <c r="F68" s="41"/>
      <c r="G68" s="48"/>
      <c r="H68" s="48"/>
      <c r="I68" s="48"/>
      <c r="J68" s="41"/>
      <c r="K68" s="43"/>
      <c r="L68" s="43"/>
      <c r="M68" s="43"/>
      <c r="N68" s="43"/>
    </row>
    <row r="69" spans="1:14" x14ac:dyDescent="0.25">
      <c r="A69" s="36">
        <v>12</v>
      </c>
      <c r="B69" s="36" t="s">
        <v>5</v>
      </c>
      <c r="C69" s="36">
        <v>2018</v>
      </c>
      <c r="D69" s="39">
        <v>24060802395725</v>
      </c>
      <c r="E69" s="41">
        <f t="shared" si="9"/>
        <v>3389191708758</v>
      </c>
      <c r="F69" s="41">
        <f t="shared" si="10"/>
        <v>20671610686967</v>
      </c>
      <c r="G69" s="41">
        <f>3045558342082+723203180559</f>
        <v>3768761522641</v>
      </c>
      <c r="H69" s="41">
        <f>140109114408+239460699475</f>
        <v>379569813883</v>
      </c>
      <c r="I69" s="44">
        <v>8542544481694</v>
      </c>
      <c r="J69" s="41">
        <f t="shared" si="11"/>
        <v>20292040873084</v>
      </c>
      <c r="K69" s="43">
        <f t="shared" si="12"/>
        <v>2.4198423234745379</v>
      </c>
      <c r="L69" s="43">
        <f t="shared" si="13"/>
        <v>54.460628666690795</v>
      </c>
      <c r="M69" s="43">
        <f t="shared" si="7"/>
        <v>0.98163811133874002</v>
      </c>
      <c r="N69" s="43">
        <f t="shared" si="8"/>
        <v>57.862109101504075</v>
      </c>
    </row>
    <row r="70" spans="1:14" x14ac:dyDescent="0.25">
      <c r="A70" s="36"/>
      <c r="B70" s="36"/>
      <c r="C70" s="36">
        <v>2019</v>
      </c>
      <c r="D70" s="39">
        <v>25026739472547</v>
      </c>
      <c r="E70" s="41">
        <f t="shared" si="9"/>
        <v>4309738855111</v>
      </c>
      <c r="F70" s="41">
        <f t="shared" si="10"/>
        <v>20717000617436</v>
      </c>
      <c r="G70" s="41">
        <f>4027986833485+716989561996</f>
        <v>4744976395481</v>
      </c>
      <c r="H70" s="41">
        <f>170410307644+264827232726</f>
        <v>435237540370</v>
      </c>
      <c r="I70" s="44">
        <v>9899940195318</v>
      </c>
      <c r="J70" s="41">
        <f t="shared" si="11"/>
        <v>20281763077066</v>
      </c>
      <c r="K70" s="43">
        <f t="shared" si="12"/>
        <v>2.0926389663680731</v>
      </c>
      <c r="L70" s="43">
        <f t="shared" si="13"/>
        <v>47.599296236772823</v>
      </c>
      <c r="M70" s="43">
        <f t="shared" si="7"/>
        <v>0.97899128602604313</v>
      </c>
      <c r="N70" s="43">
        <f t="shared" si="8"/>
        <v>50.670926489166938</v>
      </c>
    </row>
    <row r="71" spans="1:14" x14ac:dyDescent="0.25">
      <c r="A71" s="36"/>
      <c r="B71" s="36"/>
      <c r="C71" s="36">
        <v>2020</v>
      </c>
      <c r="D71" s="39">
        <v>24476953742651</v>
      </c>
      <c r="E71" s="41">
        <f t="shared" si="9"/>
        <v>4027906719346</v>
      </c>
      <c r="F71" s="41">
        <f t="shared" si="10"/>
        <v>20449047023305</v>
      </c>
      <c r="G71" s="41">
        <f>3769234915945+698959849585</f>
        <v>4468194765530</v>
      </c>
      <c r="H71" s="41">
        <f>139484276805+300803769379</f>
        <v>440288046184</v>
      </c>
      <c r="I71" s="44">
        <v>11271468049958</v>
      </c>
      <c r="J71" s="41">
        <f t="shared" si="11"/>
        <v>20008758977121</v>
      </c>
      <c r="K71" s="43">
        <f t="shared" si="12"/>
        <v>1.8142310240928374</v>
      </c>
      <c r="L71" s="43">
        <f t="shared" si="13"/>
        <v>46.44470182767391</v>
      </c>
      <c r="M71" s="43">
        <f t="shared" si="7"/>
        <v>0.97846901884072057</v>
      </c>
      <c r="N71" s="43">
        <f t="shared" si="8"/>
        <v>49.237401870607464</v>
      </c>
    </row>
    <row r="72" spans="1:14" x14ac:dyDescent="0.25">
      <c r="A72" s="36"/>
      <c r="B72" s="36"/>
      <c r="C72" s="36">
        <v>2021</v>
      </c>
      <c r="D72" s="39">
        <v>27904558322183</v>
      </c>
      <c r="E72" s="41">
        <f t="shared" si="9"/>
        <v>4694262683721</v>
      </c>
      <c r="F72" s="41">
        <f t="shared" si="10"/>
        <v>23210295638462</v>
      </c>
      <c r="G72" s="41">
        <f xml:space="preserve"> 4539447007003+611220587245</f>
        <v>5150667594248</v>
      </c>
      <c r="H72" s="41">
        <f>306457944889+149946965638</f>
        <v>456404910527</v>
      </c>
      <c r="I72" s="44">
        <v>11360031396135</v>
      </c>
      <c r="J72" s="41">
        <f t="shared" si="11"/>
        <v>22753890727935</v>
      </c>
      <c r="K72" s="43">
        <f t="shared" si="12"/>
        <v>2.0431541805737252</v>
      </c>
      <c r="L72" s="43">
        <f t="shared" si="13"/>
        <v>50.854614188225142</v>
      </c>
      <c r="M72" s="43">
        <f t="shared" si="7"/>
        <v>0.98033610094260548</v>
      </c>
      <c r="N72" s="43">
        <f t="shared" si="8"/>
        <v>53.878104469741473</v>
      </c>
    </row>
    <row r="73" spans="1:14" x14ac:dyDescent="0.25">
      <c r="A73" s="36"/>
      <c r="B73" s="36"/>
      <c r="C73" s="36">
        <v>2022</v>
      </c>
      <c r="D73" s="39">
        <v>30669405967404</v>
      </c>
      <c r="E73" s="41">
        <f t="shared" si="9"/>
        <v>3941723606443</v>
      </c>
      <c r="F73" s="41">
        <f t="shared" si="10"/>
        <v>26727682360961</v>
      </c>
      <c r="G73" s="41">
        <f>3708573358051+697735339172</f>
        <v>4406308697223</v>
      </c>
      <c r="H73" s="41">
        <f>315212490146+149372600634</f>
        <v>464585090780</v>
      </c>
      <c r="I73" s="41">
        <v>12834694090515</v>
      </c>
      <c r="J73" s="41">
        <f t="shared" si="11"/>
        <v>26263097270181</v>
      </c>
      <c r="K73" s="43">
        <f t="shared" si="12"/>
        <v>2.0824557385215043</v>
      </c>
      <c r="L73" s="43">
        <f t="shared" si="13"/>
        <v>57.530219740989594</v>
      </c>
      <c r="M73" s="43">
        <f t="shared" si="7"/>
        <v>0.98261783103728506</v>
      </c>
      <c r="N73" s="43">
        <f t="shared" si="8"/>
        <v>60.595293310548385</v>
      </c>
    </row>
    <row r="74" spans="1:14" x14ac:dyDescent="0.25">
      <c r="A74" s="36"/>
      <c r="B74" s="36"/>
      <c r="C74" s="36"/>
      <c r="D74" s="37"/>
      <c r="E74" s="41"/>
      <c r="F74" s="41"/>
      <c r="G74" s="48"/>
      <c r="H74" s="48"/>
      <c r="I74" s="48"/>
      <c r="J74" s="41"/>
      <c r="K74" s="43"/>
      <c r="L74" s="43"/>
      <c r="M74" s="43"/>
      <c r="N74" s="43"/>
    </row>
    <row r="75" spans="1:14" x14ac:dyDescent="0.25">
      <c r="A75" s="36">
        <v>13</v>
      </c>
      <c r="B75" s="36" t="s">
        <v>6</v>
      </c>
      <c r="C75" s="36">
        <v>2018</v>
      </c>
      <c r="D75" s="34">
        <v>2766545866684</v>
      </c>
      <c r="E75" s="41">
        <f t="shared" si="9"/>
        <v>945950209372</v>
      </c>
      <c r="F75" s="41">
        <f t="shared" si="10"/>
        <v>1820595657312</v>
      </c>
      <c r="G75" s="41">
        <v>1353753543617</v>
      </c>
      <c r="H75" s="41">
        <f>166213441598+241589892647</f>
        <v>407803334245</v>
      </c>
      <c r="I75" s="44">
        <v>2916901120111</v>
      </c>
      <c r="J75" s="41">
        <f t="shared" si="11"/>
        <v>1412792323067</v>
      </c>
      <c r="K75" s="43">
        <f t="shared" si="12"/>
        <v>0.62415405334093699</v>
      </c>
      <c r="L75" s="43">
        <f t="shared" si="13"/>
        <v>4.4643962038285414</v>
      </c>
      <c r="M75" s="43">
        <f t="shared" si="7"/>
        <v>0.7760055437860941</v>
      </c>
      <c r="N75" s="43">
        <f t="shared" si="8"/>
        <v>5.8645558009555723</v>
      </c>
    </row>
    <row r="76" spans="1:14" x14ac:dyDescent="0.25">
      <c r="A76" s="36"/>
      <c r="B76" s="36"/>
      <c r="C76" s="36">
        <v>2019</v>
      </c>
      <c r="D76" s="34">
        <v>3337022314624</v>
      </c>
      <c r="E76" s="41">
        <f t="shared" si="9"/>
        <v>1092275148391</v>
      </c>
      <c r="F76" s="41">
        <f t="shared" si="10"/>
        <v>2244747166233</v>
      </c>
      <c r="G76" s="41">
        <v>1556060704391</v>
      </c>
      <c r="H76" s="41">
        <f>249227068981+ 214558487019</f>
        <v>463785556000</v>
      </c>
      <c r="I76" s="44">
        <v>3092597379097</v>
      </c>
      <c r="J76" s="41">
        <f t="shared" si="11"/>
        <v>1780961610233</v>
      </c>
      <c r="K76" s="43">
        <f t="shared" si="12"/>
        <v>0.7258452656674107</v>
      </c>
      <c r="L76" s="43">
        <f t="shared" si="13"/>
        <v>4.8400540663517342</v>
      </c>
      <c r="M76" s="43">
        <f t="shared" si="7"/>
        <v>0.79339073772914159</v>
      </c>
      <c r="N76" s="43">
        <f t="shared" si="8"/>
        <v>6.3592900697482859</v>
      </c>
    </row>
    <row r="77" spans="1:14" x14ac:dyDescent="0.25">
      <c r="A77" s="36"/>
      <c r="B77" s="36"/>
      <c r="C77" s="36">
        <v>2020</v>
      </c>
      <c r="D77" s="34">
        <v>3212034546032</v>
      </c>
      <c r="E77" s="41">
        <f t="shared" si="9"/>
        <v>1040280322916</v>
      </c>
      <c r="F77" s="41">
        <f t="shared" si="10"/>
        <v>2171754223116</v>
      </c>
      <c r="G77" s="41">
        <v>1598529737771</v>
      </c>
      <c r="H77" s="41">
        <f>252615542047+305633872808</f>
        <v>558249414855</v>
      </c>
      <c r="I77" s="44">
        <v>3227671047731</v>
      </c>
      <c r="J77" s="41">
        <f t="shared" si="11"/>
        <v>1613504808261</v>
      </c>
      <c r="K77" s="43">
        <f t="shared" si="12"/>
        <v>0.67285488235943613</v>
      </c>
      <c r="L77" s="43">
        <f t="shared" si="13"/>
        <v>3.8902937742981649</v>
      </c>
      <c r="M77" s="43">
        <f t="shared" ref="M77:M103" si="14">J77/F77</f>
        <v>0.74295000377435338</v>
      </c>
      <c r="N77" s="43">
        <f t="shared" ref="N77:N103" si="15">K77+L77+M77</f>
        <v>5.3060986604319549</v>
      </c>
    </row>
    <row r="78" spans="1:14" x14ac:dyDescent="0.25">
      <c r="A78" s="36"/>
      <c r="B78" s="36"/>
      <c r="C78" s="36">
        <v>2021</v>
      </c>
      <c r="D78" s="34">
        <v>3287623237457</v>
      </c>
      <c r="E78" s="41">
        <f t="shared" si="9"/>
        <v>947707193117</v>
      </c>
      <c r="F78" s="41">
        <f t="shared" si="10"/>
        <v>2339916044340</v>
      </c>
      <c r="G78" s="41">
        <v>1430295444291</v>
      </c>
      <c r="H78" s="41">
        <f>284101088232+198487162942</f>
        <v>482588251174</v>
      </c>
      <c r="I78" s="44">
        <v>2849419530726</v>
      </c>
      <c r="J78" s="41">
        <f t="shared" si="11"/>
        <v>1857327793166</v>
      </c>
      <c r="K78" s="43">
        <f t="shared" si="12"/>
        <v>0.82119042812337839</v>
      </c>
      <c r="L78" s="43">
        <f t="shared" si="13"/>
        <v>4.848680088352026</v>
      </c>
      <c r="M78" s="43">
        <f t="shared" si="14"/>
        <v>0.79375830498648536</v>
      </c>
      <c r="N78" s="43">
        <f t="shared" si="15"/>
        <v>6.4636288214618896</v>
      </c>
    </row>
    <row r="79" spans="1:14" x14ac:dyDescent="0.25">
      <c r="A79" s="36"/>
      <c r="B79" s="36"/>
      <c r="C79" s="36">
        <v>2022</v>
      </c>
      <c r="D79" s="34">
        <v>3935182048668</v>
      </c>
      <c r="E79" s="41">
        <f t="shared" si="9"/>
        <v>1043040272415</v>
      </c>
      <c r="F79" s="41">
        <f t="shared" si="10"/>
        <v>2892141776253</v>
      </c>
      <c r="G79" s="41">
        <v>1517962815107</v>
      </c>
      <c r="H79" s="41">
        <f>270267939159+204654603533</f>
        <v>474922542692</v>
      </c>
      <c r="I79" s="45">
        <v>2681158538764</v>
      </c>
      <c r="J79" s="41">
        <f t="shared" si="11"/>
        <v>2417219233561</v>
      </c>
      <c r="K79" s="43">
        <f t="shared" si="12"/>
        <v>1.0786910712062041</v>
      </c>
      <c r="L79" s="43">
        <f t="shared" si="13"/>
        <v>6.0897125663050105</v>
      </c>
      <c r="M79" s="43">
        <f t="shared" si="14"/>
        <v>0.83578863712991969</v>
      </c>
      <c r="N79" s="43">
        <f t="shared" si="15"/>
        <v>8.0041922746411345</v>
      </c>
    </row>
    <row r="80" spans="1:14" x14ac:dyDescent="0.25">
      <c r="A80" s="36"/>
      <c r="B80" s="36"/>
      <c r="C80" s="36"/>
      <c r="D80" s="37"/>
      <c r="E80" s="41"/>
      <c r="F80" s="41"/>
      <c r="G80" s="48"/>
      <c r="H80" s="48"/>
      <c r="I80" s="48"/>
      <c r="J80" s="41"/>
      <c r="K80" s="43"/>
      <c r="L80" s="43"/>
      <c r="M80" s="43"/>
      <c r="N80" s="43"/>
    </row>
    <row r="81" spans="1:14" x14ac:dyDescent="0.25">
      <c r="A81" s="36">
        <v>14</v>
      </c>
      <c r="B81" s="36" t="s">
        <v>9</v>
      </c>
      <c r="C81" s="36">
        <v>2018</v>
      </c>
      <c r="D81" s="39">
        <v>1045029834378</v>
      </c>
      <c r="E81" s="41">
        <f t="shared" si="9"/>
        <v>124529866425</v>
      </c>
      <c r="F81" s="41">
        <f t="shared" si="10"/>
        <v>920499967953</v>
      </c>
      <c r="G81" s="41">
        <f>116622116898+96526955566</f>
        <v>213149072464</v>
      </c>
      <c r="H81" s="41">
        <f>41397288769+47221917270</f>
        <v>88619206039</v>
      </c>
      <c r="I81" s="44">
        <v>339236007000</v>
      </c>
      <c r="J81" s="41">
        <f t="shared" si="11"/>
        <v>831880761914</v>
      </c>
      <c r="K81" s="43">
        <f t="shared" si="12"/>
        <v>2.7134500729841453</v>
      </c>
      <c r="L81" s="43">
        <f t="shared" si="13"/>
        <v>10.387138512027535</v>
      </c>
      <c r="M81" s="43">
        <f t="shared" si="14"/>
        <v>0.90372709492204473</v>
      </c>
      <c r="N81" s="43">
        <f t="shared" si="15"/>
        <v>14.004315679933725</v>
      </c>
    </row>
    <row r="82" spans="1:14" x14ac:dyDescent="0.25">
      <c r="A82" s="36"/>
      <c r="B82" s="36"/>
      <c r="C82" s="36">
        <v>2019</v>
      </c>
      <c r="D82" s="39">
        <v>1281116255236</v>
      </c>
      <c r="E82" s="41">
        <f t="shared" si="9"/>
        <v>142972783324</v>
      </c>
      <c r="F82" s="41">
        <f t="shared" si="10"/>
        <v>1138143471912</v>
      </c>
      <c r="G82" s="41">
        <f>134870829144+107805716652</f>
        <v>242676545796</v>
      </c>
      <c r="H82" s="41">
        <f>47553078550+52150683922</f>
        <v>99703762472</v>
      </c>
      <c r="I82" s="44">
        <v>380381947966</v>
      </c>
      <c r="J82" s="41">
        <f t="shared" si="11"/>
        <v>1038439709440</v>
      </c>
      <c r="K82" s="43">
        <f t="shared" si="12"/>
        <v>2.9921069545964145</v>
      </c>
      <c r="L82" s="43">
        <f t="shared" si="13"/>
        <v>11.415250976427565</v>
      </c>
      <c r="M82" s="43">
        <f t="shared" si="14"/>
        <v>0.91239789628235113</v>
      </c>
      <c r="N82" s="43">
        <f t="shared" si="15"/>
        <v>15.319755827306331</v>
      </c>
    </row>
    <row r="83" spans="1:14" x14ac:dyDescent="0.25">
      <c r="A83" s="36"/>
      <c r="B83" s="36"/>
      <c r="C83" s="36">
        <v>2020</v>
      </c>
      <c r="D83" s="39">
        <v>1253700810596</v>
      </c>
      <c r="E83" s="41">
        <f t="shared" si="9"/>
        <v>153485228580</v>
      </c>
      <c r="F83" s="41">
        <f t="shared" si="10"/>
        <v>1100215582016</v>
      </c>
      <c r="G83" s="41">
        <f>146973540600+111871841798</f>
        <v>258845382398</v>
      </c>
      <c r="H83" s="41">
        <f>47196093228+58164060590</f>
        <v>105360153818</v>
      </c>
      <c r="I83" s="44">
        <v>406954570727</v>
      </c>
      <c r="J83" s="41">
        <f t="shared" si="11"/>
        <v>994855428198</v>
      </c>
      <c r="K83" s="43">
        <f t="shared" si="12"/>
        <v>2.7035341562831712</v>
      </c>
      <c r="L83" s="43">
        <f t="shared" si="13"/>
        <v>10.442425738258901</v>
      </c>
      <c r="M83" s="43">
        <f t="shared" si="14"/>
        <v>0.90423681000323464</v>
      </c>
      <c r="N83" s="43">
        <f t="shared" si="15"/>
        <v>14.050196704545307</v>
      </c>
    </row>
    <row r="84" spans="1:14" x14ac:dyDescent="0.25">
      <c r="A84" s="36"/>
      <c r="B84" s="36"/>
      <c r="C84" s="36">
        <v>2021</v>
      </c>
      <c r="D84" s="39">
        <v>1356846112540</v>
      </c>
      <c r="E84" s="41">
        <f t="shared" si="9"/>
        <v>164585103393</v>
      </c>
      <c r="F84" s="41">
        <f t="shared" si="10"/>
        <v>1192261009147</v>
      </c>
      <c r="G84" s="41">
        <f>192574647088+101361050268</f>
        <v>293935697356</v>
      </c>
      <c r="H84" s="41">
        <f>60310458699+69040135264</f>
        <v>129350593963</v>
      </c>
      <c r="I84" s="44">
        <v>541837229228</v>
      </c>
      <c r="J84" s="41">
        <f t="shared" si="11"/>
        <v>1062910415184</v>
      </c>
      <c r="K84" s="43">
        <f t="shared" si="12"/>
        <v>2.2004043739218737</v>
      </c>
      <c r="L84" s="43">
        <f t="shared" si="13"/>
        <v>9.2172828327950267</v>
      </c>
      <c r="M84" s="43">
        <f t="shared" si="14"/>
        <v>0.89150815721505183</v>
      </c>
      <c r="N84" s="43">
        <f t="shared" si="15"/>
        <v>12.309195363931952</v>
      </c>
    </row>
    <row r="85" spans="1:14" x14ac:dyDescent="0.25">
      <c r="A85" s="36"/>
      <c r="B85" s="36"/>
      <c r="C85" s="36">
        <v>2022</v>
      </c>
      <c r="D85" s="39">
        <v>1539310803104</v>
      </c>
      <c r="E85" s="41">
        <f t="shared" si="9"/>
        <v>181501249050</v>
      </c>
      <c r="F85" s="41">
        <f t="shared" si="10"/>
        <v>1357809554054</v>
      </c>
      <c r="G85" s="41">
        <f>192574647088+126701648736</f>
        <v>319276295824</v>
      </c>
      <c r="H85" s="41">
        <f>68734911510+69040135264</f>
        <v>137775046774</v>
      </c>
      <c r="I85" s="46">
        <v>590753527421</v>
      </c>
      <c r="J85" s="41">
        <f t="shared" si="11"/>
        <v>1220034507280</v>
      </c>
      <c r="K85" s="43">
        <f t="shared" si="12"/>
        <v>2.2984366424042664</v>
      </c>
      <c r="L85" s="43">
        <f t="shared" si="13"/>
        <v>9.8552646930419101</v>
      </c>
      <c r="M85" s="43">
        <f t="shared" si="14"/>
        <v>0.89853139097258061</v>
      </c>
      <c r="N85" s="43">
        <f t="shared" si="15"/>
        <v>13.052232726418756</v>
      </c>
    </row>
    <row r="86" spans="1:14" x14ac:dyDescent="0.25">
      <c r="A86" s="36"/>
      <c r="B86" s="36"/>
      <c r="C86" s="36"/>
      <c r="D86" s="37"/>
      <c r="E86" s="41"/>
      <c r="F86" s="41"/>
      <c r="G86" s="48"/>
      <c r="H86" s="48"/>
      <c r="I86" s="48"/>
      <c r="J86" s="41"/>
      <c r="K86" s="43"/>
      <c r="L86" s="43"/>
      <c r="M86" s="43"/>
      <c r="N86" s="43"/>
    </row>
    <row r="87" spans="1:14" x14ac:dyDescent="0.25">
      <c r="A87" s="36">
        <v>15</v>
      </c>
      <c r="B87" s="36" t="s">
        <v>18</v>
      </c>
      <c r="C87" s="36">
        <v>2018</v>
      </c>
      <c r="D87" s="39">
        <v>8614889000000</v>
      </c>
      <c r="E87" s="41">
        <f t="shared" si="9"/>
        <v>438804000000</v>
      </c>
      <c r="F87" s="41">
        <f t="shared" si="10"/>
        <v>8176085000000</v>
      </c>
      <c r="G87" s="41">
        <v>608574000000</v>
      </c>
      <c r="H87" s="41">
        <v>169770000000</v>
      </c>
      <c r="I87" s="44">
        <v>4783616000000</v>
      </c>
      <c r="J87" s="41">
        <f t="shared" si="11"/>
        <v>8006315000000</v>
      </c>
      <c r="K87" s="43">
        <f t="shared" si="12"/>
        <v>1.7091850600048164</v>
      </c>
      <c r="L87" s="43">
        <f t="shared" si="13"/>
        <v>48.15977498969194</v>
      </c>
      <c r="M87" s="43">
        <f t="shared" si="14"/>
        <v>0.97923578338532435</v>
      </c>
      <c r="N87" s="43">
        <f t="shared" si="15"/>
        <v>50.84819583308208</v>
      </c>
    </row>
    <row r="88" spans="1:14" x14ac:dyDescent="0.25">
      <c r="A88" s="36"/>
      <c r="B88" s="36"/>
      <c r="C88" s="36">
        <v>2019</v>
      </c>
      <c r="D88" s="39">
        <v>8533183000000</v>
      </c>
      <c r="E88" s="41">
        <f t="shared" si="9"/>
        <v>457034000000</v>
      </c>
      <c r="F88" s="41">
        <f t="shared" si="10"/>
        <v>8076149000000</v>
      </c>
      <c r="G88" s="41">
        <v>669997000000</v>
      </c>
      <c r="H88" s="41">
        <v>212963000000</v>
      </c>
      <c r="I88" s="44">
        <v>17363003000000</v>
      </c>
      <c r="J88" s="41">
        <f t="shared" si="11"/>
        <v>7863186000000</v>
      </c>
      <c r="K88" s="43">
        <f t="shared" si="12"/>
        <v>0.46513549528269965</v>
      </c>
      <c r="L88" s="43">
        <f t="shared" si="13"/>
        <v>37.922780013429566</v>
      </c>
      <c r="M88" s="43">
        <f t="shared" si="14"/>
        <v>0.97363062519029797</v>
      </c>
      <c r="N88" s="43">
        <f t="shared" si="15"/>
        <v>39.361546133902564</v>
      </c>
    </row>
    <row r="89" spans="1:14" x14ac:dyDescent="0.25">
      <c r="A89" s="36"/>
      <c r="B89" s="36"/>
      <c r="C89" s="36">
        <v>2020</v>
      </c>
      <c r="D89" s="39">
        <v>10863256000000</v>
      </c>
      <c r="E89" s="41">
        <f t="shared" si="9"/>
        <v>539476000000</v>
      </c>
      <c r="F89" s="41">
        <f t="shared" si="10"/>
        <v>10323780000000</v>
      </c>
      <c r="G89" s="41">
        <v>798845000000</v>
      </c>
      <c r="H89" s="41">
        <v>259369000000</v>
      </c>
      <c r="I89" s="44">
        <v>5888856000000</v>
      </c>
      <c r="J89" s="41">
        <f t="shared" si="11"/>
        <v>10064411000000</v>
      </c>
      <c r="K89" s="43">
        <f t="shared" si="12"/>
        <v>1.7531045079044214</v>
      </c>
      <c r="L89" s="43">
        <f t="shared" si="13"/>
        <v>39.803446055619602</v>
      </c>
      <c r="M89" s="43">
        <f t="shared" si="14"/>
        <v>0.97487654715617733</v>
      </c>
      <c r="N89" s="43">
        <f t="shared" si="15"/>
        <v>42.531427110680205</v>
      </c>
    </row>
    <row r="90" spans="1:14" x14ac:dyDescent="0.25">
      <c r="A90" s="36"/>
      <c r="B90" s="36"/>
      <c r="C90" s="36">
        <v>2021</v>
      </c>
      <c r="D90" s="39">
        <v>15972216000000</v>
      </c>
      <c r="E90" s="41">
        <f t="shared" si="9"/>
        <v>871459000000</v>
      </c>
      <c r="F90" s="41">
        <f t="shared" si="10"/>
        <v>15100757000000</v>
      </c>
      <c r="G90" s="41">
        <v>1144648000000</v>
      </c>
      <c r="H90" s="41">
        <v>273189000000</v>
      </c>
      <c r="I90" s="44">
        <v>6492354000000</v>
      </c>
      <c r="J90" s="41">
        <f t="shared" si="11"/>
        <v>14827568000000</v>
      </c>
      <c r="K90" s="43">
        <f t="shared" si="12"/>
        <v>2.3259293932524319</v>
      </c>
      <c r="L90" s="43">
        <f t="shared" si="13"/>
        <v>55.275860301842314</v>
      </c>
      <c r="M90" s="43">
        <f t="shared" si="14"/>
        <v>0.98190892019519282</v>
      </c>
      <c r="N90" s="43">
        <f t="shared" si="15"/>
        <v>58.58369861528994</v>
      </c>
    </row>
    <row r="91" spans="1:14" x14ac:dyDescent="0.25">
      <c r="A91" s="36"/>
      <c r="B91" s="36"/>
      <c r="C91" s="36">
        <v>2022</v>
      </c>
      <c r="D91" s="39">
        <v>16579960000000</v>
      </c>
      <c r="E91" s="41">
        <f t="shared" si="9"/>
        <v>956436000000</v>
      </c>
      <c r="F91" s="41">
        <f t="shared" si="10"/>
        <v>15623524000000</v>
      </c>
      <c r="G91" s="41">
        <v>1270164000000</v>
      </c>
      <c r="H91" s="41">
        <v>313728000000</v>
      </c>
      <c r="I91" s="44">
        <v>6832234000000</v>
      </c>
      <c r="J91" s="41">
        <f t="shared" si="11"/>
        <v>15309796000000</v>
      </c>
      <c r="K91" s="43">
        <f t="shared" si="12"/>
        <v>2.2867372516807825</v>
      </c>
      <c r="L91" s="43">
        <f t="shared" si="13"/>
        <v>49.799584353325173</v>
      </c>
      <c r="M91" s="43">
        <f t="shared" si="14"/>
        <v>0.97991951111669817</v>
      </c>
      <c r="N91" s="43">
        <f t="shared" si="15"/>
        <v>53.066241116122654</v>
      </c>
    </row>
    <row r="92" spans="1:14" x14ac:dyDescent="0.25">
      <c r="A92" s="36"/>
      <c r="B92" s="36"/>
      <c r="C92" s="36"/>
      <c r="D92" s="37"/>
      <c r="E92" s="41"/>
      <c r="F92" s="41"/>
      <c r="G92" s="48"/>
      <c r="H92" s="48"/>
      <c r="I92" s="48"/>
      <c r="J92" s="41"/>
      <c r="K92" s="43"/>
      <c r="L92" s="43"/>
      <c r="M92" s="43"/>
      <c r="N92" s="43"/>
    </row>
    <row r="93" spans="1:14" x14ac:dyDescent="0.25">
      <c r="A93" s="36">
        <v>16</v>
      </c>
      <c r="B93" s="36" t="s">
        <v>19</v>
      </c>
      <c r="C93" s="36">
        <v>2018</v>
      </c>
      <c r="D93" s="39">
        <v>12940108219350</v>
      </c>
      <c r="E93" s="41">
        <f t="shared" si="9"/>
        <v>591056685585</v>
      </c>
      <c r="F93" s="41">
        <f t="shared" si="10"/>
        <v>12349051533765</v>
      </c>
      <c r="G93" s="41">
        <f>791086675772+190832440112</f>
        <v>981919115884</v>
      </c>
      <c r="H93" s="41">
        <f>140752852829+250109577470</f>
        <v>390862430299</v>
      </c>
      <c r="I93" s="44">
        <v>1247852502884</v>
      </c>
      <c r="J93" s="41">
        <f t="shared" si="11"/>
        <v>11958189103466</v>
      </c>
      <c r="K93" s="43">
        <f t="shared" si="12"/>
        <v>9.8962429495667443</v>
      </c>
      <c r="L93" s="43">
        <f t="shared" si="13"/>
        <v>31.594368188107218</v>
      </c>
      <c r="M93" s="43">
        <f t="shared" si="14"/>
        <v>0.96834878944101122</v>
      </c>
      <c r="N93" s="43">
        <f t="shared" si="15"/>
        <v>42.458959927114975</v>
      </c>
    </row>
    <row r="94" spans="1:14" x14ac:dyDescent="0.25">
      <c r="A94" s="36"/>
      <c r="B94" s="36"/>
      <c r="C94" s="36">
        <v>2019</v>
      </c>
      <c r="D94" s="39">
        <v>13372043554341</v>
      </c>
      <c r="E94" s="41">
        <f t="shared" si="9"/>
        <v>655752277904</v>
      </c>
      <c r="F94" s="41">
        <f t="shared" si="10"/>
        <v>12716291276437</v>
      </c>
      <c r="G94" s="41">
        <f>927876755512+212932735867</f>
        <v>1140809491379</v>
      </c>
      <c r="H94" s="41">
        <f>320775165393+164282048082</f>
        <v>485057213475</v>
      </c>
      <c r="I94" s="44">
        <v>1391999046712</v>
      </c>
      <c r="J94" s="41">
        <f t="shared" si="11"/>
        <v>12231234062962</v>
      </c>
      <c r="K94" s="43">
        <f t="shared" si="12"/>
        <v>9.135272977717749</v>
      </c>
      <c r="L94" s="43">
        <f t="shared" si="13"/>
        <v>26.216064668611306</v>
      </c>
      <c r="M94" s="43">
        <f t="shared" si="14"/>
        <v>0.96185544960158309</v>
      </c>
      <c r="N94" s="43">
        <f t="shared" si="15"/>
        <v>36.313193095930643</v>
      </c>
    </row>
    <row r="95" spans="1:14" x14ac:dyDescent="0.25">
      <c r="A95" s="36"/>
      <c r="B95" s="36"/>
      <c r="C95" s="36">
        <v>2020</v>
      </c>
      <c r="D95" s="39">
        <v>12488883541697</v>
      </c>
      <c r="E95" s="41">
        <f t="shared" si="9"/>
        <v>589499728499</v>
      </c>
      <c r="F95" s="41">
        <f t="shared" si="10"/>
        <v>11899383813198</v>
      </c>
      <c r="G95" s="41">
        <f>782823289521+242980385483</f>
        <v>1025803675004</v>
      </c>
      <c r="H95" s="41">
        <f>195689978094+240613968411</f>
        <v>436303946505</v>
      </c>
      <c r="I95" s="44">
        <v>1598672228267</v>
      </c>
      <c r="J95" s="41">
        <f t="shared" si="11"/>
        <v>11463079866693</v>
      </c>
      <c r="K95" s="43">
        <f t="shared" si="12"/>
        <v>7.443291753492975</v>
      </c>
      <c r="L95" s="43">
        <f t="shared" si="13"/>
        <v>27.273151912829729</v>
      </c>
      <c r="M95" s="43">
        <f t="shared" si="14"/>
        <v>0.96333390422947107</v>
      </c>
      <c r="N95" s="43">
        <f t="shared" si="15"/>
        <v>35.679777570552176</v>
      </c>
    </row>
    <row r="96" spans="1:14" x14ac:dyDescent="0.25">
      <c r="A96" s="36"/>
      <c r="B96" s="36"/>
      <c r="C96" s="36">
        <v>2021</v>
      </c>
      <c r="D96" s="39">
        <v>11926149980019</v>
      </c>
      <c r="E96" s="41">
        <f t="shared" si="9"/>
        <v>553190144301</v>
      </c>
      <c r="F96" s="41">
        <f t="shared" si="10"/>
        <v>11372959835718</v>
      </c>
      <c r="G96" s="41">
        <f>251124888562+704959035907</f>
        <v>956083924469</v>
      </c>
      <c r="H96" s="41">
        <f>202929893082+199963887086</f>
        <v>402893780168</v>
      </c>
      <c r="I96" s="44">
        <v>1760590755177</v>
      </c>
      <c r="J96" s="41">
        <f t="shared" si="11"/>
        <v>10970066055550</v>
      </c>
      <c r="K96" s="43">
        <f t="shared" si="12"/>
        <v>6.459740744563109</v>
      </c>
      <c r="L96" s="43">
        <f t="shared" si="13"/>
        <v>28.228184190323478</v>
      </c>
      <c r="M96" s="43">
        <f t="shared" si="14"/>
        <v>0.96457441281884515</v>
      </c>
      <c r="N96" s="43">
        <f t="shared" si="15"/>
        <v>35.652499347705437</v>
      </c>
    </row>
    <row r="97" spans="1:14" x14ac:dyDescent="0.25">
      <c r="A97" s="36"/>
      <c r="B97" s="36"/>
      <c r="C97" s="36">
        <v>2022</v>
      </c>
      <c r="D97" s="39">
        <v>12977529294003</v>
      </c>
      <c r="E97" s="41">
        <f t="shared" si="9"/>
        <v>458094828271</v>
      </c>
      <c r="F97" s="41">
        <f t="shared" si="10"/>
        <v>12519434465732</v>
      </c>
      <c r="G97" s="41">
        <f>247328153915+609879547353</f>
        <v>857207701268</v>
      </c>
      <c r="H97" s="41">
        <f>202052092168+197060780829</f>
        <v>399112872997</v>
      </c>
      <c r="I97" s="44">
        <v>2045289129558</v>
      </c>
      <c r="J97" s="41">
        <f t="shared" si="11"/>
        <v>12120321592735</v>
      </c>
      <c r="K97" s="43">
        <f t="shared" si="12"/>
        <v>6.1211074193884407</v>
      </c>
      <c r="L97" s="43">
        <f t="shared" si="13"/>
        <v>31.368155007684017</v>
      </c>
      <c r="M97" s="43">
        <f t="shared" si="14"/>
        <v>0.9681205349898635</v>
      </c>
      <c r="N97" s="43">
        <f t="shared" si="15"/>
        <v>38.457382962062326</v>
      </c>
    </row>
    <row r="98" spans="1:14" x14ac:dyDescent="0.25">
      <c r="A98" s="36"/>
      <c r="B98" s="36"/>
      <c r="C98" s="36"/>
      <c r="D98" s="37"/>
      <c r="E98" s="41"/>
      <c r="F98" s="41"/>
      <c r="G98" s="48"/>
      <c r="H98" s="48"/>
      <c r="I98" s="48"/>
      <c r="J98" s="41"/>
      <c r="K98" s="43"/>
      <c r="L98" s="43"/>
      <c r="M98" s="43"/>
      <c r="N98" s="43"/>
    </row>
    <row r="99" spans="1:14" x14ac:dyDescent="0.25">
      <c r="A99" s="36">
        <v>17</v>
      </c>
      <c r="B99" s="36" t="s">
        <v>20</v>
      </c>
      <c r="C99" s="36">
        <v>2018</v>
      </c>
      <c r="D99" s="39">
        <v>5472882000000</v>
      </c>
      <c r="E99" s="41">
        <f t="shared" si="9"/>
        <v>869804000000</v>
      </c>
      <c r="F99" s="41">
        <f t="shared" si="10"/>
        <v>4603078000000</v>
      </c>
      <c r="G99" s="41">
        <v>1052258000000</v>
      </c>
      <c r="H99" s="41">
        <v>182454000000</v>
      </c>
      <c r="I99" s="44">
        <v>4774956000000</v>
      </c>
      <c r="J99" s="41">
        <f t="shared" si="11"/>
        <v>4420624000000</v>
      </c>
      <c r="K99" s="43">
        <f t="shared" si="12"/>
        <v>0.96400427564149282</v>
      </c>
      <c r="L99" s="43">
        <f t="shared" si="13"/>
        <v>25.228704221337981</v>
      </c>
      <c r="M99" s="43">
        <f t="shared" si="14"/>
        <v>0.9603626095408333</v>
      </c>
      <c r="N99" s="43">
        <f t="shared" si="15"/>
        <v>27.153071106520308</v>
      </c>
    </row>
    <row r="100" spans="1:14" x14ac:dyDescent="0.25">
      <c r="A100" s="36"/>
      <c r="B100" s="36"/>
      <c r="C100" s="36">
        <v>2019</v>
      </c>
      <c r="D100" s="39">
        <v>6223057000000</v>
      </c>
      <c r="E100" s="41">
        <f t="shared" si="9"/>
        <v>903593000000</v>
      </c>
      <c r="F100" s="41">
        <f t="shared" si="10"/>
        <v>5319464000000</v>
      </c>
      <c r="G100" s="41">
        <v>1093398000000</v>
      </c>
      <c r="H100" s="41">
        <v>189805000000</v>
      </c>
      <c r="I100" s="44">
        <v>5655139000000</v>
      </c>
      <c r="J100" s="41">
        <f t="shared" si="11"/>
        <v>5129659000000</v>
      </c>
      <c r="K100" s="43">
        <f t="shared" si="12"/>
        <v>0.9406424846498026</v>
      </c>
      <c r="L100" s="43">
        <f t="shared" si="13"/>
        <v>28.025942414583387</v>
      </c>
      <c r="M100" s="43">
        <f t="shared" si="14"/>
        <v>0.96431877347040984</v>
      </c>
      <c r="N100" s="43">
        <f t="shared" si="15"/>
        <v>29.9309036727036</v>
      </c>
    </row>
    <row r="101" spans="1:14" x14ac:dyDescent="0.25">
      <c r="A101" s="36"/>
      <c r="B101" s="36"/>
      <c r="C101" s="36">
        <v>2020</v>
      </c>
      <c r="D101" s="39">
        <v>5967362000000</v>
      </c>
      <c r="E101" s="41">
        <f t="shared" si="9"/>
        <v>794930000000</v>
      </c>
      <c r="F101" s="41">
        <f t="shared" si="10"/>
        <v>5172432000000</v>
      </c>
      <c r="G101" s="41">
        <v>1004934000000</v>
      </c>
      <c r="H101" s="41">
        <v>210004000000</v>
      </c>
      <c r="I101" s="44">
        <v>4781737000000</v>
      </c>
      <c r="J101" s="41">
        <f t="shared" si="11"/>
        <v>4962428000000</v>
      </c>
      <c r="K101" s="43">
        <f t="shared" si="12"/>
        <v>1.0817056646988323</v>
      </c>
      <c r="L101" s="43">
        <f t="shared" si="13"/>
        <v>24.630159425534753</v>
      </c>
      <c r="M101" s="43">
        <f t="shared" si="14"/>
        <v>0.95939936958088579</v>
      </c>
      <c r="N101" s="43">
        <f t="shared" si="15"/>
        <v>26.671264459814473</v>
      </c>
    </row>
    <row r="102" spans="1:14" x14ac:dyDescent="0.25">
      <c r="A102" s="36"/>
      <c r="B102" s="36"/>
      <c r="C102" s="36">
        <v>2021</v>
      </c>
      <c r="D102" s="39">
        <v>6616642000000</v>
      </c>
      <c r="E102" s="41">
        <f t="shared" si="9"/>
        <v>757766000000</v>
      </c>
      <c r="F102" s="41">
        <f t="shared" si="10"/>
        <v>5858876000000</v>
      </c>
      <c r="G102" s="41">
        <v>958711000000</v>
      </c>
      <c r="H102" s="41">
        <v>200945000000</v>
      </c>
      <c r="I102" s="44">
        <v>5138126000000</v>
      </c>
      <c r="J102" s="41">
        <f t="shared" si="11"/>
        <v>5657931000000</v>
      </c>
      <c r="K102" s="43">
        <f t="shared" si="12"/>
        <v>1.1402748784284387</v>
      </c>
      <c r="L102" s="43">
        <f t="shared" si="13"/>
        <v>29.15661499415263</v>
      </c>
      <c r="M102" s="43">
        <f t="shared" si="14"/>
        <v>0.96570246579719388</v>
      </c>
      <c r="N102" s="43">
        <f t="shared" si="15"/>
        <v>31.262592338378262</v>
      </c>
    </row>
    <row r="103" spans="1:14" x14ac:dyDescent="0.25">
      <c r="A103" s="36"/>
      <c r="B103" s="36"/>
      <c r="C103" s="36">
        <v>2022</v>
      </c>
      <c r="D103" s="39">
        <v>7656252000000</v>
      </c>
      <c r="E103" s="41">
        <f t="shared" si="9"/>
        <v>978288000000</v>
      </c>
      <c r="F103" s="41">
        <f t="shared" si="10"/>
        <v>6677964000000</v>
      </c>
      <c r="G103" s="41">
        <v>1185591000000</v>
      </c>
      <c r="H103" s="41">
        <v>207303000000</v>
      </c>
      <c r="I103" s="45">
        <v>5822679000000</v>
      </c>
      <c r="J103" s="41">
        <f t="shared" si="11"/>
        <v>6470661000000</v>
      </c>
      <c r="K103" s="43">
        <f t="shared" si="12"/>
        <v>1.1468885713947137</v>
      </c>
      <c r="L103" s="43">
        <f t="shared" si="13"/>
        <v>32.213542495767065</v>
      </c>
      <c r="M103" s="43">
        <f t="shared" si="14"/>
        <v>0.96895715520478998</v>
      </c>
      <c r="N103" s="43">
        <f t="shared" si="15"/>
        <v>34.329388222366568</v>
      </c>
    </row>
  </sheetData>
  <mergeCells count="2">
    <mergeCell ref="A1:K1"/>
    <mergeCell ref="P6:Q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3"/>
  <sheetViews>
    <sheetView topLeftCell="A78" workbookViewId="0">
      <selection activeCell="A99" sqref="A99"/>
    </sheetView>
  </sheetViews>
  <sheetFormatPr defaultRowHeight="15" x14ac:dyDescent="0.25"/>
  <cols>
    <col min="2" max="2" width="11.28515625" bestFit="1" customWidth="1"/>
    <col min="4" max="4" width="17.5703125" bestFit="1" customWidth="1"/>
    <col min="5" max="5" width="21.42578125" bestFit="1" customWidth="1"/>
    <col min="6" max="6" width="22.7109375" bestFit="1" customWidth="1"/>
    <col min="7" max="7" width="18.28515625" bestFit="1" customWidth="1"/>
    <col min="8" max="8" width="10.5703125" bestFit="1" customWidth="1"/>
    <col min="10" max="10" width="29.7109375" bestFit="1" customWidth="1"/>
    <col min="11" max="11" width="14.85546875" bestFit="1" customWidth="1"/>
  </cols>
  <sheetData>
    <row r="1" spans="1:11" ht="31.5" customHeight="1" x14ac:dyDescent="0.25">
      <c r="A1" s="20" t="s">
        <v>23</v>
      </c>
      <c r="B1" s="20"/>
      <c r="C1" s="20"/>
      <c r="D1" s="20"/>
      <c r="E1" s="20"/>
      <c r="F1" s="20"/>
      <c r="G1" s="20"/>
      <c r="H1" s="20"/>
    </row>
    <row r="2" spans="1:11" x14ac:dyDescent="0.25">
      <c r="A2" s="2" t="s">
        <v>0</v>
      </c>
      <c r="B2" s="2" t="s">
        <v>1</v>
      </c>
      <c r="C2" s="2" t="s">
        <v>2</v>
      </c>
      <c r="D2" s="2" t="s">
        <v>21</v>
      </c>
      <c r="E2" s="2" t="s">
        <v>22</v>
      </c>
      <c r="F2" s="9" t="s">
        <v>26</v>
      </c>
      <c r="G2" s="2" t="s">
        <v>27</v>
      </c>
      <c r="H2" s="2" t="s">
        <v>25</v>
      </c>
    </row>
    <row r="3" spans="1:11" x14ac:dyDescent="0.25">
      <c r="A3" s="3">
        <v>1</v>
      </c>
      <c r="B3" s="4" t="s">
        <v>11</v>
      </c>
      <c r="C3" s="3">
        <v>2018</v>
      </c>
      <c r="D3" s="6">
        <v>11825</v>
      </c>
      <c r="E3" s="6">
        <v>1924688333</v>
      </c>
      <c r="F3" s="13">
        <v>1520723000000</v>
      </c>
      <c r="G3" s="14">
        <f>F3/E3</f>
        <v>790.11389736522085</v>
      </c>
      <c r="H3" s="15">
        <f>D3/G3</f>
        <v>14.966196695732885</v>
      </c>
    </row>
    <row r="4" spans="1:11" ht="15.75" thickBot="1" x14ac:dyDescent="0.3">
      <c r="A4" s="3"/>
      <c r="B4" s="4"/>
      <c r="C4" s="3">
        <v>2019</v>
      </c>
      <c r="D4" s="6">
        <v>14575</v>
      </c>
      <c r="E4" s="6">
        <v>1924688333</v>
      </c>
      <c r="F4" s="13">
        <v>243629000000</v>
      </c>
      <c r="G4" s="14">
        <f t="shared" ref="G4:G61" si="0">F4/E4</f>
        <v>126.58101357130219</v>
      </c>
      <c r="H4" s="15">
        <f t="shared" ref="H4:H61" si="1">D4/G4</f>
        <v>115.14365060594183</v>
      </c>
    </row>
    <row r="5" spans="1:11" x14ac:dyDescent="0.25">
      <c r="A5" s="3"/>
      <c r="B5" s="4"/>
      <c r="C5" s="3">
        <v>2020</v>
      </c>
      <c r="D5" s="6">
        <v>12325</v>
      </c>
      <c r="E5" s="6">
        <v>1924688333</v>
      </c>
      <c r="F5" s="13">
        <v>893779000000</v>
      </c>
      <c r="G5" s="14">
        <f t="shared" si="0"/>
        <v>464.37596398107331</v>
      </c>
      <c r="H5" s="15">
        <f t="shared" si="1"/>
        <v>26.540994702521541</v>
      </c>
      <c r="J5" s="7" t="s">
        <v>10</v>
      </c>
      <c r="K5" s="8"/>
    </row>
    <row r="6" spans="1:11" x14ac:dyDescent="0.25">
      <c r="A6" s="3"/>
      <c r="B6" s="4"/>
      <c r="C6" s="3">
        <v>2021</v>
      </c>
      <c r="D6" s="6">
        <v>9500</v>
      </c>
      <c r="E6" s="6">
        <v>1924688333</v>
      </c>
      <c r="F6" s="13">
        <v>2067362000000</v>
      </c>
      <c r="G6" s="14">
        <f t="shared" si="0"/>
        <v>1074.1281923695228</v>
      </c>
      <c r="H6" s="15">
        <f t="shared" si="1"/>
        <v>8.8443819531847829</v>
      </c>
      <c r="J6" s="21" t="s">
        <v>43</v>
      </c>
      <c r="K6" s="23" t="s">
        <v>41</v>
      </c>
    </row>
    <row r="7" spans="1:11" ht="15.75" thickBot="1" x14ac:dyDescent="0.3">
      <c r="A7" s="3"/>
      <c r="B7" s="4"/>
      <c r="C7" s="3">
        <v>2022</v>
      </c>
      <c r="D7" s="6">
        <v>8025</v>
      </c>
      <c r="E7" s="6">
        <v>1924688333</v>
      </c>
      <c r="F7" s="13">
        <v>1792050000000</v>
      </c>
      <c r="G7" s="14">
        <f t="shared" si="0"/>
        <v>931.08581232304903</v>
      </c>
      <c r="H7" s="15">
        <f t="shared" si="1"/>
        <v>8.618969265547836</v>
      </c>
      <c r="J7" s="22"/>
      <c r="K7" s="24" t="s">
        <v>59</v>
      </c>
    </row>
    <row r="8" spans="1:11" x14ac:dyDescent="0.25">
      <c r="A8" s="3"/>
      <c r="B8" s="4"/>
      <c r="C8" s="3"/>
      <c r="D8" s="6"/>
      <c r="E8" s="6"/>
      <c r="F8" s="16"/>
      <c r="G8" s="14"/>
      <c r="H8" s="15"/>
    </row>
    <row r="9" spans="1:11" x14ac:dyDescent="0.25">
      <c r="A9" s="3">
        <v>2</v>
      </c>
      <c r="B9" s="4" t="s">
        <v>12</v>
      </c>
      <c r="C9" s="3">
        <v>2018</v>
      </c>
      <c r="D9" s="6">
        <v>1675</v>
      </c>
      <c r="E9" s="6">
        <v>3000000000</v>
      </c>
      <c r="F9" s="16">
        <v>403870000000</v>
      </c>
      <c r="G9" s="14">
        <f t="shared" si="0"/>
        <v>134.62333333333333</v>
      </c>
      <c r="H9" s="15">
        <f t="shared" si="1"/>
        <v>12.442122465149676</v>
      </c>
    </row>
    <row r="10" spans="1:11" x14ac:dyDescent="0.25">
      <c r="A10" s="3"/>
      <c r="B10" s="4"/>
      <c r="C10" s="3">
        <v>2019</v>
      </c>
      <c r="D10" s="6">
        <v>1050</v>
      </c>
      <c r="E10" s="6">
        <v>3000000000</v>
      </c>
      <c r="F10" s="16">
        <v>306952000000</v>
      </c>
      <c r="G10" s="14">
        <f t="shared" si="0"/>
        <v>102.31733333333334</v>
      </c>
      <c r="H10" s="15">
        <f t="shared" si="1"/>
        <v>10.262190831139721</v>
      </c>
    </row>
    <row r="11" spans="1:11" x14ac:dyDescent="0.25">
      <c r="A11" s="3"/>
      <c r="B11" s="4"/>
      <c r="C11" s="3">
        <v>2020</v>
      </c>
      <c r="D11" s="6">
        <v>1030</v>
      </c>
      <c r="E11" s="6">
        <v>3000000000</v>
      </c>
      <c r="F11" s="16">
        <v>275667000000</v>
      </c>
      <c r="G11" s="14">
        <f t="shared" si="0"/>
        <v>91.888999999999996</v>
      </c>
      <c r="H11" s="15">
        <f t="shared" si="1"/>
        <v>11.209176288783206</v>
      </c>
    </row>
    <row r="12" spans="1:11" x14ac:dyDescent="0.25">
      <c r="A12" s="3"/>
      <c r="B12" s="4"/>
      <c r="C12" s="3">
        <v>2021</v>
      </c>
      <c r="D12" s="6">
        <v>995</v>
      </c>
      <c r="E12" s="6">
        <v>3000000000</v>
      </c>
      <c r="F12" s="16">
        <v>380992000000</v>
      </c>
      <c r="G12" s="14">
        <f t="shared" si="0"/>
        <v>126.99733333333333</v>
      </c>
      <c r="H12" s="15">
        <f t="shared" si="1"/>
        <v>7.8348101797413072</v>
      </c>
    </row>
    <row r="13" spans="1:11" x14ac:dyDescent="0.25">
      <c r="A13" s="3"/>
      <c r="B13" s="4"/>
      <c r="C13" s="3">
        <v>2022</v>
      </c>
      <c r="D13" s="6">
        <v>1600</v>
      </c>
      <c r="E13" s="6">
        <v>3000000000</v>
      </c>
      <c r="F13" s="16">
        <v>523242000000</v>
      </c>
      <c r="G13" s="14">
        <f t="shared" si="0"/>
        <v>174.41399999999999</v>
      </c>
      <c r="H13" s="15">
        <f t="shared" si="1"/>
        <v>9.1735755157269487</v>
      </c>
    </row>
    <row r="14" spans="1:11" x14ac:dyDescent="0.25">
      <c r="A14" s="3"/>
      <c r="B14" s="4"/>
      <c r="C14" s="3"/>
      <c r="D14" s="6"/>
      <c r="E14" s="6"/>
      <c r="F14" s="16"/>
      <c r="G14" s="14"/>
      <c r="H14" s="15"/>
    </row>
    <row r="15" spans="1:11" x14ac:dyDescent="0.25">
      <c r="A15" s="3">
        <v>3</v>
      </c>
      <c r="B15" s="4" t="s">
        <v>13</v>
      </c>
      <c r="C15" s="3">
        <v>2018</v>
      </c>
      <c r="D15" s="6">
        <v>96</v>
      </c>
      <c r="E15" s="6">
        <v>4498997362</v>
      </c>
      <c r="F15" s="16">
        <v>50467000000</v>
      </c>
      <c r="G15" s="14">
        <f t="shared" si="0"/>
        <v>11.217388217708406</v>
      </c>
      <c r="H15" s="15">
        <f t="shared" si="1"/>
        <v>8.5581418897893684</v>
      </c>
    </row>
    <row r="16" spans="1:11" x14ac:dyDescent="0.25">
      <c r="A16" s="3"/>
      <c r="B16" s="4"/>
      <c r="C16" s="3">
        <v>2019</v>
      </c>
      <c r="D16" s="6">
        <v>103</v>
      </c>
      <c r="E16" s="6">
        <v>4498997362</v>
      </c>
      <c r="F16" s="16">
        <v>64021000000</v>
      </c>
      <c r="G16" s="14">
        <f t="shared" si="0"/>
        <v>14.230059466302928</v>
      </c>
      <c r="H16" s="15">
        <f t="shared" si="1"/>
        <v>7.2381988454725796</v>
      </c>
    </row>
    <row r="17" spans="1:8" x14ac:dyDescent="0.25">
      <c r="A17" s="3"/>
      <c r="B17" s="4"/>
      <c r="C17" s="3">
        <v>2020</v>
      </c>
      <c r="D17" s="6">
        <v>99</v>
      </c>
      <c r="E17" s="6">
        <v>4498997362</v>
      </c>
      <c r="F17" s="16">
        <v>67093000000</v>
      </c>
      <c r="G17" s="14">
        <f t="shared" si="0"/>
        <v>14.912878270765255</v>
      </c>
      <c r="H17" s="15">
        <f t="shared" si="1"/>
        <v>6.6385575073107477</v>
      </c>
    </row>
    <row r="18" spans="1:8" x14ac:dyDescent="0.25">
      <c r="A18" s="3"/>
      <c r="B18" s="4"/>
      <c r="C18" s="3">
        <v>2021</v>
      </c>
      <c r="D18" s="6">
        <v>179</v>
      </c>
      <c r="E18" s="6">
        <v>4498997362</v>
      </c>
      <c r="F18" s="16">
        <v>91723000000</v>
      </c>
      <c r="G18" s="14">
        <f t="shared" si="0"/>
        <v>20.387431380761054</v>
      </c>
      <c r="H18" s="15">
        <f t="shared" si="1"/>
        <v>8.7799191892764075</v>
      </c>
    </row>
    <row r="19" spans="1:8" x14ac:dyDescent="0.25">
      <c r="A19" s="3"/>
      <c r="B19" s="4"/>
      <c r="C19" s="3">
        <v>2022</v>
      </c>
      <c r="D19" s="6">
        <v>226</v>
      </c>
      <c r="E19" s="6">
        <v>4498997362</v>
      </c>
      <c r="F19" s="16">
        <v>93065000000</v>
      </c>
      <c r="G19" s="14">
        <f t="shared" si="0"/>
        <v>20.685720064220835</v>
      </c>
      <c r="H19" s="15">
        <f t="shared" si="1"/>
        <v>10.925411312652447</v>
      </c>
    </row>
    <row r="20" spans="1:8" x14ac:dyDescent="0.25">
      <c r="A20" s="3"/>
      <c r="B20" s="4"/>
      <c r="C20" s="3"/>
      <c r="D20" s="6"/>
      <c r="E20" s="6"/>
      <c r="F20" s="16"/>
      <c r="G20" s="14"/>
      <c r="H20" s="15"/>
    </row>
    <row r="21" spans="1:8" x14ac:dyDescent="0.25">
      <c r="A21" s="3">
        <v>4</v>
      </c>
      <c r="B21" s="4" t="s">
        <v>8</v>
      </c>
      <c r="C21" s="3">
        <v>2018</v>
      </c>
      <c r="D21" s="6">
        <v>1375</v>
      </c>
      <c r="E21" s="6">
        <v>595000000</v>
      </c>
      <c r="F21" s="16">
        <v>92649656775</v>
      </c>
      <c r="G21" s="14">
        <f t="shared" si="0"/>
        <v>155.71370886554621</v>
      </c>
      <c r="H21" s="15">
        <f t="shared" si="1"/>
        <v>8.830307941526641</v>
      </c>
    </row>
    <row r="22" spans="1:8" x14ac:dyDescent="0.25">
      <c r="A22" s="3"/>
      <c r="B22" s="4"/>
      <c r="C22" s="3">
        <v>2019</v>
      </c>
      <c r="D22" s="6">
        <v>1670</v>
      </c>
      <c r="E22" s="6">
        <v>595000000</v>
      </c>
      <c r="F22" s="16">
        <v>215459200242</v>
      </c>
      <c r="G22" s="14">
        <f t="shared" si="0"/>
        <v>362.11630292773111</v>
      </c>
      <c r="H22" s="15">
        <f t="shared" si="1"/>
        <v>4.6117780019787951</v>
      </c>
    </row>
    <row r="23" spans="1:8" x14ac:dyDescent="0.25">
      <c r="A23" s="3"/>
      <c r="B23" s="4"/>
      <c r="C23" s="3">
        <v>2020</v>
      </c>
      <c r="D23" s="6">
        <v>1785</v>
      </c>
      <c r="E23" s="6">
        <v>595000000</v>
      </c>
      <c r="F23" s="16">
        <v>181812593992</v>
      </c>
      <c r="G23" s="14">
        <f t="shared" si="0"/>
        <v>305.56738486050421</v>
      </c>
      <c r="H23" s="15">
        <f t="shared" si="1"/>
        <v>5.8415920299048851</v>
      </c>
    </row>
    <row r="24" spans="1:8" x14ac:dyDescent="0.25">
      <c r="A24" s="3"/>
      <c r="B24" s="4"/>
      <c r="C24" s="3">
        <v>2021</v>
      </c>
      <c r="D24" s="6">
        <v>1880</v>
      </c>
      <c r="E24" s="6">
        <v>595000000</v>
      </c>
      <c r="F24" s="16">
        <v>187066990085</v>
      </c>
      <c r="G24" s="14">
        <f t="shared" si="0"/>
        <v>314.39830266386554</v>
      </c>
      <c r="H24" s="15">
        <f t="shared" si="1"/>
        <v>5.9796760480923306</v>
      </c>
    </row>
    <row r="25" spans="1:8" x14ac:dyDescent="0.25">
      <c r="A25" s="3"/>
      <c r="B25" s="4"/>
      <c r="C25" s="3">
        <v>2022</v>
      </c>
      <c r="D25" s="6">
        <v>1980</v>
      </c>
      <c r="E25" s="6">
        <v>595000000</v>
      </c>
      <c r="F25" s="16">
        <v>220704543072</v>
      </c>
      <c r="G25" s="14">
        <f t="shared" si="0"/>
        <v>370.93200516302522</v>
      </c>
      <c r="H25" s="15">
        <f t="shared" si="1"/>
        <v>5.3379055256496049</v>
      </c>
    </row>
    <row r="26" spans="1:8" x14ac:dyDescent="0.25">
      <c r="A26" s="3"/>
      <c r="B26" s="4"/>
      <c r="C26" s="3"/>
      <c r="D26" s="6"/>
      <c r="E26" s="6"/>
      <c r="F26" s="16"/>
      <c r="G26" s="14"/>
      <c r="H26" s="15"/>
    </row>
    <row r="27" spans="1:8" x14ac:dyDescent="0.25">
      <c r="A27" s="3">
        <v>5</v>
      </c>
      <c r="B27" s="4" t="s">
        <v>14</v>
      </c>
      <c r="C27" s="3">
        <v>2018</v>
      </c>
      <c r="D27" s="6">
        <v>7225</v>
      </c>
      <c r="E27" s="6">
        <v>16398000000</v>
      </c>
      <c r="F27" s="16">
        <v>4551485000000</v>
      </c>
      <c r="G27" s="14">
        <f t="shared" si="0"/>
        <v>277.56342236858154</v>
      </c>
      <c r="H27" s="15">
        <f t="shared" si="1"/>
        <v>26.030086883731354</v>
      </c>
    </row>
    <row r="28" spans="1:8" x14ac:dyDescent="0.25">
      <c r="A28" s="3"/>
      <c r="B28" s="4"/>
      <c r="C28" s="3">
        <v>2019</v>
      </c>
      <c r="D28" s="6">
        <v>6500</v>
      </c>
      <c r="E28" s="6">
        <v>16398000000</v>
      </c>
      <c r="F28" s="16">
        <v>3642226000000</v>
      </c>
      <c r="G28" s="14">
        <f t="shared" si="0"/>
        <v>222.11403829735335</v>
      </c>
      <c r="H28" s="15">
        <f t="shared" si="1"/>
        <v>29.264246644771632</v>
      </c>
    </row>
    <row r="29" spans="1:8" x14ac:dyDescent="0.25">
      <c r="A29" s="3"/>
      <c r="B29" s="4"/>
      <c r="C29" s="3">
        <v>2020</v>
      </c>
      <c r="D29" s="6">
        <v>6525</v>
      </c>
      <c r="E29" s="6">
        <v>16398000000</v>
      </c>
      <c r="F29" s="16">
        <v>3845833000000</v>
      </c>
      <c r="G29" s="14">
        <f t="shared" si="0"/>
        <v>234.53061348944993</v>
      </c>
      <c r="H29" s="15">
        <f t="shared" si="1"/>
        <v>27.821527871855071</v>
      </c>
    </row>
    <row r="30" spans="1:8" x14ac:dyDescent="0.25">
      <c r="A30" s="3"/>
      <c r="B30" s="4"/>
      <c r="C30" s="3">
        <v>2021</v>
      </c>
      <c r="D30" s="6">
        <v>5950</v>
      </c>
      <c r="E30" s="6">
        <v>16398000000</v>
      </c>
      <c r="F30" s="16">
        <v>3619010000000</v>
      </c>
      <c r="G30" s="14">
        <f t="shared" si="0"/>
        <v>220.69825588486401</v>
      </c>
      <c r="H30" s="15">
        <f t="shared" si="1"/>
        <v>26.959886819876154</v>
      </c>
    </row>
    <row r="31" spans="1:8" x14ac:dyDescent="0.25">
      <c r="A31" s="3"/>
      <c r="B31" s="4"/>
      <c r="C31" s="3">
        <v>2022</v>
      </c>
      <c r="D31" s="6">
        <v>5650</v>
      </c>
      <c r="E31" s="6">
        <v>16398000000</v>
      </c>
      <c r="F31" s="16">
        <v>2930357000000</v>
      </c>
      <c r="G31" s="14">
        <f t="shared" si="0"/>
        <v>178.70209781680694</v>
      </c>
      <c r="H31" s="15">
        <f t="shared" si="1"/>
        <v>31.616864429828855</v>
      </c>
    </row>
    <row r="32" spans="1:8" x14ac:dyDescent="0.25">
      <c r="A32" s="3"/>
      <c r="B32" s="4"/>
      <c r="C32" s="3"/>
      <c r="D32" s="6"/>
      <c r="E32" s="6"/>
      <c r="F32" s="16"/>
      <c r="G32" s="14"/>
      <c r="H32" s="15"/>
    </row>
    <row r="33" spans="1:8" x14ac:dyDescent="0.25">
      <c r="A33" s="3">
        <v>6</v>
      </c>
      <c r="B33" s="4" t="s">
        <v>7</v>
      </c>
      <c r="C33" s="3">
        <v>2018</v>
      </c>
      <c r="D33" s="6">
        <v>5500</v>
      </c>
      <c r="E33" s="6">
        <v>800659050</v>
      </c>
      <c r="F33" s="16">
        <v>338129985000</v>
      </c>
      <c r="G33" s="14">
        <f t="shared" si="0"/>
        <v>422.31457322564455</v>
      </c>
      <c r="H33" s="15">
        <f t="shared" si="1"/>
        <v>13.023467217791998</v>
      </c>
    </row>
    <row r="34" spans="1:8" x14ac:dyDescent="0.25">
      <c r="A34" s="3"/>
      <c r="B34" s="4"/>
      <c r="C34" s="3">
        <v>2019</v>
      </c>
      <c r="D34" s="6">
        <v>6800</v>
      </c>
      <c r="E34" s="6">
        <v>800659050</v>
      </c>
      <c r="F34" s="16">
        <v>317815177000</v>
      </c>
      <c r="G34" s="14">
        <f t="shared" si="0"/>
        <v>396.94196549704895</v>
      </c>
      <c r="H34" s="15">
        <f t="shared" si="1"/>
        <v>17.13096772593714</v>
      </c>
    </row>
    <row r="35" spans="1:8" x14ac:dyDescent="0.25">
      <c r="A35" s="3"/>
      <c r="B35" s="4"/>
      <c r="C35" s="3">
        <v>2020</v>
      </c>
      <c r="D35" s="6">
        <v>4400</v>
      </c>
      <c r="E35" s="6">
        <v>800659050</v>
      </c>
      <c r="F35" s="16">
        <v>123465762000</v>
      </c>
      <c r="G35" s="14">
        <f t="shared" si="0"/>
        <v>154.20516635639103</v>
      </c>
      <c r="H35" s="15">
        <f t="shared" si="1"/>
        <v>28.533414955961636</v>
      </c>
    </row>
    <row r="36" spans="1:8" x14ac:dyDescent="0.25">
      <c r="A36" s="3"/>
      <c r="B36" s="4"/>
      <c r="C36" s="3">
        <v>2021</v>
      </c>
      <c r="D36" s="6">
        <v>3740</v>
      </c>
      <c r="E36" s="6">
        <v>800659050</v>
      </c>
      <c r="F36" s="16">
        <v>187992998000</v>
      </c>
      <c r="G36" s="14">
        <f t="shared" si="0"/>
        <v>234.79781812245798</v>
      </c>
      <c r="H36" s="15">
        <f t="shared" si="1"/>
        <v>15.928597760859157</v>
      </c>
    </row>
    <row r="37" spans="1:8" x14ac:dyDescent="0.25">
      <c r="A37" s="3"/>
      <c r="B37" s="4"/>
      <c r="C37" s="3">
        <v>2022</v>
      </c>
      <c r="D37" s="6">
        <v>3830</v>
      </c>
      <c r="E37" s="6">
        <v>800659050</v>
      </c>
      <c r="F37" s="16">
        <v>230065807000</v>
      </c>
      <c r="G37" s="14">
        <f t="shared" si="0"/>
        <v>287.34553990240914</v>
      </c>
      <c r="H37" s="15">
        <f t="shared" si="1"/>
        <v>13.328900115522165</v>
      </c>
    </row>
    <row r="38" spans="1:8" x14ac:dyDescent="0.25">
      <c r="A38" s="3"/>
      <c r="B38" s="4"/>
      <c r="C38" s="3"/>
      <c r="D38" s="6"/>
      <c r="E38" s="6"/>
      <c r="F38" s="16"/>
      <c r="G38" s="14"/>
      <c r="H38" s="15"/>
    </row>
    <row r="39" spans="1:8" x14ac:dyDescent="0.25">
      <c r="A39" s="3">
        <v>7</v>
      </c>
      <c r="B39" s="4" t="s">
        <v>15</v>
      </c>
      <c r="C39" s="3">
        <v>2018</v>
      </c>
      <c r="D39" s="6">
        <v>410</v>
      </c>
      <c r="E39" s="6">
        <v>10599842400</v>
      </c>
      <c r="F39" s="16">
        <v>427245000000</v>
      </c>
      <c r="G39" s="14">
        <f t="shared" si="0"/>
        <v>40.306731352911434</v>
      </c>
      <c r="H39" s="15">
        <f t="shared" si="1"/>
        <v>10.171998230523471</v>
      </c>
    </row>
    <row r="40" spans="1:8" x14ac:dyDescent="0.25">
      <c r="A40" s="3"/>
      <c r="B40" s="4"/>
      <c r="C40" s="3">
        <v>2019</v>
      </c>
      <c r="D40" s="6">
        <v>460</v>
      </c>
      <c r="E40" s="6">
        <v>10599842400</v>
      </c>
      <c r="F40" s="16">
        <v>178164000000</v>
      </c>
      <c r="G40" s="14">
        <f t="shared" si="0"/>
        <v>16.808174430970784</v>
      </c>
      <c r="H40" s="15">
        <f t="shared" si="1"/>
        <v>27.367636020744932</v>
      </c>
    </row>
    <row r="41" spans="1:8" x14ac:dyDescent="0.25">
      <c r="A41" s="3"/>
      <c r="B41" s="4"/>
      <c r="C41" s="3">
        <v>2020</v>
      </c>
      <c r="D41" s="6">
        <v>610</v>
      </c>
      <c r="E41" s="6">
        <v>10599842400</v>
      </c>
      <c r="F41" s="16">
        <v>478171000000</v>
      </c>
      <c r="G41" s="14">
        <f t="shared" si="0"/>
        <v>45.111142407173901</v>
      </c>
      <c r="H41" s="15">
        <f t="shared" si="1"/>
        <v>13.522158106618763</v>
      </c>
    </row>
    <row r="42" spans="1:8" x14ac:dyDescent="0.25">
      <c r="A42" s="3"/>
      <c r="B42" s="4"/>
      <c r="C42" s="3">
        <v>2021</v>
      </c>
      <c r="D42" s="6">
        <v>500</v>
      </c>
      <c r="E42" s="6">
        <v>10599842400</v>
      </c>
      <c r="F42" s="16">
        <v>739649000000</v>
      </c>
      <c r="G42" s="14">
        <f t="shared" si="0"/>
        <v>69.779245019718402</v>
      </c>
      <c r="H42" s="15">
        <f t="shared" si="1"/>
        <v>7.1654544250042926</v>
      </c>
    </row>
    <row r="43" spans="1:8" x14ac:dyDescent="0.25">
      <c r="A43" s="3"/>
      <c r="B43" s="4"/>
      <c r="C43" s="3">
        <v>2022</v>
      </c>
      <c r="D43" s="6">
        <v>600</v>
      </c>
      <c r="E43" s="6">
        <v>10599842400</v>
      </c>
      <c r="F43" s="16">
        <v>1206587000000</v>
      </c>
      <c r="G43" s="14">
        <f t="shared" si="0"/>
        <v>113.83065468973388</v>
      </c>
      <c r="H43" s="15">
        <f t="shared" si="1"/>
        <v>5.2709878690885947</v>
      </c>
    </row>
    <row r="44" spans="1:8" x14ac:dyDescent="0.25">
      <c r="A44" s="3"/>
      <c r="B44" s="4"/>
      <c r="C44" s="3"/>
      <c r="D44" s="6"/>
      <c r="E44" s="6"/>
      <c r="F44" s="16"/>
      <c r="G44" s="14"/>
      <c r="H44" s="15"/>
    </row>
    <row r="45" spans="1:8" x14ac:dyDescent="0.25">
      <c r="A45" s="3">
        <v>8</v>
      </c>
      <c r="B45" s="4" t="s">
        <v>3</v>
      </c>
      <c r="C45" s="3">
        <v>2018</v>
      </c>
      <c r="D45" s="6">
        <v>10450</v>
      </c>
      <c r="E45" s="6">
        <v>11661908000</v>
      </c>
      <c r="F45" s="16">
        <v>4658781000000</v>
      </c>
      <c r="G45" s="14">
        <f t="shared" si="0"/>
        <v>399.48703076717806</v>
      </c>
      <c r="H45" s="15">
        <f t="shared" si="1"/>
        <v>26.158546323598383</v>
      </c>
    </row>
    <row r="46" spans="1:8" x14ac:dyDescent="0.25">
      <c r="A46" s="3"/>
      <c r="B46" s="4"/>
      <c r="C46" s="3">
        <v>2019</v>
      </c>
      <c r="D46" s="6">
        <v>11150</v>
      </c>
      <c r="E46" s="6">
        <v>11661908000</v>
      </c>
      <c r="F46" s="16">
        <v>5360029000000</v>
      </c>
      <c r="G46" s="14">
        <f t="shared" si="0"/>
        <v>459.61852897484698</v>
      </c>
      <c r="H46" s="15">
        <f t="shared" si="1"/>
        <v>24.25924826152993</v>
      </c>
    </row>
    <row r="47" spans="1:8" x14ac:dyDescent="0.25">
      <c r="A47" s="3"/>
      <c r="B47" s="4"/>
      <c r="C47" s="3">
        <v>2020</v>
      </c>
      <c r="D47" s="6">
        <v>9575</v>
      </c>
      <c r="E47" s="6">
        <v>11661908000</v>
      </c>
      <c r="F47" s="16">
        <v>7418574000000</v>
      </c>
      <c r="G47" s="14">
        <f t="shared" si="0"/>
        <v>636.13724272220293</v>
      </c>
      <c r="H47" s="15">
        <f t="shared" si="1"/>
        <v>15.051783415518939</v>
      </c>
    </row>
    <row r="48" spans="1:8" x14ac:dyDescent="0.25">
      <c r="A48" s="3"/>
      <c r="B48" s="4"/>
      <c r="C48" s="3">
        <v>2021</v>
      </c>
      <c r="D48" s="6">
        <v>8700</v>
      </c>
      <c r="E48" s="6">
        <v>11661908000</v>
      </c>
      <c r="F48" s="16">
        <v>7911943000000</v>
      </c>
      <c r="G48" s="14">
        <f t="shared" si="0"/>
        <v>678.44327017500052</v>
      </c>
      <c r="H48" s="15">
        <f t="shared" si="1"/>
        <v>12.823474537164891</v>
      </c>
    </row>
    <row r="49" spans="1:9" x14ac:dyDescent="0.25">
      <c r="A49" s="3"/>
      <c r="B49" s="4"/>
      <c r="C49" s="3">
        <v>2022</v>
      </c>
      <c r="D49" s="6">
        <v>10000</v>
      </c>
      <c r="E49" s="6">
        <v>11661908000</v>
      </c>
      <c r="F49" s="16">
        <v>5722194000000</v>
      </c>
      <c r="G49" s="14">
        <f t="shared" si="0"/>
        <v>490.67391030695836</v>
      </c>
      <c r="H49" s="15">
        <f t="shared" si="1"/>
        <v>20.380133913670175</v>
      </c>
    </row>
    <row r="50" spans="1:9" x14ac:dyDescent="0.25">
      <c r="A50" s="3"/>
      <c r="B50" s="4"/>
      <c r="C50" s="3"/>
      <c r="D50" s="6"/>
      <c r="E50" s="6"/>
      <c r="F50" s="16"/>
      <c r="G50" s="14"/>
      <c r="H50" s="15"/>
    </row>
    <row r="51" spans="1:9" x14ac:dyDescent="0.25">
      <c r="A51" s="3">
        <v>9</v>
      </c>
      <c r="B51" s="4" t="s">
        <v>4</v>
      </c>
      <c r="C51" s="3">
        <v>2018</v>
      </c>
      <c r="D51" s="6">
        <v>7450</v>
      </c>
      <c r="E51" s="6">
        <v>8780426500</v>
      </c>
      <c r="F51" s="16">
        <v>4961851000000</v>
      </c>
      <c r="G51" s="14">
        <f t="shared" si="0"/>
        <v>565.10364274446124</v>
      </c>
      <c r="H51" s="15">
        <f t="shared" si="1"/>
        <v>13.183422360929418</v>
      </c>
    </row>
    <row r="52" spans="1:9" x14ac:dyDescent="0.25">
      <c r="A52" s="3"/>
      <c r="B52" s="4"/>
      <c r="C52" s="3">
        <v>2019</v>
      </c>
      <c r="D52" s="6">
        <v>7925</v>
      </c>
      <c r="E52" s="6">
        <v>8780426500</v>
      </c>
      <c r="F52" s="16">
        <v>5902729000000</v>
      </c>
      <c r="G52" s="14">
        <f t="shared" si="0"/>
        <v>672.25994090378185</v>
      </c>
      <c r="H52" s="15">
        <f t="shared" si="1"/>
        <v>11.788594735164024</v>
      </c>
    </row>
    <row r="53" spans="1:9" x14ac:dyDescent="0.25">
      <c r="A53" s="3"/>
      <c r="B53" s="4"/>
      <c r="C53" s="3">
        <v>2020</v>
      </c>
      <c r="D53" s="6">
        <v>6850</v>
      </c>
      <c r="E53" s="6">
        <v>8780426500</v>
      </c>
      <c r="F53" s="16">
        <v>8752066000000</v>
      </c>
      <c r="G53" s="14">
        <f t="shared" si="0"/>
        <v>996.77003161520679</v>
      </c>
      <c r="H53" s="15">
        <f t="shared" si="1"/>
        <v>6.8721969789761648</v>
      </c>
    </row>
    <row r="54" spans="1:9" x14ac:dyDescent="0.25">
      <c r="A54" s="3"/>
      <c r="B54" s="4"/>
      <c r="C54" s="3">
        <v>2021</v>
      </c>
      <c r="D54" s="6">
        <v>6325</v>
      </c>
      <c r="E54" s="6">
        <v>8780426500</v>
      </c>
      <c r="F54" s="16">
        <v>11229695000000</v>
      </c>
      <c r="G54" s="14">
        <f t="shared" si="0"/>
        <v>1278.9464156439326</v>
      </c>
      <c r="H54" s="15">
        <f t="shared" si="1"/>
        <v>4.9454769352595953</v>
      </c>
    </row>
    <row r="55" spans="1:9" x14ac:dyDescent="0.25">
      <c r="A55" s="3"/>
      <c r="B55" s="4"/>
      <c r="C55" s="3">
        <v>2022</v>
      </c>
      <c r="D55" s="6">
        <v>6725</v>
      </c>
      <c r="E55" s="6">
        <v>8780426500</v>
      </c>
      <c r="F55" s="16">
        <v>9192569000000</v>
      </c>
      <c r="G55" s="14">
        <f t="shared" si="0"/>
        <v>1046.938779112837</v>
      </c>
      <c r="H55" s="15">
        <f t="shared" si="1"/>
        <v>6.4234892566484945</v>
      </c>
    </row>
    <row r="56" spans="1:9" x14ac:dyDescent="0.25">
      <c r="A56" s="3"/>
      <c r="B56" s="4"/>
      <c r="C56" s="3"/>
      <c r="D56" s="6"/>
      <c r="E56" s="6"/>
      <c r="F56" s="16"/>
      <c r="G56" s="14"/>
      <c r="H56" s="15"/>
    </row>
    <row r="57" spans="1:9" x14ac:dyDescent="0.25">
      <c r="A57" s="10">
        <v>10</v>
      </c>
      <c r="B57" s="10" t="s">
        <v>16</v>
      </c>
      <c r="C57" s="10">
        <v>2018</v>
      </c>
      <c r="D57" s="6">
        <v>2150</v>
      </c>
      <c r="E57" s="11">
        <v>11726575201</v>
      </c>
      <c r="F57" s="16">
        <v>2088188000000</v>
      </c>
      <c r="G57" s="14">
        <f t="shared" si="0"/>
        <v>178.07313424484985</v>
      </c>
      <c r="H57" s="15">
        <f t="shared" si="1"/>
        <v>12.073691009693571</v>
      </c>
      <c r="I57" s="12"/>
    </row>
    <row r="58" spans="1:9" x14ac:dyDescent="0.25">
      <c r="A58" s="10"/>
      <c r="B58" s="10"/>
      <c r="C58" s="10">
        <v>2019</v>
      </c>
      <c r="D58" s="6">
        <v>1535</v>
      </c>
      <c r="E58" s="11">
        <v>11726575201</v>
      </c>
      <c r="F58" s="16">
        <v>1793914000000</v>
      </c>
      <c r="G58" s="14">
        <f t="shared" si="0"/>
        <v>152.97850985912933</v>
      </c>
      <c r="H58" s="15">
        <f t="shared" si="1"/>
        <v>10.03408911103598</v>
      </c>
      <c r="I58" s="12"/>
    </row>
    <row r="59" spans="1:9" x14ac:dyDescent="0.25">
      <c r="A59" s="10"/>
      <c r="B59" s="10"/>
      <c r="C59" s="10">
        <v>2020</v>
      </c>
      <c r="D59" s="6">
        <v>1465</v>
      </c>
      <c r="E59" s="11">
        <v>11726575201</v>
      </c>
      <c r="F59" s="16">
        <v>1221904000000</v>
      </c>
      <c r="G59" s="14">
        <f t="shared" si="0"/>
        <v>104.19956202521948</v>
      </c>
      <c r="H59" s="15">
        <f t="shared" si="1"/>
        <v>14.059560055016597</v>
      </c>
      <c r="I59" s="12"/>
    </row>
    <row r="60" spans="1:9" x14ac:dyDescent="0.25">
      <c r="A60" s="10"/>
      <c r="B60" s="10"/>
      <c r="C60" s="10">
        <v>2021</v>
      </c>
      <c r="D60" s="6">
        <v>1720</v>
      </c>
      <c r="E60" s="11">
        <v>11726575201</v>
      </c>
      <c r="F60" s="16">
        <v>2130896000000</v>
      </c>
      <c r="G60" s="14">
        <f t="shared" si="0"/>
        <v>181.71511830822394</v>
      </c>
      <c r="H60" s="15">
        <f t="shared" si="1"/>
        <v>9.4653654358166719</v>
      </c>
      <c r="I60" s="12"/>
    </row>
    <row r="61" spans="1:9" x14ac:dyDescent="0.25">
      <c r="A61" s="10"/>
      <c r="B61" s="10"/>
      <c r="C61" s="10">
        <v>2022</v>
      </c>
      <c r="D61" s="6">
        <v>1295</v>
      </c>
      <c r="E61" s="11">
        <v>11726575201</v>
      </c>
      <c r="F61" s="16">
        <v>1490931000000</v>
      </c>
      <c r="G61" s="14">
        <f t="shared" si="0"/>
        <v>127.14121339305092</v>
      </c>
      <c r="H61" s="15">
        <f t="shared" si="1"/>
        <v>10.185524940654531</v>
      </c>
      <c r="I61" s="12"/>
    </row>
    <row r="62" spans="1:9" x14ac:dyDescent="0.25">
      <c r="A62" s="10"/>
      <c r="B62" s="10"/>
      <c r="C62" s="10"/>
      <c r="D62" s="6"/>
      <c r="E62" s="11"/>
      <c r="F62" s="16"/>
      <c r="G62" s="14"/>
      <c r="H62" s="15"/>
      <c r="I62" s="12"/>
    </row>
    <row r="63" spans="1:9" x14ac:dyDescent="0.25">
      <c r="A63" s="10">
        <v>11</v>
      </c>
      <c r="B63" s="10" t="s">
        <v>17</v>
      </c>
      <c r="C63" s="10">
        <v>2018</v>
      </c>
      <c r="D63" s="6">
        <v>1250</v>
      </c>
      <c r="E63" s="11">
        <v>6822863965</v>
      </c>
      <c r="F63" s="16">
        <v>329426000000</v>
      </c>
      <c r="G63" s="14">
        <f t="shared" ref="G62:G103" si="2">F63/E63</f>
        <v>48.282656915027616</v>
      </c>
      <c r="H63" s="15">
        <f t="shared" ref="H62:H103" si="3">D63/G63</f>
        <v>25.889213226187369</v>
      </c>
      <c r="I63" s="12"/>
    </row>
    <row r="64" spans="1:9" x14ac:dyDescent="0.25">
      <c r="A64" s="10"/>
      <c r="B64" s="10"/>
      <c r="C64" s="10">
        <v>2019</v>
      </c>
      <c r="D64" s="6">
        <v>1485</v>
      </c>
      <c r="E64" s="11">
        <v>6822863965</v>
      </c>
      <c r="F64" s="16">
        <v>252630000000</v>
      </c>
      <c r="G64" s="14">
        <f t="shared" si="2"/>
        <v>37.02697302715459</v>
      </c>
      <c r="H64" s="15">
        <f t="shared" si="3"/>
        <v>40.105897906127538</v>
      </c>
      <c r="I64" s="12"/>
    </row>
    <row r="65" spans="1:9" x14ac:dyDescent="0.25">
      <c r="A65" s="10"/>
      <c r="B65" s="10"/>
      <c r="C65" s="10">
        <v>2020</v>
      </c>
      <c r="D65" s="6">
        <v>1375</v>
      </c>
      <c r="E65" s="11">
        <v>6822863965</v>
      </c>
      <c r="F65" s="16">
        <v>695490000000</v>
      </c>
      <c r="G65" s="14">
        <f t="shared" si="2"/>
        <v>101.93519958300972</v>
      </c>
      <c r="H65" s="15">
        <f t="shared" si="3"/>
        <v>13.488961670009633</v>
      </c>
      <c r="I65" s="12"/>
    </row>
    <row r="66" spans="1:9" x14ac:dyDescent="0.25">
      <c r="A66" s="10"/>
      <c r="B66" s="10"/>
      <c r="C66" s="10">
        <v>2021</v>
      </c>
      <c r="D66" s="6">
        <v>1185</v>
      </c>
      <c r="E66" s="11">
        <v>6822863965</v>
      </c>
      <c r="F66" s="16">
        <v>991630000000</v>
      </c>
      <c r="G66" s="14">
        <f t="shared" si="2"/>
        <v>145.33926003608954</v>
      </c>
      <c r="H66" s="15">
        <f t="shared" si="3"/>
        <v>8.1533372311497239</v>
      </c>
      <c r="I66" s="12"/>
    </row>
    <row r="67" spans="1:9" x14ac:dyDescent="0.25">
      <c r="A67" s="10"/>
      <c r="B67" s="10"/>
      <c r="C67" s="10">
        <v>2022</v>
      </c>
      <c r="D67" s="6">
        <v>1015</v>
      </c>
      <c r="E67" s="11">
        <v>6822863965</v>
      </c>
      <c r="F67" s="16">
        <v>1035285000000</v>
      </c>
      <c r="G67" s="14">
        <f t="shared" si="2"/>
        <v>151.73759953456729</v>
      </c>
      <c r="H67" s="15">
        <f t="shared" si="3"/>
        <v>6.6891792351622987</v>
      </c>
      <c r="I67" s="12"/>
    </row>
    <row r="68" spans="1:9" x14ac:dyDescent="0.25">
      <c r="A68" s="10"/>
      <c r="B68" s="10"/>
      <c r="C68" s="10"/>
      <c r="D68" s="6"/>
      <c r="E68" s="11"/>
      <c r="F68" s="16"/>
      <c r="G68" s="14"/>
      <c r="H68" s="15"/>
      <c r="I68" s="12"/>
    </row>
    <row r="69" spans="1:9" x14ac:dyDescent="0.25">
      <c r="A69" s="10">
        <v>12</v>
      </c>
      <c r="B69" s="10" t="s">
        <v>5</v>
      </c>
      <c r="C69" s="10">
        <v>2018</v>
      </c>
      <c r="D69" s="6">
        <v>2620</v>
      </c>
      <c r="E69" s="11">
        <v>22358699725</v>
      </c>
      <c r="F69" s="16">
        <v>1760434280304</v>
      </c>
      <c r="G69" s="14">
        <f t="shared" si="2"/>
        <v>78.735986526783591</v>
      </c>
      <c r="H69" s="15">
        <f t="shared" si="3"/>
        <v>33.275762654078839</v>
      </c>
      <c r="I69" s="12"/>
    </row>
    <row r="70" spans="1:9" x14ac:dyDescent="0.25">
      <c r="A70" s="10"/>
      <c r="B70" s="10"/>
      <c r="C70" s="10">
        <v>2019</v>
      </c>
      <c r="D70" s="6">
        <v>2050</v>
      </c>
      <c r="E70" s="11">
        <v>22358699725</v>
      </c>
      <c r="F70" s="16">
        <v>2051404206764</v>
      </c>
      <c r="G70" s="14">
        <f t="shared" si="2"/>
        <v>91.749709598284795</v>
      </c>
      <c r="H70" s="15">
        <f t="shared" si="3"/>
        <v>22.343394970683629</v>
      </c>
      <c r="I70" s="12"/>
    </row>
    <row r="71" spans="1:9" x14ac:dyDescent="0.25">
      <c r="A71" s="10"/>
      <c r="B71" s="10"/>
      <c r="C71" s="10">
        <v>2020</v>
      </c>
      <c r="D71" s="6">
        <v>2710</v>
      </c>
      <c r="E71" s="11">
        <v>22358699725</v>
      </c>
      <c r="F71" s="16">
        <v>2098168514645</v>
      </c>
      <c r="G71" s="14">
        <f t="shared" si="2"/>
        <v>93.841258232873372</v>
      </c>
      <c r="H71" s="15">
        <f t="shared" si="3"/>
        <v>28.878555669777501</v>
      </c>
      <c r="I71" s="12"/>
    </row>
    <row r="72" spans="1:9" x14ac:dyDescent="0.25">
      <c r="A72" s="10"/>
      <c r="B72" s="10"/>
      <c r="C72" s="10">
        <v>2021</v>
      </c>
      <c r="D72" s="6">
        <v>2040</v>
      </c>
      <c r="E72" s="11">
        <v>22358699725</v>
      </c>
      <c r="F72" s="16">
        <v>1211052647953</v>
      </c>
      <c r="G72" s="14">
        <f t="shared" si="2"/>
        <v>54.164717217382822</v>
      </c>
      <c r="H72" s="15">
        <f t="shared" si="3"/>
        <v>37.662893942799215</v>
      </c>
      <c r="I72" s="12"/>
    </row>
    <row r="73" spans="1:9" x14ac:dyDescent="0.25">
      <c r="A73" s="10"/>
      <c r="B73" s="10"/>
      <c r="C73" s="10">
        <v>2022</v>
      </c>
      <c r="D73" s="6">
        <v>2500</v>
      </c>
      <c r="E73" s="11">
        <v>22358699725</v>
      </c>
      <c r="F73" s="16">
        <v>1970064538149</v>
      </c>
      <c r="G73" s="14">
        <f t="shared" si="2"/>
        <v>88.111766890728703</v>
      </c>
      <c r="H73" s="15">
        <f t="shared" si="3"/>
        <v>28.373054907642025</v>
      </c>
      <c r="I73" s="12"/>
    </row>
    <row r="74" spans="1:9" x14ac:dyDescent="0.25">
      <c r="A74" s="10"/>
      <c r="B74" s="10"/>
      <c r="C74" s="10"/>
      <c r="D74" s="6"/>
      <c r="E74" s="11"/>
      <c r="F74" s="16"/>
      <c r="G74" s="14"/>
      <c r="H74" s="15"/>
      <c r="I74" s="12"/>
    </row>
    <row r="75" spans="1:9" x14ac:dyDescent="0.25">
      <c r="A75" s="10">
        <v>13</v>
      </c>
      <c r="B75" s="10" t="s">
        <v>6</v>
      </c>
      <c r="C75" s="10">
        <v>2018</v>
      </c>
      <c r="D75" s="6">
        <v>1200</v>
      </c>
      <c r="E75" s="11">
        <v>6186488888</v>
      </c>
      <c r="F75" s="16">
        <v>127171436363</v>
      </c>
      <c r="G75" s="14">
        <f t="shared" si="2"/>
        <v>20.556318562161458</v>
      </c>
      <c r="H75" s="15">
        <f t="shared" si="3"/>
        <v>58.376211497756742</v>
      </c>
      <c r="I75" s="12"/>
    </row>
    <row r="76" spans="1:9" x14ac:dyDescent="0.25">
      <c r="A76" s="10"/>
      <c r="B76" s="10"/>
      <c r="C76" s="10">
        <v>2019</v>
      </c>
      <c r="D76" s="6">
        <v>1300</v>
      </c>
      <c r="E76" s="11">
        <v>6186488888</v>
      </c>
      <c r="F76" s="16">
        <v>236518557420</v>
      </c>
      <c r="G76" s="14">
        <f t="shared" si="2"/>
        <v>38.231468883550029</v>
      </c>
      <c r="H76" s="15">
        <f t="shared" si="3"/>
        <v>34.003401856195879</v>
      </c>
      <c r="I76" s="12"/>
    </row>
    <row r="77" spans="1:9" x14ac:dyDescent="0.25">
      <c r="A77" s="10"/>
      <c r="B77" s="10"/>
      <c r="C77" s="10">
        <v>2020</v>
      </c>
      <c r="D77" s="6">
        <v>1360</v>
      </c>
      <c r="E77" s="11">
        <v>6186488888</v>
      </c>
      <c r="F77" s="16">
        <v>168610282478</v>
      </c>
      <c r="G77" s="14">
        <f t="shared" si="2"/>
        <v>27.254600392971724</v>
      </c>
      <c r="H77" s="15">
        <f t="shared" si="3"/>
        <v>49.899832703131828</v>
      </c>
      <c r="I77" s="12"/>
    </row>
    <row r="78" spans="1:9" x14ac:dyDescent="0.25">
      <c r="A78" s="10"/>
      <c r="B78" s="10"/>
      <c r="C78" s="10">
        <v>2021</v>
      </c>
      <c r="D78" s="6">
        <v>1360</v>
      </c>
      <c r="E78" s="11">
        <v>6186488888</v>
      </c>
      <c r="F78" s="16">
        <v>283602993676</v>
      </c>
      <c r="G78" s="14">
        <f t="shared" si="2"/>
        <v>45.842318447562043</v>
      </c>
      <c r="H78" s="15">
        <f t="shared" si="3"/>
        <v>29.666911405357308</v>
      </c>
      <c r="I78" s="12"/>
    </row>
    <row r="79" spans="1:9" x14ac:dyDescent="0.25">
      <c r="A79" s="10"/>
      <c r="B79" s="10"/>
      <c r="C79" s="10">
        <v>2022</v>
      </c>
      <c r="D79" s="6">
        <v>1320</v>
      </c>
      <c r="E79" s="11">
        <v>6186488888</v>
      </c>
      <c r="F79" s="16">
        <v>432247722254</v>
      </c>
      <c r="G79" s="14">
        <f t="shared" si="2"/>
        <v>69.869635277683216</v>
      </c>
      <c r="H79" s="15">
        <f t="shared" si="3"/>
        <v>18.892327042411456</v>
      </c>
      <c r="I79" s="12"/>
    </row>
    <row r="80" spans="1:9" x14ac:dyDescent="0.25">
      <c r="A80" s="10"/>
      <c r="B80" s="10"/>
      <c r="C80" s="10"/>
      <c r="D80" s="6"/>
      <c r="E80" s="11"/>
      <c r="F80" s="16"/>
      <c r="G80" s="14"/>
      <c r="H80" s="15"/>
      <c r="I80" s="12"/>
    </row>
    <row r="81" spans="1:9" x14ac:dyDescent="0.25">
      <c r="A81" s="10">
        <v>14</v>
      </c>
      <c r="B81" s="10" t="s">
        <v>9</v>
      </c>
      <c r="C81" s="10">
        <v>2018</v>
      </c>
      <c r="D81" s="6">
        <v>1500</v>
      </c>
      <c r="E81" s="11">
        <v>690740500</v>
      </c>
      <c r="F81" s="16">
        <v>31954131252</v>
      </c>
      <c r="G81" s="14">
        <f t="shared" si="2"/>
        <v>46.260688713055046</v>
      </c>
      <c r="H81" s="15">
        <f t="shared" si="3"/>
        <v>32.424938792074038</v>
      </c>
      <c r="I81" s="12"/>
    </row>
    <row r="82" spans="1:9" x14ac:dyDescent="0.25">
      <c r="A82" s="10"/>
      <c r="B82" s="10"/>
      <c r="C82" s="10">
        <v>2019</v>
      </c>
      <c r="D82" s="6">
        <v>1610</v>
      </c>
      <c r="E82" s="11">
        <v>690740500</v>
      </c>
      <c r="F82" s="16">
        <v>44943627900</v>
      </c>
      <c r="G82" s="14">
        <f t="shared" si="2"/>
        <v>65.065864677111009</v>
      </c>
      <c r="H82" s="15">
        <f t="shared" si="3"/>
        <v>24.744157447067153</v>
      </c>
      <c r="I82" s="12"/>
    </row>
    <row r="83" spans="1:9" x14ac:dyDescent="0.25">
      <c r="A83" s="10"/>
      <c r="B83" s="10"/>
      <c r="C83" s="10">
        <v>2020</v>
      </c>
      <c r="D83" s="6">
        <v>1565</v>
      </c>
      <c r="E83" s="11">
        <v>690740500</v>
      </c>
      <c r="F83" s="16">
        <v>42520246722</v>
      </c>
      <c r="G83" s="14">
        <f t="shared" si="2"/>
        <v>61.557483196656342</v>
      </c>
      <c r="H83" s="15">
        <f t="shared" si="3"/>
        <v>25.423391580197144</v>
      </c>
      <c r="I83" s="12"/>
    </row>
    <row r="84" spans="1:9" x14ac:dyDescent="0.25">
      <c r="A84" s="10"/>
      <c r="B84" s="10"/>
      <c r="C84" s="10">
        <v>2021</v>
      </c>
      <c r="D84" s="6">
        <v>2420</v>
      </c>
      <c r="E84" s="11">
        <v>690740500</v>
      </c>
      <c r="F84" s="16">
        <v>84524160228</v>
      </c>
      <c r="G84" s="14">
        <f t="shared" si="2"/>
        <v>122.36745960024061</v>
      </c>
      <c r="H84" s="15">
        <f t="shared" si="3"/>
        <v>19.776499470576912</v>
      </c>
      <c r="I84" s="12"/>
    </row>
    <row r="85" spans="1:9" x14ac:dyDescent="0.25">
      <c r="A85" s="10"/>
      <c r="B85" s="10"/>
      <c r="C85" s="10">
        <v>2022</v>
      </c>
      <c r="D85" s="6">
        <v>1950</v>
      </c>
      <c r="E85" s="11">
        <v>690740500</v>
      </c>
      <c r="F85" s="16">
        <v>74865302076</v>
      </c>
      <c r="G85" s="14">
        <f t="shared" si="2"/>
        <v>108.38412120905029</v>
      </c>
      <c r="H85" s="15">
        <f t="shared" si="3"/>
        <v>17.99156535336812</v>
      </c>
      <c r="I85" s="12"/>
    </row>
    <row r="86" spans="1:9" x14ac:dyDescent="0.25">
      <c r="A86" s="10"/>
      <c r="B86" s="10"/>
      <c r="C86" s="10"/>
      <c r="D86" s="6"/>
      <c r="E86" s="11"/>
      <c r="F86" s="16"/>
      <c r="G86" s="14"/>
      <c r="H86" s="15"/>
      <c r="I86" s="12"/>
    </row>
    <row r="87" spans="1:9" x14ac:dyDescent="0.25">
      <c r="A87" s="10">
        <v>15</v>
      </c>
      <c r="B87" s="10" t="s">
        <v>18</v>
      </c>
      <c r="C87" s="10">
        <v>2018</v>
      </c>
      <c r="D87" s="6">
        <v>865</v>
      </c>
      <c r="E87" s="11">
        <v>5342098939</v>
      </c>
      <c r="F87" s="16">
        <v>764380000000</v>
      </c>
      <c r="G87" s="14">
        <f t="shared" si="2"/>
        <v>143.08608072000368</v>
      </c>
      <c r="H87" s="15">
        <f t="shared" si="3"/>
        <v>6.0453119943418194</v>
      </c>
      <c r="I87" s="12"/>
    </row>
    <row r="88" spans="1:9" x14ac:dyDescent="0.25">
      <c r="A88" s="10"/>
      <c r="B88" s="10"/>
      <c r="C88" s="10">
        <v>2019</v>
      </c>
      <c r="D88" s="6">
        <v>995</v>
      </c>
      <c r="E88" s="11">
        <v>5342098939</v>
      </c>
      <c r="F88" s="16">
        <v>661034000000</v>
      </c>
      <c r="G88" s="14">
        <f t="shared" si="2"/>
        <v>123.74050116783133</v>
      </c>
      <c r="H88" s="15">
        <f t="shared" si="3"/>
        <v>8.0410212550413451</v>
      </c>
      <c r="I88" s="12"/>
    </row>
    <row r="89" spans="1:9" x14ac:dyDescent="0.25">
      <c r="A89" s="10"/>
      <c r="B89" s="10"/>
      <c r="C89" s="10">
        <v>2020</v>
      </c>
      <c r="D89" s="6">
        <v>935</v>
      </c>
      <c r="E89" s="11">
        <v>5342098939</v>
      </c>
      <c r="F89" s="16">
        <v>680730000000</v>
      </c>
      <c r="G89" s="14">
        <f t="shared" si="2"/>
        <v>127.42744149314228</v>
      </c>
      <c r="H89" s="15">
        <f t="shared" si="3"/>
        <v>7.3375090093943269</v>
      </c>
      <c r="I89" s="12"/>
    </row>
    <row r="90" spans="1:9" x14ac:dyDescent="0.25">
      <c r="A90" s="10"/>
      <c r="B90" s="10"/>
      <c r="C90" s="10">
        <v>2021</v>
      </c>
      <c r="D90" s="6">
        <v>795</v>
      </c>
      <c r="E90" s="11">
        <v>5342098939</v>
      </c>
      <c r="F90" s="16">
        <v>791916000000</v>
      </c>
      <c r="G90" s="14">
        <f t="shared" si="2"/>
        <v>148.2406089895895</v>
      </c>
      <c r="H90" s="15">
        <f t="shared" si="3"/>
        <v>5.3629029549914389</v>
      </c>
      <c r="I90" s="12"/>
    </row>
    <row r="91" spans="1:9" x14ac:dyDescent="0.25">
      <c r="A91" s="10"/>
      <c r="B91" s="10"/>
      <c r="C91" s="10">
        <v>2022</v>
      </c>
      <c r="D91" s="6">
        <v>695</v>
      </c>
      <c r="E91" s="11">
        <v>5342098939</v>
      </c>
      <c r="F91" s="16">
        <v>801440000000</v>
      </c>
      <c r="G91" s="14">
        <f t="shared" si="2"/>
        <v>150.02342883413976</v>
      </c>
      <c r="H91" s="15">
        <f t="shared" si="3"/>
        <v>4.6326097556959969</v>
      </c>
      <c r="I91" s="12"/>
    </row>
    <row r="92" spans="1:9" x14ac:dyDescent="0.25">
      <c r="A92" s="10"/>
      <c r="B92" s="10"/>
      <c r="C92" s="10"/>
      <c r="D92" s="6"/>
      <c r="E92" s="11"/>
      <c r="F92" s="16"/>
      <c r="G92" s="14"/>
      <c r="H92" s="15"/>
      <c r="I92" s="12"/>
    </row>
    <row r="93" spans="1:9" x14ac:dyDescent="0.25">
      <c r="A93" s="10">
        <v>16</v>
      </c>
      <c r="B93" s="10" t="s">
        <v>19</v>
      </c>
      <c r="C93" s="10">
        <v>2018</v>
      </c>
      <c r="D93" s="6">
        <v>3350</v>
      </c>
      <c r="E93" s="11">
        <v>918492750</v>
      </c>
      <c r="F93" s="16">
        <v>318607055495</v>
      </c>
      <c r="G93" s="14">
        <f t="shared" si="2"/>
        <v>346.88031614294181</v>
      </c>
      <c r="H93" s="15">
        <f t="shared" si="3"/>
        <v>9.6575096484273786</v>
      </c>
      <c r="I93" s="12"/>
    </row>
    <row r="94" spans="1:9" x14ac:dyDescent="0.25">
      <c r="A94" s="10"/>
      <c r="B94" s="10"/>
      <c r="C94" s="10">
        <v>2019</v>
      </c>
      <c r="D94" s="6">
        <v>4850</v>
      </c>
      <c r="E94" s="11">
        <v>918492750</v>
      </c>
      <c r="F94" s="16">
        <v>428418484105</v>
      </c>
      <c r="G94" s="14">
        <f t="shared" si="2"/>
        <v>466.43643524132335</v>
      </c>
      <c r="H94" s="15">
        <f t="shared" si="3"/>
        <v>10.397987021512852</v>
      </c>
      <c r="I94" s="12"/>
    </row>
    <row r="95" spans="1:9" x14ac:dyDescent="0.25">
      <c r="A95" s="10"/>
      <c r="B95" s="10"/>
      <c r="C95" s="10">
        <v>2020</v>
      </c>
      <c r="D95" s="6">
        <v>7275</v>
      </c>
      <c r="E95" s="11">
        <v>918492750</v>
      </c>
      <c r="F95" s="16">
        <v>478561152411</v>
      </c>
      <c r="G95" s="14">
        <f t="shared" si="2"/>
        <v>521.02877503496893</v>
      </c>
      <c r="H95" s="15">
        <f t="shared" si="3"/>
        <v>13.962760501110015</v>
      </c>
      <c r="I95" s="12"/>
    </row>
    <row r="96" spans="1:9" x14ac:dyDescent="0.25">
      <c r="A96" s="10"/>
      <c r="B96" s="10"/>
      <c r="C96" s="10">
        <v>2021</v>
      </c>
      <c r="D96" s="6">
        <v>7000</v>
      </c>
      <c r="E96" s="11">
        <v>918492750</v>
      </c>
      <c r="F96" s="16">
        <v>481109483989</v>
      </c>
      <c r="G96" s="14">
        <f t="shared" si="2"/>
        <v>523.80324612143102</v>
      </c>
      <c r="H96" s="15">
        <f t="shared" si="3"/>
        <v>13.363796524424785</v>
      </c>
      <c r="I96" s="12"/>
    </row>
    <row r="97" spans="1:9" x14ac:dyDescent="0.25">
      <c r="A97" s="10"/>
      <c r="B97" s="10"/>
      <c r="C97" s="10">
        <v>2022</v>
      </c>
      <c r="D97" s="6">
        <v>7100</v>
      </c>
      <c r="E97" s="11">
        <v>918492750</v>
      </c>
      <c r="F97" s="16">
        <v>478266312889</v>
      </c>
      <c r="G97" s="14">
        <f t="shared" si="2"/>
        <v>520.70777138850576</v>
      </c>
      <c r="H97" s="15">
        <f t="shared" si="3"/>
        <v>13.635287180499198</v>
      </c>
      <c r="I97" s="12"/>
    </row>
    <row r="98" spans="1:9" x14ac:dyDescent="0.25">
      <c r="A98" s="10"/>
      <c r="B98" s="10"/>
      <c r="C98" s="10"/>
      <c r="D98" s="6"/>
      <c r="E98" s="11"/>
      <c r="F98" s="16"/>
      <c r="G98" s="14"/>
      <c r="H98" s="15"/>
      <c r="I98" s="12"/>
    </row>
    <row r="99" spans="1:9" x14ac:dyDescent="0.25">
      <c r="A99" s="10">
        <v>17</v>
      </c>
      <c r="B99" s="10" t="s">
        <v>20</v>
      </c>
      <c r="C99" s="10">
        <v>2018</v>
      </c>
      <c r="D99" s="6">
        <v>1350</v>
      </c>
      <c r="E99" s="11">
        <v>11553528000</v>
      </c>
      <c r="F99" s="16">
        <v>701607000000</v>
      </c>
      <c r="G99" s="14">
        <f t="shared" si="2"/>
        <v>60.726645575273629</v>
      </c>
      <c r="H99" s="15">
        <f t="shared" si="3"/>
        <v>22.230768507155716</v>
      </c>
      <c r="I99" s="12"/>
    </row>
    <row r="100" spans="1:9" x14ac:dyDescent="0.25">
      <c r="A100" s="10"/>
      <c r="B100" s="10"/>
      <c r="C100" s="10">
        <v>2019</v>
      </c>
      <c r="D100" s="6">
        <v>1680</v>
      </c>
      <c r="E100" s="11">
        <v>11553528000</v>
      </c>
      <c r="F100" s="16">
        <v>1035865000000</v>
      </c>
      <c r="G100" s="14">
        <f t="shared" si="2"/>
        <v>89.657894973725774</v>
      </c>
      <c r="H100" s="15">
        <f t="shared" si="3"/>
        <v>18.737892524605041</v>
      </c>
      <c r="I100" s="12"/>
    </row>
    <row r="101" spans="1:9" x14ac:dyDescent="0.25">
      <c r="A101" s="10"/>
      <c r="B101" s="10"/>
      <c r="C101" s="10">
        <v>2020</v>
      </c>
      <c r="D101" s="6">
        <v>1600</v>
      </c>
      <c r="E101" s="11">
        <v>11553528000</v>
      </c>
      <c r="F101" s="16">
        <v>1109666000000</v>
      </c>
      <c r="G101" s="14">
        <f t="shared" si="2"/>
        <v>96.0456407774318</v>
      </c>
      <c r="H101" s="15">
        <f t="shared" si="3"/>
        <v>16.658746685939732</v>
      </c>
      <c r="I101" s="12"/>
    </row>
    <row r="102" spans="1:9" x14ac:dyDescent="0.25">
      <c r="A102" s="10"/>
      <c r="B102" s="10"/>
      <c r="C102" s="10">
        <v>2021</v>
      </c>
      <c r="D102" s="6">
        <v>1570</v>
      </c>
      <c r="E102" s="11">
        <v>11553528000</v>
      </c>
      <c r="F102" s="16">
        <v>1276793000000</v>
      </c>
      <c r="G102" s="14">
        <f t="shared" si="2"/>
        <v>110.51109236936112</v>
      </c>
      <c r="H102" s="15">
        <f t="shared" si="3"/>
        <v>14.20671867718573</v>
      </c>
      <c r="I102" s="12"/>
    </row>
    <row r="103" spans="1:9" x14ac:dyDescent="0.25">
      <c r="A103" s="10"/>
      <c r="B103" s="10"/>
      <c r="C103" s="10">
        <v>2022</v>
      </c>
      <c r="D103" s="6">
        <v>1475</v>
      </c>
      <c r="E103" s="11">
        <v>11553528000</v>
      </c>
      <c r="F103" s="16">
        <v>965486000000</v>
      </c>
      <c r="G103" s="14">
        <f t="shared" si="2"/>
        <v>83.5663357547582</v>
      </c>
      <c r="H103" s="15">
        <f t="shared" si="3"/>
        <v>17.650648274547741</v>
      </c>
      <c r="I103" s="12"/>
    </row>
  </sheetData>
  <mergeCells count="2">
    <mergeCell ref="A1:H1"/>
    <mergeCell ref="J5:K5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3"/>
  <sheetViews>
    <sheetView topLeftCell="A84" workbookViewId="0">
      <selection activeCell="A105" sqref="A105"/>
    </sheetView>
  </sheetViews>
  <sheetFormatPr defaultRowHeight="15" x14ac:dyDescent="0.25"/>
  <cols>
    <col min="2" max="2" width="11.28515625" bestFit="1" customWidth="1"/>
    <col min="3" max="3" width="6.42578125" bestFit="1" customWidth="1"/>
    <col min="4" max="4" width="25.5703125" bestFit="1" customWidth="1"/>
    <col min="5" max="5" width="26.7109375" bestFit="1" customWidth="1"/>
    <col min="6" max="6" width="20.42578125" customWidth="1"/>
    <col min="8" max="8" width="35.140625" bestFit="1" customWidth="1"/>
    <col min="9" max="9" width="14.28515625" bestFit="1" customWidth="1"/>
  </cols>
  <sheetData>
    <row r="1" spans="1:9" ht="25.5" customHeight="1" x14ac:dyDescent="0.25">
      <c r="A1" s="1" t="s">
        <v>38</v>
      </c>
      <c r="B1" s="1"/>
      <c r="C1" s="1"/>
      <c r="D1" s="1"/>
      <c r="E1" s="1"/>
      <c r="F1" s="1"/>
    </row>
    <row r="2" spans="1:9" x14ac:dyDescent="0.25">
      <c r="A2" s="2" t="s">
        <v>0</v>
      </c>
      <c r="B2" s="2" t="s">
        <v>1</v>
      </c>
      <c r="C2" s="2" t="s">
        <v>2</v>
      </c>
      <c r="D2" s="2" t="s">
        <v>28</v>
      </c>
      <c r="E2" s="9" t="s">
        <v>29</v>
      </c>
      <c r="F2" s="2" t="s">
        <v>30</v>
      </c>
    </row>
    <row r="3" spans="1:9" x14ac:dyDescent="0.25">
      <c r="A3" s="3">
        <v>1</v>
      </c>
      <c r="B3" s="4" t="s">
        <v>11</v>
      </c>
      <c r="C3" s="3">
        <v>2018</v>
      </c>
      <c r="D3" s="11">
        <v>835315000000</v>
      </c>
      <c r="E3" s="13">
        <v>1520723000000</v>
      </c>
      <c r="F3" s="17">
        <f>D3/E3</f>
        <v>0.54928806889880666</v>
      </c>
    </row>
    <row r="4" spans="1:9" ht="15.75" thickBot="1" x14ac:dyDescent="0.3">
      <c r="A4" s="3"/>
      <c r="B4" s="4"/>
      <c r="C4" s="3">
        <v>2019</v>
      </c>
      <c r="D4" s="11">
        <v>431130000000</v>
      </c>
      <c r="E4" s="13">
        <v>243629000000</v>
      </c>
      <c r="F4" s="17">
        <f t="shared" ref="F4:F61" si="0">D4/E4</f>
        <v>1.7696169175262386</v>
      </c>
    </row>
    <row r="5" spans="1:9" x14ac:dyDescent="0.25">
      <c r="A5" s="3"/>
      <c r="B5" s="4"/>
      <c r="C5" s="3">
        <v>2020</v>
      </c>
      <c r="D5" s="11">
        <v>175146000000</v>
      </c>
      <c r="E5" s="13">
        <v>893779000000</v>
      </c>
      <c r="F5" s="17">
        <f t="shared" si="0"/>
        <v>0.19596119398643289</v>
      </c>
      <c r="H5" s="7" t="s">
        <v>10</v>
      </c>
      <c r="I5" s="8"/>
    </row>
    <row r="6" spans="1:9" x14ac:dyDescent="0.25">
      <c r="A6" s="3"/>
      <c r="B6" s="4"/>
      <c r="C6" s="3">
        <v>2021</v>
      </c>
      <c r="D6" s="11">
        <v>490795000000</v>
      </c>
      <c r="E6" s="13">
        <v>2067362000000</v>
      </c>
      <c r="F6" s="17">
        <f t="shared" si="0"/>
        <v>0.23740157746925791</v>
      </c>
      <c r="H6" s="21" t="s">
        <v>42</v>
      </c>
      <c r="I6" s="23" t="s">
        <v>28</v>
      </c>
    </row>
    <row r="7" spans="1:9" ht="15.75" thickBot="1" x14ac:dyDescent="0.3">
      <c r="A7" s="3"/>
      <c r="B7" s="4"/>
      <c r="C7" s="3">
        <v>2022</v>
      </c>
      <c r="D7" s="11">
        <v>854562000000</v>
      </c>
      <c r="E7" s="13">
        <v>1792050000000</v>
      </c>
      <c r="F7" s="17">
        <f t="shared" si="0"/>
        <v>0.476862810747468</v>
      </c>
      <c r="H7" s="22"/>
      <c r="I7" s="24" t="s">
        <v>29</v>
      </c>
    </row>
    <row r="8" spans="1:9" x14ac:dyDescent="0.25">
      <c r="A8" s="3"/>
      <c r="B8" s="4"/>
      <c r="C8" s="3"/>
      <c r="D8" s="11"/>
      <c r="E8" s="16"/>
      <c r="F8" s="17"/>
    </row>
    <row r="9" spans="1:9" x14ac:dyDescent="0.25">
      <c r="A9" s="3">
        <v>2</v>
      </c>
      <c r="B9" s="4" t="s">
        <v>12</v>
      </c>
      <c r="C9" s="3">
        <v>2018</v>
      </c>
      <c r="D9" s="11">
        <v>300000000000</v>
      </c>
      <c r="E9" s="16">
        <v>403870000000</v>
      </c>
      <c r="F9" s="17">
        <f t="shared" si="0"/>
        <v>0.7428132815014733</v>
      </c>
    </row>
    <row r="10" spans="1:9" x14ac:dyDescent="0.25">
      <c r="A10" s="3"/>
      <c r="B10" s="4"/>
      <c r="C10" s="3">
        <v>2019</v>
      </c>
      <c r="D10" s="11">
        <v>300000000000</v>
      </c>
      <c r="E10" s="16">
        <v>306952000000</v>
      </c>
      <c r="F10" s="17">
        <f t="shared" si="0"/>
        <v>0.97735150772759261</v>
      </c>
    </row>
    <row r="11" spans="1:9" x14ac:dyDescent="0.25">
      <c r="A11" s="3"/>
      <c r="B11" s="4"/>
      <c r="C11" s="3">
        <v>2020</v>
      </c>
      <c r="D11" s="11">
        <v>114000000000</v>
      </c>
      <c r="E11" s="16">
        <v>275667000000</v>
      </c>
      <c r="F11" s="17">
        <f t="shared" si="0"/>
        <v>0.41354242618811826</v>
      </c>
    </row>
    <row r="12" spans="1:9" x14ac:dyDescent="0.25">
      <c r="A12" s="3"/>
      <c r="B12" s="4"/>
      <c r="C12" s="3">
        <v>2021</v>
      </c>
      <c r="D12" s="11">
        <v>114000000000</v>
      </c>
      <c r="E12" s="16">
        <v>380992000000</v>
      </c>
      <c r="F12" s="17">
        <f t="shared" si="0"/>
        <v>0.29921888123635143</v>
      </c>
    </row>
    <row r="13" spans="1:9" x14ac:dyDescent="0.25">
      <c r="A13" s="3"/>
      <c r="B13" s="4"/>
      <c r="C13" s="3">
        <v>2022</v>
      </c>
      <c r="D13" s="11">
        <v>204000000000</v>
      </c>
      <c r="E13" s="16">
        <v>523242000000</v>
      </c>
      <c r="F13" s="17">
        <f t="shared" si="0"/>
        <v>0.38987695941839529</v>
      </c>
    </row>
    <row r="14" spans="1:9" x14ac:dyDescent="0.25">
      <c r="A14" s="3"/>
      <c r="B14" s="4"/>
      <c r="C14" s="3"/>
      <c r="D14" s="11"/>
      <c r="E14" s="16"/>
      <c r="F14" s="17"/>
    </row>
    <row r="15" spans="1:9" x14ac:dyDescent="0.25">
      <c r="A15" s="3">
        <v>3</v>
      </c>
      <c r="B15" s="4" t="s">
        <v>13</v>
      </c>
      <c r="C15" s="3">
        <v>2018</v>
      </c>
      <c r="D15" s="11">
        <v>17996000000</v>
      </c>
      <c r="E15" s="16">
        <v>50467000000</v>
      </c>
      <c r="F15" s="17">
        <f t="shared" si="0"/>
        <v>0.35658945449501656</v>
      </c>
    </row>
    <row r="16" spans="1:9" x14ac:dyDescent="0.25">
      <c r="A16" s="3"/>
      <c r="B16" s="4"/>
      <c r="C16" s="3">
        <v>2019</v>
      </c>
      <c r="D16" s="11">
        <v>22495000000</v>
      </c>
      <c r="E16" s="16">
        <v>64021000000</v>
      </c>
      <c r="F16" s="17">
        <f t="shared" si="0"/>
        <v>0.3513690820199622</v>
      </c>
    </row>
    <row r="17" spans="1:6" x14ac:dyDescent="0.25">
      <c r="A17" s="3"/>
      <c r="B17" s="4"/>
      <c r="C17" s="3">
        <v>2020</v>
      </c>
      <c r="D17" s="11">
        <v>26994000000</v>
      </c>
      <c r="E17" s="16">
        <v>67093000000</v>
      </c>
      <c r="F17" s="17">
        <f t="shared" si="0"/>
        <v>0.40233705453624075</v>
      </c>
    </row>
    <row r="18" spans="1:6" x14ac:dyDescent="0.25">
      <c r="A18" s="3"/>
      <c r="B18" s="4"/>
      <c r="C18" s="3">
        <v>2021</v>
      </c>
      <c r="D18" s="11">
        <v>26994000000</v>
      </c>
      <c r="E18" s="16">
        <v>91723000000</v>
      </c>
      <c r="F18" s="17">
        <f t="shared" si="0"/>
        <v>0.29429913980135841</v>
      </c>
    </row>
    <row r="19" spans="1:6" x14ac:dyDescent="0.25">
      <c r="A19" s="3"/>
      <c r="B19" s="4"/>
      <c r="C19" s="3">
        <v>2022</v>
      </c>
      <c r="D19" s="11">
        <v>35992000000</v>
      </c>
      <c r="E19" s="16">
        <v>93065000000</v>
      </c>
      <c r="F19" s="17">
        <f t="shared" si="0"/>
        <v>0.38674045022296244</v>
      </c>
    </row>
    <row r="20" spans="1:6" x14ac:dyDescent="0.25">
      <c r="A20" s="3"/>
      <c r="B20" s="4"/>
      <c r="C20" s="3"/>
      <c r="D20" s="11"/>
      <c r="E20" s="16"/>
      <c r="F20" s="17"/>
    </row>
    <row r="21" spans="1:6" x14ac:dyDescent="0.25">
      <c r="A21" s="3">
        <v>4</v>
      </c>
      <c r="B21" s="4" t="s">
        <v>8</v>
      </c>
      <c r="C21" s="3">
        <v>2018</v>
      </c>
      <c r="D21" s="11">
        <v>26775000000</v>
      </c>
      <c r="E21" s="16">
        <v>92649656775</v>
      </c>
      <c r="F21" s="17">
        <f t="shared" si="0"/>
        <v>0.28899189626814459</v>
      </c>
    </row>
    <row r="22" spans="1:6" x14ac:dyDescent="0.25">
      <c r="A22" s="3"/>
      <c r="B22" s="4"/>
      <c r="C22" s="3">
        <v>2019</v>
      </c>
      <c r="D22" s="11">
        <v>59500000000</v>
      </c>
      <c r="E22" s="16">
        <v>215459200242</v>
      </c>
      <c r="F22" s="17">
        <f t="shared" si="0"/>
        <v>0.27615437137597576</v>
      </c>
    </row>
    <row r="23" spans="1:6" x14ac:dyDescent="0.25">
      <c r="A23" s="3"/>
      <c r="B23" s="4"/>
      <c r="C23" s="3">
        <v>2020</v>
      </c>
      <c r="D23" s="11">
        <v>59500000000</v>
      </c>
      <c r="E23" s="16">
        <v>181812593992</v>
      </c>
      <c r="F23" s="17">
        <f t="shared" si="0"/>
        <v>0.32726005769775268</v>
      </c>
    </row>
    <row r="24" spans="1:6" x14ac:dyDescent="0.25">
      <c r="A24" s="3"/>
      <c r="B24" s="4"/>
      <c r="C24" s="3">
        <v>2021</v>
      </c>
      <c r="D24" s="11">
        <v>59500000000</v>
      </c>
      <c r="E24" s="16">
        <v>187066990085</v>
      </c>
      <c r="F24" s="17">
        <f t="shared" si="0"/>
        <v>0.31806787489852822</v>
      </c>
    </row>
    <row r="25" spans="1:6" x14ac:dyDescent="0.25">
      <c r="A25" s="3"/>
      <c r="B25" s="4"/>
      <c r="C25" s="3">
        <v>2022</v>
      </c>
      <c r="D25" s="11">
        <v>59500000000</v>
      </c>
      <c r="E25" s="16">
        <v>220704543072</v>
      </c>
      <c r="F25" s="17">
        <f t="shared" si="0"/>
        <v>0.26959118816412148</v>
      </c>
    </row>
    <row r="26" spans="1:6" x14ac:dyDescent="0.25">
      <c r="A26" s="3"/>
      <c r="B26" s="4"/>
      <c r="C26" s="3"/>
      <c r="D26" s="11"/>
      <c r="E26" s="16"/>
      <c r="F26" s="17"/>
    </row>
    <row r="27" spans="1:6" x14ac:dyDescent="0.25">
      <c r="A27" s="3">
        <v>5</v>
      </c>
      <c r="B27" s="4" t="s">
        <v>14</v>
      </c>
      <c r="C27" s="3">
        <v>2018</v>
      </c>
      <c r="D27" s="11">
        <v>918288000000</v>
      </c>
      <c r="E27" s="16">
        <v>4551485000000</v>
      </c>
      <c r="F27" s="17">
        <f t="shared" si="0"/>
        <v>0.20175569072511498</v>
      </c>
    </row>
    <row r="28" spans="1:6" x14ac:dyDescent="0.25">
      <c r="A28" s="3"/>
      <c r="B28" s="4"/>
      <c r="C28" s="3">
        <v>2019</v>
      </c>
      <c r="D28" s="11">
        <v>1934964000000</v>
      </c>
      <c r="E28" s="16">
        <v>3642226000000</v>
      </c>
      <c r="F28" s="17">
        <f t="shared" si="0"/>
        <v>0.53125863139739271</v>
      </c>
    </row>
    <row r="29" spans="1:6" x14ac:dyDescent="0.25">
      <c r="A29" s="3"/>
      <c r="B29" s="4"/>
      <c r="C29" s="3">
        <v>2020</v>
      </c>
      <c r="D29" s="11">
        <v>1328238000000</v>
      </c>
      <c r="E29" s="16">
        <v>3845833000000</v>
      </c>
      <c r="F29" s="17">
        <f t="shared" si="0"/>
        <v>0.34537069082302846</v>
      </c>
    </row>
    <row r="30" spans="1:6" x14ac:dyDescent="0.25">
      <c r="A30" s="3"/>
      <c r="B30" s="4"/>
      <c r="C30" s="3">
        <v>2021</v>
      </c>
      <c r="D30" s="11">
        <v>1836576000000</v>
      </c>
      <c r="E30" s="16">
        <v>3619010000000</v>
      </c>
      <c r="F30" s="17">
        <f t="shared" si="0"/>
        <v>0.50748022249178648</v>
      </c>
    </row>
    <row r="31" spans="1:6" x14ac:dyDescent="0.25">
      <c r="A31" s="3"/>
      <c r="B31" s="4"/>
      <c r="C31" s="3">
        <v>2022</v>
      </c>
      <c r="D31" s="11">
        <v>1770984000000</v>
      </c>
      <c r="E31" s="16">
        <v>2930357000000</v>
      </c>
      <c r="F31" s="17">
        <f t="shared" si="0"/>
        <v>0.60435776255248086</v>
      </c>
    </row>
    <row r="32" spans="1:6" x14ac:dyDescent="0.25">
      <c r="A32" s="3"/>
      <c r="B32" s="4"/>
      <c r="C32" s="3"/>
      <c r="D32" s="11"/>
      <c r="E32" s="16"/>
      <c r="F32" s="17"/>
    </row>
    <row r="33" spans="1:6" x14ac:dyDescent="0.25">
      <c r="A33" s="3">
        <v>6</v>
      </c>
      <c r="B33" s="4" t="s">
        <v>7</v>
      </c>
      <c r="C33" s="3">
        <v>2018</v>
      </c>
      <c r="D33" s="11">
        <v>208171353000</v>
      </c>
      <c r="E33" s="16">
        <v>338129985000</v>
      </c>
      <c r="F33" s="17">
        <f t="shared" si="0"/>
        <v>0.6156548139319854</v>
      </c>
    </row>
    <row r="34" spans="1:6" x14ac:dyDescent="0.25">
      <c r="A34" s="3"/>
      <c r="B34" s="4"/>
      <c r="C34" s="3">
        <v>2019</v>
      </c>
      <c r="D34" s="11">
        <v>382715026000</v>
      </c>
      <c r="E34" s="16">
        <v>317815177000</v>
      </c>
      <c r="F34" s="17">
        <f t="shared" si="0"/>
        <v>1.2042062610496413</v>
      </c>
    </row>
    <row r="35" spans="1:6" x14ac:dyDescent="0.25">
      <c r="A35" s="3"/>
      <c r="B35" s="4"/>
      <c r="C35" s="3">
        <v>2020</v>
      </c>
      <c r="D35" s="11">
        <v>312257030000</v>
      </c>
      <c r="E35" s="16">
        <v>123465762000</v>
      </c>
      <c r="F35" s="17">
        <f t="shared" si="0"/>
        <v>2.5290981478735781</v>
      </c>
    </row>
    <row r="36" spans="1:6" x14ac:dyDescent="0.25">
      <c r="A36" s="3"/>
      <c r="B36" s="4"/>
      <c r="C36" s="3">
        <v>2021</v>
      </c>
      <c r="D36" s="11">
        <v>200164763000</v>
      </c>
      <c r="E36" s="16">
        <v>187992998000</v>
      </c>
      <c r="F36" s="17">
        <f t="shared" si="0"/>
        <v>1.0647458422892964</v>
      </c>
    </row>
    <row r="37" spans="1:6" x14ac:dyDescent="0.25">
      <c r="A37" s="3"/>
      <c r="B37" s="4"/>
      <c r="C37" s="3">
        <v>2022</v>
      </c>
      <c r="D37" s="11">
        <v>240197715000</v>
      </c>
      <c r="E37" s="16">
        <v>230065807000</v>
      </c>
      <c r="F37" s="17">
        <f t="shared" si="0"/>
        <v>1.0440391735395951</v>
      </c>
    </row>
    <row r="38" spans="1:6" x14ac:dyDescent="0.25">
      <c r="A38" s="3"/>
      <c r="B38" s="4"/>
      <c r="C38" s="3"/>
      <c r="D38" s="11"/>
      <c r="E38" s="16"/>
      <c r="F38" s="17"/>
    </row>
    <row r="39" spans="1:6" x14ac:dyDescent="0.25">
      <c r="A39" s="3">
        <v>7</v>
      </c>
      <c r="B39" s="4" t="s">
        <v>15</v>
      </c>
      <c r="C39" s="3">
        <v>2018</v>
      </c>
      <c r="D39" s="11">
        <v>104584000000</v>
      </c>
      <c r="E39" s="16">
        <v>427245000000</v>
      </c>
      <c r="F39" s="17">
        <f t="shared" si="0"/>
        <v>0.24478694894030356</v>
      </c>
    </row>
    <row r="40" spans="1:6" x14ac:dyDescent="0.25">
      <c r="A40" s="3"/>
      <c r="B40" s="4"/>
      <c r="C40" s="3">
        <v>2019</v>
      </c>
      <c r="D40" s="11">
        <v>104583000000</v>
      </c>
      <c r="E40" s="16">
        <v>178164000000</v>
      </c>
      <c r="F40" s="17">
        <f t="shared" si="0"/>
        <v>0.58700410857412277</v>
      </c>
    </row>
    <row r="41" spans="1:6" x14ac:dyDescent="0.25">
      <c r="A41" s="3"/>
      <c r="B41" s="4"/>
      <c r="C41" s="3">
        <v>2020</v>
      </c>
      <c r="D41" s="11">
        <v>52292000000</v>
      </c>
      <c r="E41" s="16">
        <v>478171000000</v>
      </c>
      <c r="F41" s="17">
        <f t="shared" si="0"/>
        <v>0.10935836761325969</v>
      </c>
    </row>
    <row r="42" spans="1:6" x14ac:dyDescent="0.25">
      <c r="A42" s="3"/>
      <c r="B42" s="4"/>
      <c r="C42" s="3">
        <v>2021</v>
      </c>
      <c r="D42" s="11">
        <v>130730000000</v>
      </c>
      <c r="E42" s="16">
        <v>739649000000</v>
      </c>
      <c r="F42" s="17">
        <f t="shared" si="0"/>
        <v>0.17674599708780786</v>
      </c>
    </row>
    <row r="43" spans="1:6" x14ac:dyDescent="0.25">
      <c r="A43" s="3"/>
      <c r="B43" s="4"/>
      <c r="C43" s="3">
        <v>2022</v>
      </c>
      <c r="D43" s="11">
        <v>211997000000</v>
      </c>
      <c r="E43" s="16">
        <v>1206587000000</v>
      </c>
      <c r="F43" s="17">
        <f t="shared" si="0"/>
        <v>0.17569972161145445</v>
      </c>
    </row>
    <row r="44" spans="1:6" x14ac:dyDescent="0.25">
      <c r="A44" s="3"/>
      <c r="B44" s="4"/>
      <c r="C44" s="3"/>
      <c r="D44" s="11"/>
      <c r="E44" s="16"/>
      <c r="F44" s="17"/>
    </row>
    <row r="45" spans="1:6" x14ac:dyDescent="0.25">
      <c r="A45" s="3">
        <v>8</v>
      </c>
      <c r="B45" s="4" t="s">
        <v>3</v>
      </c>
      <c r="C45" s="3">
        <v>2018</v>
      </c>
      <c r="D45" s="11">
        <v>2585620000000</v>
      </c>
      <c r="E45" s="16">
        <v>4658781000000</v>
      </c>
      <c r="F45" s="17">
        <f t="shared" si="0"/>
        <v>0.55499925838969466</v>
      </c>
    </row>
    <row r="46" spans="1:6" x14ac:dyDescent="0.25">
      <c r="A46" s="3"/>
      <c r="B46" s="4"/>
      <c r="C46" s="3">
        <v>2019</v>
      </c>
      <c r="D46" s="11">
        <v>1597681000000</v>
      </c>
      <c r="E46" s="16">
        <v>5360029000000</v>
      </c>
      <c r="F46" s="17">
        <f t="shared" si="0"/>
        <v>0.2980732007233543</v>
      </c>
    </row>
    <row r="47" spans="1:6" x14ac:dyDescent="0.25">
      <c r="A47" s="3"/>
      <c r="B47" s="4"/>
      <c r="C47" s="3">
        <v>2020</v>
      </c>
      <c r="D47" s="11">
        <v>2507310000000</v>
      </c>
      <c r="E47" s="16">
        <v>7418574000000</v>
      </c>
      <c r="F47" s="17">
        <f t="shared" si="0"/>
        <v>0.33797735252084837</v>
      </c>
    </row>
    <row r="48" spans="1:6" x14ac:dyDescent="0.25">
      <c r="A48" s="3"/>
      <c r="B48" s="4"/>
      <c r="C48" s="3">
        <v>2021</v>
      </c>
      <c r="D48" s="11">
        <v>2507310000000</v>
      </c>
      <c r="E48" s="16">
        <v>7911943000000</v>
      </c>
      <c r="F48" s="17">
        <f t="shared" si="0"/>
        <v>0.31690192914686066</v>
      </c>
    </row>
    <row r="49" spans="1:6" x14ac:dyDescent="0.25">
      <c r="A49" s="3"/>
      <c r="B49" s="4"/>
      <c r="C49" s="3">
        <v>2022</v>
      </c>
      <c r="D49" s="11">
        <v>2507310000000</v>
      </c>
      <c r="E49" s="16">
        <v>5722194000000</v>
      </c>
      <c r="F49" s="17">
        <f t="shared" si="0"/>
        <v>0.43817284069711721</v>
      </c>
    </row>
    <row r="50" spans="1:6" x14ac:dyDescent="0.25">
      <c r="A50" s="3"/>
      <c r="B50" s="4"/>
      <c r="C50" s="3"/>
      <c r="D50" s="11"/>
      <c r="E50" s="16"/>
      <c r="F50" s="17"/>
    </row>
    <row r="51" spans="1:6" x14ac:dyDescent="0.25">
      <c r="A51" s="3">
        <v>9</v>
      </c>
      <c r="B51" s="4" t="s">
        <v>4</v>
      </c>
      <c r="C51" s="3">
        <v>2018</v>
      </c>
      <c r="D51" s="11">
        <v>2651689000000</v>
      </c>
      <c r="E51" s="16">
        <v>4961851000000</v>
      </c>
      <c r="F51" s="17">
        <f t="shared" si="0"/>
        <v>0.53441528171644015</v>
      </c>
    </row>
    <row r="52" spans="1:6" x14ac:dyDescent="0.25">
      <c r="A52" s="3"/>
      <c r="B52" s="4"/>
      <c r="C52" s="3">
        <v>2019</v>
      </c>
      <c r="D52" s="11">
        <v>1501453000000</v>
      </c>
      <c r="E52" s="16">
        <v>5902729000000</v>
      </c>
      <c r="F52" s="17">
        <f t="shared" si="0"/>
        <v>0.25436590431307282</v>
      </c>
    </row>
    <row r="53" spans="1:6" x14ac:dyDescent="0.25">
      <c r="A53" s="3"/>
      <c r="B53" s="4"/>
      <c r="C53" s="3">
        <v>2020</v>
      </c>
      <c r="D53" s="11">
        <v>2440959000000</v>
      </c>
      <c r="E53" s="16">
        <v>8752066000000</v>
      </c>
      <c r="F53" s="17">
        <f t="shared" si="0"/>
        <v>0.27890089037262744</v>
      </c>
    </row>
    <row r="54" spans="1:6" x14ac:dyDescent="0.25">
      <c r="A54" s="3"/>
      <c r="B54" s="4"/>
      <c r="C54" s="3">
        <v>2021</v>
      </c>
      <c r="D54" s="11">
        <v>2440959000000</v>
      </c>
      <c r="E54" s="16">
        <v>11229695000000</v>
      </c>
      <c r="F54" s="17">
        <f t="shared" si="0"/>
        <v>0.21736645563392415</v>
      </c>
    </row>
    <row r="55" spans="1:6" x14ac:dyDescent="0.25">
      <c r="A55" s="3"/>
      <c r="B55" s="4"/>
      <c r="C55" s="3">
        <v>2022</v>
      </c>
      <c r="D55" s="11">
        <v>2440959000000</v>
      </c>
      <c r="E55" s="16">
        <v>9192569000000</v>
      </c>
      <c r="F55" s="17">
        <f t="shared" si="0"/>
        <v>0.265536108567692</v>
      </c>
    </row>
    <row r="56" spans="1:6" x14ac:dyDescent="0.25">
      <c r="A56" s="3"/>
      <c r="B56" s="4"/>
      <c r="C56" s="3"/>
      <c r="D56" s="11"/>
      <c r="E56" s="16"/>
      <c r="F56" s="17"/>
    </row>
    <row r="57" spans="1:6" x14ac:dyDescent="0.25">
      <c r="A57" s="10">
        <v>10</v>
      </c>
      <c r="B57" s="10" t="s">
        <v>16</v>
      </c>
      <c r="C57" s="10">
        <v>2018</v>
      </c>
      <c r="D57" s="11">
        <v>1155915000000</v>
      </c>
      <c r="E57" s="16">
        <v>2088188000000</v>
      </c>
      <c r="F57" s="17">
        <f t="shared" si="0"/>
        <v>0.5535492972854934</v>
      </c>
    </row>
    <row r="58" spans="1:6" x14ac:dyDescent="0.25">
      <c r="A58" s="10"/>
      <c r="B58" s="10"/>
      <c r="C58" s="10">
        <v>2019</v>
      </c>
      <c r="D58" s="11">
        <v>585960000000</v>
      </c>
      <c r="E58" s="16">
        <v>1793914000000</v>
      </c>
      <c r="F58" s="17">
        <f t="shared" si="0"/>
        <v>0.3266377317976224</v>
      </c>
    </row>
    <row r="59" spans="1:6" x14ac:dyDescent="0.25">
      <c r="A59" s="10"/>
      <c r="B59" s="10"/>
      <c r="C59" s="10">
        <v>2020</v>
      </c>
      <c r="D59" s="11">
        <v>233154000000</v>
      </c>
      <c r="E59" s="16">
        <v>1221904000000</v>
      </c>
      <c r="F59" s="17">
        <f t="shared" si="0"/>
        <v>0.19081204415404157</v>
      </c>
    </row>
    <row r="60" spans="1:6" x14ac:dyDescent="0.25">
      <c r="A60" s="10"/>
      <c r="B60" s="10"/>
      <c r="C60" s="10">
        <v>2021</v>
      </c>
      <c r="D60" s="11">
        <v>466308000000</v>
      </c>
      <c r="E60" s="16">
        <v>2130896000000</v>
      </c>
      <c r="F60" s="17">
        <f t="shared" si="0"/>
        <v>0.21883189043482179</v>
      </c>
    </row>
    <row r="61" spans="1:6" x14ac:dyDescent="0.25">
      <c r="A61" s="10"/>
      <c r="B61" s="10"/>
      <c r="C61" s="10">
        <v>2022</v>
      </c>
      <c r="D61" s="11">
        <v>697219000000</v>
      </c>
      <c r="E61" s="16">
        <v>1490931000000</v>
      </c>
      <c r="F61" s="17">
        <f t="shared" si="0"/>
        <v>0.46764001821680545</v>
      </c>
    </row>
    <row r="62" spans="1:6" x14ac:dyDescent="0.25">
      <c r="A62" s="10"/>
      <c r="B62" s="10"/>
      <c r="C62" s="10"/>
      <c r="D62" s="11"/>
      <c r="E62" s="16"/>
      <c r="F62" s="17"/>
    </row>
    <row r="63" spans="1:6" x14ac:dyDescent="0.25">
      <c r="A63" s="10">
        <v>11</v>
      </c>
      <c r="B63" s="10" t="s">
        <v>17</v>
      </c>
      <c r="C63" s="10">
        <v>2018</v>
      </c>
      <c r="D63" s="11">
        <v>306898000000</v>
      </c>
      <c r="E63" s="16">
        <v>329426000000</v>
      </c>
      <c r="F63" s="17">
        <f t="shared" ref="F63:F103" si="1">D63/E63</f>
        <v>0.93161438380698547</v>
      </c>
    </row>
    <row r="64" spans="1:6" x14ac:dyDescent="0.25">
      <c r="A64" s="10"/>
      <c r="B64" s="10"/>
      <c r="C64" s="10">
        <v>2019</v>
      </c>
      <c r="D64" s="11">
        <v>129579000000</v>
      </c>
      <c r="E64" s="16">
        <v>252630000000</v>
      </c>
      <c r="F64" s="17">
        <f t="shared" si="1"/>
        <v>0.51292008075050466</v>
      </c>
    </row>
    <row r="65" spans="1:6" x14ac:dyDescent="0.25">
      <c r="A65" s="10"/>
      <c r="B65" s="10"/>
      <c r="C65" s="10">
        <v>2020</v>
      </c>
      <c r="D65" s="11">
        <v>102299000000</v>
      </c>
      <c r="E65" s="16">
        <v>695490000000</v>
      </c>
      <c r="F65" s="17">
        <f t="shared" si="1"/>
        <v>0.1470891026470546</v>
      </c>
    </row>
    <row r="66" spans="1:6" x14ac:dyDescent="0.25">
      <c r="A66" s="10"/>
      <c r="B66" s="10"/>
      <c r="C66" s="10">
        <v>2021</v>
      </c>
      <c r="D66" s="11">
        <v>136399000000</v>
      </c>
      <c r="E66" s="16">
        <v>991630000000</v>
      </c>
      <c r="F66" s="17">
        <f t="shared" si="1"/>
        <v>0.13755029597733026</v>
      </c>
    </row>
    <row r="67" spans="1:6" x14ac:dyDescent="0.25">
      <c r="A67" s="10"/>
      <c r="B67" s="10"/>
      <c r="C67" s="10">
        <v>2022</v>
      </c>
      <c r="D67" s="11">
        <v>347818000000</v>
      </c>
      <c r="E67" s="16">
        <v>1035285000000</v>
      </c>
      <c r="F67" s="17">
        <f t="shared" si="1"/>
        <v>0.33596352695151577</v>
      </c>
    </row>
    <row r="68" spans="1:6" x14ac:dyDescent="0.25">
      <c r="A68" s="10"/>
      <c r="B68" s="10"/>
      <c r="C68" s="10"/>
      <c r="D68" s="11"/>
      <c r="E68" s="16"/>
      <c r="F68" s="17"/>
    </row>
    <row r="69" spans="1:6" x14ac:dyDescent="0.25">
      <c r="A69" s="10">
        <v>12</v>
      </c>
      <c r="B69" s="10" t="s">
        <v>5</v>
      </c>
      <c r="C69" s="10">
        <v>2018</v>
      </c>
      <c r="D69" s="11">
        <v>603684892575</v>
      </c>
      <c r="E69" s="16">
        <v>1760434280304</v>
      </c>
      <c r="F69" s="17">
        <f t="shared" si="1"/>
        <v>0.3429181647557743</v>
      </c>
    </row>
    <row r="70" spans="1:6" x14ac:dyDescent="0.25">
      <c r="A70" s="10"/>
      <c r="B70" s="10"/>
      <c r="C70" s="10">
        <v>2019</v>
      </c>
      <c r="D70" s="11">
        <v>648402202025</v>
      </c>
      <c r="E70" s="16">
        <v>2051404206764</v>
      </c>
      <c r="F70" s="17">
        <f t="shared" si="1"/>
        <v>0.3160772508348445</v>
      </c>
    </row>
    <row r="71" spans="1:6" x14ac:dyDescent="0.25">
      <c r="A71" s="10"/>
      <c r="B71" s="10"/>
      <c r="C71" s="10">
        <v>2020</v>
      </c>
      <c r="D71" s="11">
        <v>670760991750</v>
      </c>
      <c r="E71" s="16">
        <v>2098168514645</v>
      </c>
      <c r="F71" s="17">
        <f t="shared" si="1"/>
        <v>0.31968880815251843</v>
      </c>
    </row>
    <row r="72" spans="1:6" x14ac:dyDescent="0.25">
      <c r="A72" s="10"/>
      <c r="B72" s="10"/>
      <c r="C72" s="10">
        <v>2021</v>
      </c>
      <c r="D72" s="11">
        <v>1162652385700</v>
      </c>
      <c r="E72" s="16">
        <v>1211052647953</v>
      </c>
      <c r="F72" s="17">
        <f t="shared" si="1"/>
        <v>0.96003455148311734</v>
      </c>
    </row>
    <row r="73" spans="1:6" x14ac:dyDescent="0.25">
      <c r="A73" s="10"/>
      <c r="B73" s="10"/>
      <c r="C73" s="10">
        <v>2022</v>
      </c>
      <c r="D73" s="11">
        <v>469532694225</v>
      </c>
      <c r="E73" s="16">
        <v>1970064538149</v>
      </c>
      <c r="F73" s="17">
        <f t="shared" si="1"/>
        <v>0.238333661224193</v>
      </c>
    </row>
    <row r="74" spans="1:6" x14ac:dyDescent="0.25">
      <c r="A74" s="10"/>
      <c r="B74" s="10"/>
      <c r="C74" s="10"/>
      <c r="D74" s="11"/>
      <c r="E74" s="16"/>
      <c r="F74" s="17"/>
    </row>
    <row r="75" spans="1:6" x14ac:dyDescent="0.25">
      <c r="A75" s="10">
        <v>13</v>
      </c>
      <c r="B75" s="10" t="s">
        <v>6</v>
      </c>
      <c r="C75" s="10">
        <v>2018</v>
      </c>
      <c r="D75" s="11">
        <v>36005365328</v>
      </c>
      <c r="E75" s="16">
        <v>127171436363</v>
      </c>
      <c r="F75" s="17">
        <f t="shared" si="1"/>
        <v>0.28312462576286201</v>
      </c>
    </row>
    <row r="76" spans="1:6" x14ac:dyDescent="0.25">
      <c r="A76" s="10"/>
      <c r="B76" s="10"/>
      <c r="C76" s="10">
        <v>2019</v>
      </c>
      <c r="D76" s="11">
        <v>59724779679</v>
      </c>
      <c r="E76" s="16">
        <v>236518557420</v>
      </c>
      <c r="F76" s="17">
        <f t="shared" si="1"/>
        <v>0.25251625213045409</v>
      </c>
    </row>
    <row r="77" spans="1:6" x14ac:dyDescent="0.25">
      <c r="A77" s="10"/>
      <c r="B77" s="10"/>
      <c r="C77" s="10">
        <v>2020</v>
      </c>
      <c r="D77" s="11">
        <v>149528741987</v>
      </c>
      <c r="E77" s="16">
        <v>168610282478</v>
      </c>
      <c r="F77" s="17">
        <f t="shared" si="1"/>
        <v>0.88683050517106077</v>
      </c>
    </row>
    <row r="78" spans="1:6" x14ac:dyDescent="0.25">
      <c r="A78" s="10"/>
      <c r="B78" s="10"/>
      <c r="C78" s="10">
        <v>2021</v>
      </c>
      <c r="D78" s="11">
        <v>297289648543</v>
      </c>
      <c r="E78" s="16">
        <v>283602993676</v>
      </c>
      <c r="F78" s="17">
        <f t="shared" si="1"/>
        <v>1.0482599097054532</v>
      </c>
    </row>
    <row r="79" spans="1:6" x14ac:dyDescent="0.25">
      <c r="A79" s="10"/>
      <c r="B79" s="10"/>
      <c r="C79" s="10">
        <v>2022</v>
      </c>
      <c r="D79" s="11">
        <v>346139578657</v>
      </c>
      <c r="E79" s="16">
        <v>432247722254</v>
      </c>
      <c r="F79" s="17">
        <f t="shared" si="1"/>
        <v>0.80078982684285693</v>
      </c>
    </row>
    <row r="80" spans="1:6" x14ac:dyDescent="0.25">
      <c r="A80" s="10"/>
      <c r="B80" s="10"/>
      <c r="C80" s="10"/>
      <c r="D80" s="11"/>
      <c r="E80" s="16"/>
      <c r="F80" s="17"/>
    </row>
    <row r="81" spans="1:6" x14ac:dyDescent="0.25">
      <c r="A81" s="10">
        <v>14</v>
      </c>
      <c r="B81" s="10" t="s">
        <v>9</v>
      </c>
      <c r="C81" s="10">
        <v>2018</v>
      </c>
      <c r="D81" s="11">
        <v>4351665150</v>
      </c>
      <c r="E81" s="16">
        <v>31954131252</v>
      </c>
      <c r="F81" s="17">
        <f t="shared" si="1"/>
        <v>0.13618474292671093</v>
      </c>
    </row>
    <row r="82" spans="1:6" x14ac:dyDescent="0.25">
      <c r="A82" s="10"/>
      <c r="B82" s="10"/>
      <c r="C82" s="10">
        <v>2019</v>
      </c>
      <c r="D82" s="11">
        <v>5594998050</v>
      </c>
      <c r="E82" s="16">
        <v>44943627900</v>
      </c>
      <c r="F82" s="17">
        <f t="shared" si="1"/>
        <v>0.12448923932996517</v>
      </c>
    </row>
    <row r="83" spans="1:6" x14ac:dyDescent="0.25">
      <c r="A83" s="10"/>
      <c r="B83" s="10"/>
      <c r="C83" s="10">
        <v>2020</v>
      </c>
      <c r="D83" s="11">
        <v>9324996750</v>
      </c>
      <c r="E83" s="16">
        <v>42520246722</v>
      </c>
      <c r="F83" s="17">
        <f t="shared" si="1"/>
        <v>0.21930721171416068</v>
      </c>
    </row>
    <row r="84" spans="1:6" x14ac:dyDescent="0.25">
      <c r="A84" s="10"/>
      <c r="B84" s="10"/>
      <c r="C84" s="10">
        <v>2021</v>
      </c>
      <c r="D84" s="11">
        <v>9324996750</v>
      </c>
      <c r="E84" s="16">
        <v>84524160228</v>
      </c>
      <c r="F84" s="17">
        <f t="shared" si="1"/>
        <v>0.11032344745982987</v>
      </c>
    </row>
    <row r="85" spans="1:6" x14ac:dyDescent="0.25">
      <c r="A85" s="10"/>
      <c r="B85" s="10"/>
      <c r="C85" s="10">
        <v>2022</v>
      </c>
      <c r="D85" s="11">
        <v>29841405600</v>
      </c>
      <c r="E85" s="16">
        <v>74865302076</v>
      </c>
      <c r="F85" s="17">
        <f t="shared" si="1"/>
        <v>0.39860128487435076</v>
      </c>
    </row>
    <row r="86" spans="1:6" x14ac:dyDescent="0.25">
      <c r="A86" s="10"/>
      <c r="B86" s="10"/>
      <c r="C86" s="10"/>
      <c r="D86" s="11"/>
      <c r="E86" s="16"/>
      <c r="F86" s="17"/>
    </row>
    <row r="87" spans="1:6" x14ac:dyDescent="0.25">
      <c r="A87" s="10">
        <v>15</v>
      </c>
      <c r="B87" s="10" t="s">
        <v>18</v>
      </c>
      <c r="C87" s="10">
        <v>2018</v>
      </c>
      <c r="D87" s="11">
        <v>240393000000</v>
      </c>
      <c r="E87" s="16">
        <v>764380000000</v>
      </c>
      <c r="F87" s="17">
        <f t="shared" si="1"/>
        <v>0.31449409979329651</v>
      </c>
    </row>
    <row r="88" spans="1:6" x14ac:dyDescent="0.25">
      <c r="A88" s="10"/>
      <c r="B88" s="10"/>
      <c r="C88" s="10">
        <v>2019</v>
      </c>
      <c r="D88" s="11">
        <v>133552000000</v>
      </c>
      <c r="E88" s="16">
        <v>661034000000</v>
      </c>
      <c r="F88" s="17">
        <f t="shared" si="1"/>
        <v>0.20203499366144556</v>
      </c>
    </row>
    <row r="89" spans="1:6" x14ac:dyDescent="0.25">
      <c r="A89" s="10"/>
      <c r="B89" s="10"/>
      <c r="C89" s="10">
        <v>2020</v>
      </c>
      <c r="D89" s="11">
        <v>131941000000</v>
      </c>
      <c r="E89" s="16">
        <v>680730000000</v>
      </c>
      <c r="F89" s="17">
        <f t="shared" si="1"/>
        <v>0.19382280786802403</v>
      </c>
    </row>
    <row r="90" spans="1:6" x14ac:dyDescent="0.25">
      <c r="A90" s="10"/>
      <c r="B90" s="10"/>
      <c r="C90" s="10">
        <v>2021</v>
      </c>
      <c r="D90" s="11">
        <v>131921000000</v>
      </c>
      <c r="E90" s="16">
        <v>791916000000</v>
      </c>
      <c r="F90" s="17">
        <f t="shared" si="1"/>
        <v>0.16658458725420372</v>
      </c>
    </row>
    <row r="91" spans="1:6" x14ac:dyDescent="0.25">
      <c r="A91" s="10"/>
      <c r="B91" s="10"/>
      <c r="C91" s="10">
        <v>2022</v>
      </c>
      <c r="D91" s="11">
        <v>474913000000</v>
      </c>
      <c r="E91" s="16">
        <v>801440000000</v>
      </c>
      <c r="F91" s="17">
        <f t="shared" si="1"/>
        <v>0.59257461569175485</v>
      </c>
    </row>
    <row r="92" spans="1:6" x14ac:dyDescent="0.25">
      <c r="A92" s="10"/>
      <c r="B92" s="10"/>
      <c r="C92" s="10"/>
      <c r="D92" s="11"/>
      <c r="E92" s="16"/>
      <c r="F92" s="17"/>
    </row>
    <row r="93" spans="1:6" x14ac:dyDescent="0.25">
      <c r="A93" s="10">
        <v>16</v>
      </c>
      <c r="B93" s="10" t="s">
        <v>19</v>
      </c>
      <c r="C93" s="10">
        <v>2018</v>
      </c>
      <c r="D93" s="11">
        <v>146958840000</v>
      </c>
      <c r="E93" s="16">
        <v>318607055495</v>
      </c>
      <c r="F93" s="17">
        <f t="shared" si="1"/>
        <v>0.46125419216369573</v>
      </c>
    </row>
    <row r="94" spans="1:6" x14ac:dyDescent="0.25">
      <c r="A94" s="10"/>
      <c r="B94" s="10"/>
      <c r="C94" s="10">
        <v>2019</v>
      </c>
      <c r="D94" s="11">
        <v>219519767250</v>
      </c>
      <c r="E94" s="16">
        <v>428418484105</v>
      </c>
      <c r="F94" s="17">
        <f t="shared" si="1"/>
        <v>0.51239564910135493</v>
      </c>
    </row>
    <row r="95" spans="1:6" x14ac:dyDescent="0.25">
      <c r="A95" s="10"/>
      <c r="B95" s="10"/>
      <c r="C95" s="10">
        <v>2020</v>
      </c>
      <c r="D95" s="11">
        <v>261770433750</v>
      </c>
      <c r="E95" s="16">
        <v>478561152411</v>
      </c>
      <c r="F95" s="17">
        <f t="shared" si="1"/>
        <v>0.54699474128059844</v>
      </c>
    </row>
    <row r="96" spans="1:6" x14ac:dyDescent="0.25">
      <c r="A96" s="10"/>
      <c r="B96" s="10"/>
      <c r="C96" s="10">
        <v>2021</v>
      </c>
      <c r="D96" s="11">
        <v>330657390000</v>
      </c>
      <c r="E96" s="16">
        <v>481109483989</v>
      </c>
      <c r="F96" s="17">
        <f t="shared" si="1"/>
        <v>0.68728096411327466</v>
      </c>
    </row>
    <row r="97" spans="1:6" x14ac:dyDescent="0.25">
      <c r="A97" s="10"/>
      <c r="B97" s="10"/>
      <c r="C97" s="10">
        <v>2022</v>
      </c>
      <c r="D97" s="11">
        <v>270955361250</v>
      </c>
      <c r="E97" s="16">
        <v>478266312889</v>
      </c>
      <c r="F97" s="17">
        <f t="shared" si="1"/>
        <v>0.56653658003482588</v>
      </c>
    </row>
    <row r="98" spans="1:6" x14ac:dyDescent="0.25">
      <c r="A98" s="10"/>
      <c r="B98" s="10"/>
      <c r="C98" s="10"/>
      <c r="D98" s="11"/>
      <c r="E98" s="16"/>
      <c r="F98" s="17"/>
    </row>
    <row r="99" spans="1:6" x14ac:dyDescent="0.25">
      <c r="A99" s="10">
        <v>17</v>
      </c>
      <c r="B99" s="10" t="s">
        <v>20</v>
      </c>
      <c r="C99" s="10">
        <v>2018</v>
      </c>
      <c r="D99" s="11">
        <v>115535000000</v>
      </c>
      <c r="E99" s="16">
        <v>701607000000</v>
      </c>
      <c r="F99" s="17">
        <f t="shared" si="1"/>
        <v>0.16467196022844699</v>
      </c>
    </row>
    <row r="100" spans="1:6" x14ac:dyDescent="0.25">
      <c r="A100" s="10"/>
      <c r="B100" s="10"/>
      <c r="C100" s="10">
        <v>2019</v>
      </c>
      <c r="D100" s="11">
        <v>138642000000</v>
      </c>
      <c r="E100" s="16">
        <v>1035865000000</v>
      </c>
      <c r="F100" s="17">
        <f t="shared" si="1"/>
        <v>0.13384176509487239</v>
      </c>
    </row>
    <row r="101" spans="1:6" x14ac:dyDescent="0.25">
      <c r="A101" s="10"/>
      <c r="B101" s="10"/>
      <c r="C101" s="10">
        <v>2020</v>
      </c>
      <c r="D101" s="11">
        <v>124778000000</v>
      </c>
      <c r="E101" s="16">
        <v>1109666000000</v>
      </c>
      <c r="F101" s="17">
        <f t="shared" si="1"/>
        <v>0.11244644785007381</v>
      </c>
    </row>
    <row r="102" spans="1:6" x14ac:dyDescent="0.25">
      <c r="A102" s="10"/>
      <c r="B102" s="10"/>
      <c r="C102" s="10">
        <v>2021</v>
      </c>
      <c r="D102" s="11">
        <v>883845000000</v>
      </c>
      <c r="E102" s="16">
        <v>1276793000000</v>
      </c>
      <c r="F102" s="17">
        <f t="shared" si="1"/>
        <v>0.6922382876472537</v>
      </c>
    </row>
    <row r="103" spans="1:6" x14ac:dyDescent="0.25">
      <c r="A103" s="10"/>
      <c r="B103" s="10"/>
      <c r="C103" s="10">
        <v>2022</v>
      </c>
      <c r="D103" s="11">
        <v>259954000000</v>
      </c>
      <c r="E103" s="16">
        <v>965486000000</v>
      </c>
      <c r="F103" s="17">
        <f t="shared" si="1"/>
        <v>0.26924678348520847</v>
      </c>
    </row>
  </sheetData>
  <mergeCells count="2">
    <mergeCell ref="A1:F1"/>
    <mergeCell ref="H5:I5"/>
  </mergeCells>
  <pageMargins left="0.7" right="0.7" top="0.75" bottom="0.75" header="0.3" footer="0.3"/>
  <pageSetup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3"/>
  <sheetViews>
    <sheetView topLeftCell="A85" workbookViewId="0">
      <selection activeCell="A106" sqref="A106"/>
    </sheetView>
  </sheetViews>
  <sheetFormatPr defaultRowHeight="15" x14ac:dyDescent="0.25"/>
  <cols>
    <col min="2" max="2" width="11.28515625" bestFit="1" customWidth="1"/>
    <col min="3" max="3" width="6.42578125" bestFit="1" customWidth="1"/>
    <col min="4" max="4" width="25.5703125" bestFit="1" customWidth="1"/>
    <col min="5" max="5" width="26.7109375" bestFit="1" customWidth="1"/>
    <col min="6" max="8" width="20.42578125" customWidth="1"/>
    <col min="10" max="10" width="29.7109375" bestFit="1" customWidth="1"/>
    <col min="11" max="11" width="22.42578125" bestFit="1" customWidth="1"/>
  </cols>
  <sheetData>
    <row r="1" spans="1:11" ht="25.5" customHeight="1" x14ac:dyDescent="0.25">
      <c r="A1" s="20" t="s">
        <v>39</v>
      </c>
      <c r="B1" s="20"/>
      <c r="C1" s="20"/>
      <c r="D1" s="20"/>
      <c r="E1" s="20"/>
      <c r="F1" s="20"/>
      <c r="G1" s="20"/>
      <c r="H1" s="20"/>
    </row>
    <row r="2" spans="1:11" x14ac:dyDescent="0.25">
      <c r="A2" s="2" t="s">
        <v>0</v>
      </c>
      <c r="B2" s="2" t="s">
        <v>1</v>
      </c>
      <c r="C2" s="2" t="s">
        <v>2</v>
      </c>
      <c r="D2" s="2" t="s">
        <v>31</v>
      </c>
      <c r="E2" s="9" t="s">
        <v>24</v>
      </c>
      <c r="F2" s="2" t="s">
        <v>22</v>
      </c>
      <c r="G2" s="2" t="s">
        <v>32</v>
      </c>
      <c r="H2" s="2" t="s">
        <v>33</v>
      </c>
    </row>
    <row r="3" spans="1:11" x14ac:dyDescent="0.25">
      <c r="A3" s="3">
        <v>1</v>
      </c>
      <c r="B3" s="4" t="s">
        <v>11</v>
      </c>
      <c r="C3" s="3">
        <v>2018</v>
      </c>
      <c r="D3" s="11">
        <v>11825</v>
      </c>
      <c r="E3" s="13">
        <v>19474522000000</v>
      </c>
      <c r="F3" s="5">
        <v>1924688333</v>
      </c>
      <c r="G3" s="5">
        <f>E3/F3</f>
        <v>10118.273003528411</v>
      </c>
      <c r="H3" s="17">
        <f>D3/G3</f>
        <v>1.1686776978518394</v>
      </c>
    </row>
    <row r="4" spans="1:11" ht="15.75" thickBot="1" x14ac:dyDescent="0.3">
      <c r="A4" s="3"/>
      <c r="B4" s="4"/>
      <c r="C4" s="3">
        <v>2019</v>
      </c>
      <c r="D4" s="11">
        <v>14575</v>
      </c>
      <c r="E4" s="13">
        <v>18978527000000</v>
      </c>
      <c r="F4" s="5">
        <v>1924688333</v>
      </c>
      <c r="G4" s="5">
        <f t="shared" ref="G4:G61" si="0">E4/F4</f>
        <v>9860.5715401299731</v>
      </c>
      <c r="H4" s="17">
        <f t="shared" ref="H4:H61" si="1">D4/G4</f>
        <v>1.478109046791408</v>
      </c>
    </row>
    <row r="5" spans="1:11" x14ac:dyDescent="0.25">
      <c r="A5" s="3"/>
      <c r="B5" s="4"/>
      <c r="C5" s="3">
        <v>2020</v>
      </c>
      <c r="D5" s="11">
        <v>12325</v>
      </c>
      <c r="E5" s="13">
        <v>19247794000000</v>
      </c>
      <c r="F5" s="5">
        <v>1924688333</v>
      </c>
      <c r="G5" s="5">
        <f t="shared" si="0"/>
        <v>10000.473151930308</v>
      </c>
      <c r="H5" s="17">
        <f t="shared" si="1"/>
        <v>1.2324416867836907</v>
      </c>
      <c r="J5" s="7" t="s">
        <v>10</v>
      </c>
      <c r="K5" s="8"/>
    </row>
    <row r="6" spans="1:11" x14ac:dyDescent="0.25">
      <c r="A6" s="3"/>
      <c r="B6" s="4"/>
      <c r="C6" s="3">
        <v>2021</v>
      </c>
      <c r="D6" s="11">
        <v>9500</v>
      </c>
      <c r="E6" s="13">
        <v>21171173000000</v>
      </c>
      <c r="F6" s="5">
        <v>1924688333</v>
      </c>
      <c r="G6" s="5">
        <f t="shared" si="0"/>
        <v>10999.792868802098</v>
      </c>
      <c r="H6" s="17">
        <f t="shared" si="1"/>
        <v>0.8636526263093689</v>
      </c>
      <c r="J6" s="21" t="s">
        <v>44</v>
      </c>
      <c r="K6" s="23" t="s">
        <v>45</v>
      </c>
    </row>
    <row r="7" spans="1:11" ht="15.75" thickBot="1" x14ac:dyDescent="0.3">
      <c r="A7" s="3"/>
      <c r="B7" s="4"/>
      <c r="C7" s="3">
        <v>2022</v>
      </c>
      <c r="D7" s="11">
        <v>8025</v>
      </c>
      <c r="E7" s="13">
        <v>22243221000000</v>
      </c>
      <c r="F7" s="5">
        <v>1924688333</v>
      </c>
      <c r="G7" s="5">
        <f t="shared" si="0"/>
        <v>11556.79110151285</v>
      </c>
      <c r="H7" s="17">
        <f t="shared" si="1"/>
        <v>0.69439690736899118</v>
      </c>
      <c r="J7" s="22"/>
      <c r="K7" s="24" t="s">
        <v>32</v>
      </c>
    </row>
    <row r="8" spans="1:11" x14ac:dyDescent="0.25">
      <c r="A8" s="3"/>
      <c r="B8" s="4"/>
      <c r="C8" s="3"/>
      <c r="D8" s="11"/>
      <c r="E8" s="16"/>
      <c r="F8" s="5"/>
      <c r="G8" s="5"/>
      <c r="H8" s="17"/>
    </row>
    <row r="9" spans="1:11" x14ac:dyDescent="0.25">
      <c r="A9" s="3">
        <v>2</v>
      </c>
      <c r="B9" s="4" t="s">
        <v>12</v>
      </c>
      <c r="C9" s="3">
        <v>2018</v>
      </c>
      <c r="D9" s="11">
        <v>1675</v>
      </c>
      <c r="E9" s="16">
        <v>2309930000000</v>
      </c>
      <c r="F9" s="5">
        <v>3000000000</v>
      </c>
      <c r="G9" s="5">
        <f t="shared" si="0"/>
        <v>769.97666666666669</v>
      </c>
      <c r="H9" s="17">
        <f t="shared" si="1"/>
        <v>2.1753905962518343</v>
      </c>
    </row>
    <row r="10" spans="1:11" x14ac:dyDescent="0.25">
      <c r="A10" s="3"/>
      <c r="B10" s="4"/>
      <c r="C10" s="3">
        <v>2019</v>
      </c>
      <c r="D10" s="11">
        <v>1050</v>
      </c>
      <c r="E10" s="16">
        <v>2316586000000</v>
      </c>
      <c r="F10" s="5">
        <v>3000000000</v>
      </c>
      <c r="G10" s="5">
        <f t="shared" si="0"/>
        <v>772.19533333333334</v>
      </c>
      <c r="H10" s="17">
        <f t="shared" si="1"/>
        <v>1.3597595772399558</v>
      </c>
    </row>
    <row r="11" spans="1:11" x14ac:dyDescent="0.25">
      <c r="A11" s="3"/>
      <c r="B11" s="4"/>
      <c r="C11" s="3">
        <v>2020</v>
      </c>
      <c r="D11" s="11">
        <v>1030</v>
      </c>
      <c r="E11" s="16">
        <v>2458387000000</v>
      </c>
      <c r="F11" s="5">
        <v>3000000000</v>
      </c>
      <c r="G11" s="5">
        <f t="shared" si="0"/>
        <v>819.46233333333328</v>
      </c>
      <c r="H11" s="17">
        <f t="shared" si="1"/>
        <v>1.2569217133022588</v>
      </c>
    </row>
    <row r="12" spans="1:11" x14ac:dyDescent="0.25">
      <c r="A12" s="3"/>
      <c r="B12" s="4"/>
      <c r="C12" s="3">
        <v>2021</v>
      </c>
      <c r="D12" s="11">
        <v>995</v>
      </c>
      <c r="E12" s="16">
        <v>2728045000000</v>
      </c>
      <c r="F12" s="5">
        <v>3000000000</v>
      </c>
      <c r="G12" s="5">
        <f t="shared" si="0"/>
        <v>909.34833333333336</v>
      </c>
      <c r="H12" s="17">
        <f t="shared" si="1"/>
        <v>1.0941901618191783</v>
      </c>
    </row>
    <row r="13" spans="1:11" x14ac:dyDescent="0.25">
      <c r="A13" s="3"/>
      <c r="B13" s="4"/>
      <c r="C13" s="3">
        <v>2022</v>
      </c>
      <c r="D13" s="11">
        <v>1600</v>
      </c>
      <c r="E13" s="16">
        <v>3050250000000</v>
      </c>
      <c r="F13" s="5">
        <v>3000000000</v>
      </c>
      <c r="G13" s="5">
        <f t="shared" si="0"/>
        <v>1016.75</v>
      </c>
      <c r="H13" s="17">
        <f t="shared" si="1"/>
        <v>1.573641504794689</v>
      </c>
    </row>
    <row r="14" spans="1:11" x14ac:dyDescent="0.25">
      <c r="A14" s="3"/>
      <c r="B14" s="4"/>
      <c r="C14" s="3"/>
      <c r="D14" s="11"/>
      <c r="E14" s="16"/>
      <c r="F14" s="5"/>
      <c r="G14" s="5"/>
      <c r="H14" s="17"/>
    </row>
    <row r="15" spans="1:11" x14ac:dyDescent="0.25">
      <c r="A15" s="3">
        <v>3</v>
      </c>
      <c r="B15" s="4" t="s">
        <v>13</v>
      </c>
      <c r="C15" s="3">
        <v>2018</v>
      </c>
      <c r="D15" s="11">
        <v>96</v>
      </c>
      <c r="E15" s="16">
        <v>1226484000000</v>
      </c>
      <c r="F15" s="5">
        <v>4498997362</v>
      </c>
      <c r="G15" s="5">
        <f t="shared" si="0"/>
        <v>272.61274042062888</v>
      </c>
      <c r="H15" s="17">
        <f t="shared" si="1"/>
        <v>0.35214788513506901</v>
      </c>
    </row>
    <row r="16" spans="1:11" x14ac:dyDescent="0.25">
      <c r="A16" s="3"/>
      <c r="B16" s="4"/>
      <c r="C16" s="3">
        <v>2019</v>
      </c>
      <c r="D16" s="11">
        <v>103</v>
      </c>
      <c r="E16" s="16">
        <v>1285318000000</v>
      </c>
      <c r="F16" s="5">
        <v>4498997362</v>
      </c>
      <c r="G16" s="5">
        <f t="shared" si="0"/>
        <v>285.68987633916288</v>
      </c>
      <c r="H16" s="17">
        <f t="shared" si="1"/>
        <v>0.36053080116049102</v>
      </c>
    </row>
    <row r="17" spans="1:8" x14ac:dyDescent="0.25">
      <c r="A17" s="3"/>
      <c r="B17" s="4"/>
      <c r="C17" s="3">
        <v>2020</v>
      </c>
      <c r="D17" s="11">
        <v>99</v>
      </c>
      <c r="E17" s="16">
        <v>1322156000000</v>
      </c>
      <c r="F17" s="5">
        <v>4498997362</v>
      </c>
      <c r="G17" s="5">
        <f t="shared" si="0"/>
        <v>293.87792292730842</v>
      </c>
      <c r="H17" s="17">
        <f t="shared" si="1"/>
        <v>0.33687457367965656</v>
      </c>
    </row>
    <row r="18" spans="1:8" x14ac:dyDescent="0.25">
      <c r="A18" s="3"/>
      <c r="B18" s="4"/>
      <c r="C18" s="3">
        <v>2021</v>
      </c>
      <c r="D18" s="11">
        <v>179</v>
      </c>
      <c r="E18" s="16">
        <v>1387697000000</v>
      </c>
      <c r="F18" s="5">
        <v>4498997362</v>
      </c>
      <c r="G18" s="5">
        <f t="shared" si="0"/>
        <v>308.44583544790265</v>
      </c>
      <c r="H18" s="17">
        <f t="shared" si="1"/>
        <v>0.58032879497325418</v>
      </c>
    </row>
    <row r="19" spans="1:8" x14ac:dyDescent="0.25">
      <c r="A19" s="3"/>
      <c r="B19" s="4"/>
      <c r="C19" s="3">
        <v>2022</v>
      </c>
      <c r="D19" s="11">
        <v>226</v>
      </c>
      <c r="E19" s="16">
        <v>1445037000000</v>
      </c>
      <c r="F19" s="5">
        <v>4498997362</v>
      </c>
      <c r="G19" s="5">
        <f t="shared" si="0"/>
        <v>321.19089737754774</v>
      </c>
      <c r="H19" s="17">
        <f t="shared" si="1"/>
        <v>0.70363139754345394</v>
      </c>
    </row>
    <row r="20" spans="1:8" x14ac:dyDescent="0.25">
      <c r="A20" s="3"/>
      <c r="B20" s="4"/>
      <c r="C20" s="3"/>
      <c r="D20" s="11"/>
      <c r="E20" s="16"/>
      <c r="F20" s="5"/>
      <c r="G20" s="5"/>
      <c r="H20" s="17"/>
    </row>
    <row r="21" spans="1:8" x14ac:dyDescent="0.25">
      <c r="A21" s="3">
        <v>4</v>
      </c>
      <c r="B21" s="4" t="s">
        <v>8</v>
      </c>
      <c r="C21" s="3">
        <v>2018</v>
      </c>
      <c r="D21" s="11">
        <v>1375</v>
      </c>
      <c r="E21" s="16">
        <v>976647575842</v>
      </c>
      <c r="F21" s="5">
        <v>595000000</v>
      </c>
      <c r="G21" s="5">
        <f t="shared" si="0"/>
        <v>1641.4244972134454</v>
      </c>
      <c r="H21" s="17">
        <f t="shared" si="1"/>
        <v>0.83768702266492345</v>
      </c>
    </row>
    <row r="22" spans="1:8" x14ac:dyDescent="0.25">
      <c r="A22" s="3"/>
      <c r="B22" s="4"/>
      <c r="C22" s="3">
        <v>2019</v>
      </c>
      <c r="D22" s="11">
        <v>1670</v>
      </c>
      <c r="E22" s="16">
        <v>1131294696834</v>
      </c>
      <c r="F22" s="5">
        <v>595000000</v>
      </c>
      <c r="G22" s="5">
        <f t="shared" si="0"/>
        <v>1901.3356249310925</v>
      </c>
      <c r="H22" s="17">
        <f t="shared" si="1"/>
        <v>0.87832993717798957</v>
      </c>
    </row>
    <row r="23" spans="1:8" x14ac:dyDescent="0.25">
      <c r="A23" s="3"/>
      <c r="B23" s="4"/>
      <c r="C23" s="3">
        <v>2020</v>
      </c>
      <c r="D23" s="11">
        <v>1785</v>
      </c>
      <c r="E23" s="16">
        <v>1260714994864</v>
      </c>
      <c r="F23" s="5">
        <v>595000000</v>
      </c>
      <c r="G23" s="5">
        <f t="shared" si="0"/>
        <v>2118.8487308638655</v>
      </c>
      <c r="H23" s="17">
        <f t="shared" si="1"/>
        <v>0.84243861961407995</v>
      </c>
    </row>
    <row r="24" spans="1:8" x14ac:dyDescent="0.25">
      <c r="A24" s="3"/>
      <c r="B24" s="4"/>
      <c r="C24" s="3">
        <v>2021</v>
      </c>
      <c r="D24" s="11">
        <v>1880</v>
      </c>
      <c r="E24" s="16">
        <v>1387366962835</v>
      </c>
      <c r="F24" s="5">
        <v>595000000</v>
      </c>
      <c r="G24" s="5">
        <f t="shared" si="0"/>
        <v>2331.7091812352942</v>
      </c>
      <c r="H24" s="17">
        <f t="shared" si="1"/>
        <v>0.80627550602344522</v>
      </c>
    </row>
    <row r="25" spans="1:8" x14ac:dyDescent="0.25">
      <c r="A25" s="3"/>
      <c r="B25" s="4"/>
      <c r="C25" s="3">
        <v>2022</v>
      </c>
      <c r="D25" s="11">
        <v>1980</v>
      </c>
      <c r="E25" s="16">
        <v>1550042869748</v>
      </c>
      <c r="F25" s="5">
        <v>595000000</v>
      </c>
      <c r="G25" s="5">
        <f t="shared" si="0"/>
        <v>2605.1140668033613</v>
      </c>
      <c r="H25" s="17">
        <f t="shared" si="1"/>
        <v>0.7600434949205831</v>
      </c>
    </row>
    <row r="26" spans="1:8" x14ac:dyDescent="0.25">
      <c r="A26" s="3"/>
      <c r="B26" s="4"/>
      <c r="C26" s="3"/>
      <c r="D26" s="11"/>
      <c r="E26" s="16"/>
      <c r="F26" s="5"/>
      <c r="G26" s="5"/>
      <c r="H26" s="17"/>
    </row>
    <row r="27" spans="1:8" x14ac:dyDescent="0.25">
      <c r="A27" s="3">
        <v>5</v>
      </c>
      <c r="B27" s="4" t="s">
        <v>14</v>
      </c>
      <c r="C27" s="3">
        <v>2018</v>
      </c>
      <c r="D27" s="11">
        <v>7225</v>
      </c>
      <c r="E27" s="16">
        <v>19205380000000</v>
      </c>
      <c r="F27" s="5">
        <v>16398000000</v>
      </c>
      <c r="G27" s="5">
        <f t="shared" si="0"/>
        <v>1171.2025856811806</v>
      </c>
      <c r="H27" s="17">
        <f t="shared" si="1"/>
        <v>6.1688729928801198</v>
      </c>
    </row>
    <row r="28" spans="1:8" x14ac:dyDescent="0.25">
      <c r="A28" s="3"/>
      <c r="B28" s="4"/>
      <c r="C28" s="3">
        <v>2019</v>
      </c>
      <c r="D28" s="11">
        <v>6500</v>
      </c>
      <c r="E28" s="16">
        <v>20895858000000</v>
      </c>
      <c r="F28" s="5">
        <v>16398000000</v>
      </c>
      <c r="G28" s="5">
        <f t="shared" si="0"/>
        <v>1274.2930845225028</v>
      </c>
      <c r="H28" s="17">
        <f t="shared" si="1"/>
        <v>5.1008673584975543</v>
      </c>
    </row>
    <row r="29" spans="1:8" x14ac:dyDescent="0.25">
      <c r="A29" s="3"/>
      <c r="B29" s="4"/>
      <c r="C29" s="3">
        <v>2020</v>
      </c>
      <c r="D29" s="11">
        <v>6525</v>
      </c>
      <c r="E29" s="16">
        <v>23349683000000</v>
      </c>
      <c r="F29" s="5">
        <v>16398000000</v>
      </c>
      <c r="G29" s="5">
        <f t="shared" si="0"/>
        <v>1423.9348091230638</v>
      </c>
      <c r="H29" s="17">
        <f t="shared" si="1"/>
        <v>4.5823727028756664</v>
      </c>
    </row>
    <row r="30" spans="1:8" x14ac:dyDescent="0.25">
      <c r="A30" s="3"/>
      <c r="B30" s="4"/>
      <c r="C30" s="3">
        <v>2021</v>
      </c>
      <c r="D30" s="11">
        <v>5950</v>
      </c>
      <c r="E30" s="16">
        <v>25149999000000</v>
      </c>
      <c r="F30" s="5">
        <v>16398000000</v>
      </c>
      <c r="G30" s="5">
        <f t="shared" si="0"/>
        <v>1533.72356384925</v>
      </c>
      <c r="H30" s="17">
        <f t="shared" si="1"/>
        <v>3.879447470355764</v>
      </c>
    </row>
    <row r="31" spans="1:8" x14ac:dyDescent="0.25">
      <c r="A31" s="3"/>
      <c r="B31" s="4"/>
      <c r="C31" s="3">
        <v>2022</v>
      </c>
      <c r="D31" s="11">
        <v>5650</v>
      </c>
      <c r="E31" s="16">
        <v>26327214000000</v>
      </c>
      <c r="F31" s="5">
        <v>16398000000</v>
      </c>
      <c r="G31" s="5">
        <f t="shared" si="0"/>
        <v>1605.5137211855103</v>
      </c>
      <c r="H31" s="17">
        <f t="shared" si="1"/>
        <v>3.5191228361648901</v>
      </c>
    </row>
    <row r="32" spans="1:8" x14ac:dyDescent="0.25">
      <c r="A32" s="3"/>
      <c r="B32" s="4"/>
      <c r="C32" s="3"/>
      <c r="D32" s="11"/>
      <c r="E32" s="16"/>
      <c r="F32" s="5"/>
      <c r="G32" s="5"/>
      <c r="H32" s="17"/>
    </row>
    <row r="33" spans="1:8" x14ac:dyDescent="0.25">
      <c r="A33" s="3">
        <v>6</v>
      </c>
      <c r="B33" s="4" t="s">
        <v>7</v>
      </c>
      <c r="C33" s="3">
        <v>2018</v>
      </c>
      <c r="D33" s="11">
        <v>5500</v>
      </c>
      <c r="E33" s="16">
        <v>1284163814000</v>
      </c>
      <c r="F33" s="5">
        <v>800659050</v>
      </c>
      <c r="G33" s="5">
        <f t="shared" si="0"/>
        <v>1603.883468250312</v>
      </c>
      <c r="H33" s="17">
        <f t="shared" si="1"/>
        <v>3.4291768129513733</v>
      </c>
    </row>
    <row r="34" spans="1:8" x14ac:dyDescent="0.25">
      <c r="A34" s="3"/>
      <c r="B34" s="4"/>
      <c r="C34" s="3">
        <v>2019</v>
      </c>
      <c r="D34" s="11">
        <v>6800</v>
      </c>
      <c r="E34" s="16">
        <v>1213563332000</v>
      </c>
      <c r="F34" s="5">
        <v>800659050</v>
      </c>
      <c r="G34" s="5">
        <f t="shared" si="0"/>
        <v>1515.7055078563092</v>
      </c>
      <c r="H34" s="17">
        <f t="shared" si="1"/>
        <v>4.4863596290663139</v>
      </c>
    </row>
    <row r="35" spans="1:8" x14ac:dyDescent="0.25">
      <c r="A35" s="3"/>
      <c r="B35" s="4"/>
      <c r="C35" s="3">
        <v>2020</v>
      </c>
      <c r="D35" s="11">
        <v>4400</v>
      </c>
      <c r="E35" s="16">
        <v>1019898963000</v>
      </c>
      <c r="F35" s="5">
        <v>800659050</v>
      </c>
      <c r="G35" s="5">
        <f t="shared" si="0"/>
        <v>1273.8243113594981</v>
      </c>
      <c r="H35" s="17">
        <f t="shared" si="1"/>
        <v>3.4541655083533995</v>
      </c>
    </row>
    <row r="36" spans="1:8" x14ac:dyDescent="0.25">
      <c r="A36" s="3"/>
      <c r="B36" s="4"/>
      <c r="C36" s="3">
        <v>2021</v>
      </c>
      <c r="D36" s="11">
        <v>3740</v>
      </c>
      <c r="E36" s="16">
        <v>1010174017000</v>
      </c>
      <c r="F36" s="5">
        <v>800659050</v>
      </c>
      <c r="G36" s="5">
        <f t="shared" si="0"/>
        <v>1261.6781350313845</v>
      </c>
      <c r="H36" s="17">
        <f t="shared" si="1"/>
        <v>2.9643059478929361</v>
      </c>
    </row>
    <row r="37" spans="1:8" x14ac:dyDescent="0.25">
      <c r="A37" s="3"/>
      <c r="B37" s="4"/>
      <c r="C37" s="3">
        <v>2022</v>
      </c>
      <c r="D37" s="11">
        <v>3830</v>
      </c>
      <c r="E37" s="16">
        <v>1000775865000</v>
      </c>
      <c r="F37" s="5">
        <v>800659050</v>
      </c>
      <c r="G37" s="5">
        <f t="shared" si="0"/>
        <v>1249.9401149590453</v>
      </c>
      <c r="H37" s="17">
        <f t="shared" si="1"/>
        <v>3.0641467972451553</v>
      </c>
    </row>
    <row r="38" spans="1:8" x14ac:dyDescent="0.25">
      <c r="A38" s="3"/>
      <c r="B38" s="4"/>
      <c r="C38" s="3"/>
      <c r="D38" s="11"/>
      <c r="E38" s="16"/>
      <c r="F38" s="5"/>
      <c r="G38" s="5"/>
      <c r="H38" s="17"/>
    </row>
    <row r="39" spans="1:8" x14ac:dyDescent="0.25">
      <c r="A39" s="3">
        <v>7</v>
      </c>
      <c r="B39" s="4" t="s">
        <v>15</v>
      </c>
      <c r="C39" s="3">
        <v>2018</v>
      </c>
      <c r="D39" s="11">
        <v>410</v>
      </c>
      <c r="E39" s="16">
        <v>3658962000000</v>
      </c>
      <c r="F39" s="5">
        <v>10599842400</v>
      </c>
      <c r="G39" s="5">
        <f t="shared" si="0"/>
        <v>345.19022660185965</v>
      </c>
      <c r="H39" s="17">
        <f t="shared" si="1"/>
        <v>1.1877508932861287</v>
      </c>
    </row>
    <row r="40" spans="1:8" x14ac:dyDescent="0.25">
      <c r="A40" s="3"/>
      <c r="B40" s="4"/>
      <c r="C40" s="3">
        <v>2019</v>
      </c>
      <c r="D40" s="11">
        <v>460</v>
      </c>
      <c r="E40" s="16">
        <v>3731592000000</v>
      </c>
      <c r="F40" s="5">
        <v>10599842400</v>
      </c>
      <c r="G40" s="5">
        <f t="shared" si="0"/>
        <v>352.04221526916285</v>
      </c>
      <c r="H40" s="17">
        <f t="shared" si="1"/>
        <v>1.3066614742447729</v>
      </c>
    </row>
    <row r="41" spans="1:8" x14ac:dyDescent="0.25">
      <c r="A41" s="3"/>
      <c r="B41" s="4"/>
      <c r="C41" s="3">
        <v>2020</v>
      </c>
      <c r="D41" s="11">
        <v>610</v>
      </c>
      <c r="E41" s="16">
        <v>6230749000000</v>
      </c>
      <c r="F41" s="5">
        <v>10599842400</v>
      </c>
      <c r="G41" s="5">
        <f t="shared" si="0"/>
        <v>587.8152490267214</v>
      </c>
      <c r="H41" s="17">
        <f t="shared" si="1"/>
        <v>1.0377410266406173</v>
      </c>
    </row>
    <row r="42" spans="1:8" x14ac:dyDescent="0.25">
      <c r="A42" s="3"/>
      <c r="B42" s="4"/>
      <c r="C42" s="3">
        <v>2021</v>
      </c>
      <c r="D42" s="11">
        <v>500</v>
      </c>
      <c r="E42" s="16">
        <v>7025463000000</v>
      </c>
      <c r="F42" s="5">
        <v>10599842400</v>
      </c>
      <c r="G42" s="5">
        <f t="shared" si="0"/>
        <v>662.78938260440555</v>
      </c>
      <c r="H42" s="17">
        <f t="shared" si="1"/>
        <v>0.75438746172316329</v>
      </c>
    </row>
    <row r="43" spans="1:8" x14ac:dyDescent="0.25">
      <c r="A43" s="3"/>
      <c r="B43" s="4"/>
      <c r="C43" s="3">
        <v>2022</v>
      </c>
      <c r="D43" s="11">
        <v>600</v>
      </c>
      <c r="E43" s="16">
        <v>8160140000000</v>
      </c>
      <c r="F43" s="5">
        <v>10599842400</v>
      </c>
      <c r="G43" s="5">
        <f t="shared" si="0"/>
        <v>769.83597416504983</v>
      </c>
      <c r="H43" s="17">
        <f t="shared" si="1"/>
        <v>0.77938680463815568</v>
      </c>
    </row>
    <row r="44" spans="1:8" x14ac:dyDescent="0.25">
      <c r="A44" s="3"/>
      <c r="B44" s="4"/>
      <c r="C44" s="3"/>
      <c r="D44" s="11"/>
      <c r="E44" s="16"/>
      <c r="F44" s="5"/>
      <c r="G44" s="5"/>
      <c r="H44" s="17"/>
    </row>
    <row r="45" spans="1:8" x14ac:dyDescent="0.25">
      <c r="A45" s="3">
        <v>8</v>
      </c>
      <c r="B45" s="4" t="s">
        <v>3</v>
      </c>
      <c r="C45" s="3">
        <v>2018</v>
      </c>
      <c r="D45" s="11">
        <v>10450</v>
      </c>
      <c r="E45" s="16">
        <v>22707150000000</v>
      </c>
      <c r="F45" s="5">
        <v>11661908000</v>
      </c>
      <c r="G45" s="5">
        <f t="shared" si="0"/>
        <v>1947.121345838091</v>
      </c>
      <c r="H45" s="17">
        <f t="shared" si="1"/>
        <v>5.3668971491358448</v>
      </c>
    </row>
    <row r="46" spans="1:8" x14ac:dyDescent="0.25">
      <c r="A46" s="3"/>
      <c r="B46" s="4"/>
      <c r="C46" s="3">
        <v>2019</v>
      </c>
      <c r="D46" s="11">
        <v>11150</v>
      </c>
      <c r="E46" s="16">
        <v>26671104000000</v>
      </c>
      <c r="F46" s="5">
        <v>11661908000</v>
      </c>
      <c r="G46" s="5">
        <f t="shared" si="0"/>
        <v>2287.0274744064177</v>
      </c>
      <c r="H46" s="17">
        <f t="shared" si="1"/>
        <v>4.8753240285816446</v>
      </c>
    </row>
    <row r="47" spans="1:8" x14ac:dyDescent="0.25">
      <c r="A47" s="3"/>
      <c r="B47" s="4"/>
      <c r="C47" s="3">
        <v>2020</v>
      </c>
      <c r="D47" s="11">
        <v>9575</v>
      </c>
      <c r="E47" s="16">
        <v>50659843000000</v>
      </c>
      <c r="F47" s="5">
        <v>11661908000</v>
      </c>
      <c r="G47" s="5">
        <f t="shared" si="0"/>
        <v>4344.0441306859902</v>
      </c>
      <c r="H47" s="17">
        <f t="shared" si="1"/>
        <v>2.2041672947940247</v>
      </c>
    </row>
    <row r="48" spans="1:8" x14ac:dyDescent="0.25">
      <c r="A48" s="3"/>
      <c r="B48" s="4"/>
      <c r="C48" s="3">
        <v>2021</v>
      </c>
      <c r="D48" s="11">
        <v>8700</v>
      </c>
      <c r="E48" s="16">
        <v>54940607000000</v>
      </c>
      <c r="F48" s="5">
        <v>11661908000</v>
      </c>
      <c r="G48" s="5">
        <f t="shared" si="0"/>
        <v>4711.1164828259662</v>
      </c>
      <c r="H48" s="17">
        <f t="shared" si="1"/>
        <v>1.8466960075632219</v>
      </c>
    </row>
    <row r="49" spans="1:8" x14ac:dyDescent="0.25">
      <c r="A49" s="3"/>
      <c r="B49" s="4"/>
      <c r="C49" s="3">
        <v>2022</v>
      </c>
      <c r="D49" s="11">
        <v>10000</v>
      </c>
      <c r="E49" s="16">
        <v>57473007000000</v>
      </c>
      <c r="F49" s="5">
        <v>11661908000</v>
      </c>
      <c r="G49" s="5">
        <f t="shared" si="0"/>
        <v>4928.2679129350017</v>
      </c>
      <c r="H49" s="17">
        <f t="shared" si="1"/>
        <v>2.0291104657182806</v>
      </c>
    </row>
    <row r="50" spans="1:8" x14ac:dyDescent="0.25">
      <c r="A50" s="3"/>
      <c r="B50" s="4"/>
      <c r="C50" s="3"/>
      <c r="D50" s="11"/>
      <c r="E50" s="16"/>
      <c r="F50" s="5"/>
      <c r="G50" s="5"/>
      <c r="H50" s="17"/>
    </row>
    <row r="51" spans="1:8" x14ac:dyDescent="0.25">
      <c r="A51" s="3">
        <v>9</v>
      </c>
      <c r="B51" s="4" t="s">
        <v>4</v>
      </c>
      <c r="C51" s="3">
        <v>2018</v>
      </c>
      <c r="D51" s="11">
        <v>7450</v>
      </c>
      <c r="E51" s="16">
        <v>49916800000000</v>
      </c>
      <c r="F51" s="5">
        <v>8780426500</v>
      </c>
      <c r="G51" s="5">
        <f t="shared" si="0"/>
        <v>5685.00858130297</v>
      </c>
      <c r="H51" s="17">
        <f t="shared" si="1"/>
        <v>1.3104641608636771</v>
      </c>
    </row>
    <row r="52" spans="1:8" x14ac:dyDescent="0.25">
      <c r="A52" s="3"/>
      <c r="B52" s="4"/>
      <c r="C52" s="3">
        <v>2019</v>
      </c>
      <c r="D52" s="11">
        <v>7925</v>
      </c>
      <c r="E52" s="16">
        <v>54202488000000</v>
      </c>
      <c r="F52" s="5">
        <v>8780426500</v>
      </c>
      <c r="G52" s="5">
        <f t="shared" si="0"/>
        <v>6173.1042336041419</v>
      </c>
      <c r="H52" s="17">
        <f t="shared" si="1"/>
        <v>1.2837949433704963</v>
      </c>
    </row>
    <row r="53" spans="1:8" x14ac:dyDescent="0.25">
      <c r="A53" s="3"/>
      <c r="B53" s="4"/>
      <c r="C53" s="3">
        <v>2020</v>
      </c>
      <c r="D53" s="11">
        <v>6850</v>
      </c>
      <c r="E53" s="16">
        <v>79653950000000</v>
      </c>
      <c r="F53" s="5">
        <v>8780426500</v>
      </c>
      <c r="G53" s="5">
        <f t="shared" si="0"/>
        <v>9071.7631996577838</v>
      </c>
      <c r="H53" s="17">
        <f t="shared" si="1"/>
        <v>0.75509025635263538</v>
      </c>
    </row>
    <row r="54" spans="1:8" x14ac:dyDescent="0.25">
      <c r="A54" s="3"/>
      <c r="B54" s="4"/>
      <c r="C54" s="3">
        <v>2021</v>
      </c>
      <c r="D54" s="11">
        <v>6325</v>
      </c>
      <c r="E54" s="16">
        <v>86986509000000</v>
      </c>
      <c r="F54" s="5">
        <v>8780426500</v>
      </c>
      <c r="G54" s="5">
        <f t="shared" si="0"/>
        <v>9906.8660275215552</v>
      </c>
      <c r="H54" s="17">
        <f t="shared" si="1"/>
        <v>0.63844610217085507</v>
      </c>
    </row>
    <row r="55" spans="1:8" x14ac:dyDescent="0.25">
      <c r="A55" s="3"/>
      <c r="B55" s="4"/>
      <c r="C55" s="3">
        <v>2022</v>
      </c>
      <c r="D55" s="11">
        <v>6725</v>
      </c>
      <c r="E55" s="16">
        <v>93623038000000</v>
      </c>
      <c r="F55" s="5">
        <v>8780426500</v>
      </c>
      <c r="G55" s="5">
        <f t="shared" si="0"/>
        <v>10662.698218588812</v>
      </c>
      <c r="H55" s="17">
        <f t="shared" si="1"/>
        <v>0.63070339815826104</v>
      </c>
    </row>
    <row r="56" spans="1:8" x14ac:dyDescent="0.25">
      <c r="A56" s="3"/>
      <c r="B56" s="4"/>
      <c r="C56" s="3"/>
      <c r="D56" s="11"/>
      <c r="E56" s="16"/>
      <c r="F56" s="5"/>
      <c r="G56" s="5"/>
      <c r="H56" s="17"/>
    </row>
    <row r="57" spans="1:8" x14ac:dyDescent="0.25">
      <c r="A57" s="10">
        <v>10</v>
      </c>
      <c r="B57" s="10" t="s">
        <v>16</v>
      </c>
      <c r="C57" s="10">
        <v>2018</v>
      </c>
      <c r="D57" s="11">
        <v>2150</v>
      </c>
      <c r="E57" s="16">
        <v>10765677000000</v>
      </c>
      <c r="F57" s="5">
        <v>11726575201</v>
      </c>
      <c r="G57" s="5">
        <f t="shared" si="0"/>
        <v>918.05807027800768</v>
      </c>
      <c r="H57" s="17">
        <f t="shared" si="1"/>
        <v>2.3418997878303425</v>
      </c>
    </row>
    <row r="58" spans="1:8" x14ac:dyDescent="0.25">
      <c r="A58" s="10"/>
      <c r="B58" s="10"/>
      <c r="C58" s="10">
        <v>2019</v>
      </c>
      <c r="D58" s="11">
        <v>1535</v>
      </c>
      <c r="E58" s="16">
        <v>11896814000000</v>
      </c>
      <c r="F58" s="5">
        <v>11726575201</v>
      </c>
      <c r="G58" s="5">
        <f t="shared" si="0"/>
        <v>1014.5173502136824</v>
      </c>
      <c r="H58" s="17">
        <f t="shared" si="1"/>
        <v>1.5130347447253525</v>
      </c>
    </row>
    <row r="59" spans="1:8" x14ac:dyDescent="0.25">
      <c r="A59" s="10"/>
      <c r="B59" s="10"/>
      <c r="C59" s="10">
        <v>2020</v>
      </c>
      <c r="D59" s="11">
        <v>1465</v>
      </c>
      <c r="E59" s="16">
        <v>11411970000000</v>
      </c>
      <c r="F59" s="5">
        <v>11726575201</v>
      </c>
      <c r="G59" s="5">
        <f t="shared" si="0"/>
        <v>973.17160418899016</v>
      </c>
      <c r="H59" s="17">
        <f t="shared" si="1"/>
        <v>1.5053871215456227</v>
      </c>
    </row>
    <row r="60" spans="1:8" x14ac:dyDescent="0.25">
      <c r="A60" s="10"/>
      <c r="B60" s="10"/>
      <c r="C60" s="10">
        <v>2021</v>
      </c>
      <c r="D60" s="11">
        <v>1720</v>
      </c>
      <c r="E60" s="16">
        <v>13102710000000</v>
      </c>
      <c r="F60" s="5">
        <v>11726575201</v>
      </c>
      <c r="G60" s="5">
        <f t="shared" si="0"/>
        <v>1117.3518077880615</v>
      </c>
      <c r="H60" s="17">
        <f t="shared" si="1"/>
        <v>1.5393540226197482</v>
      </c>
    </row>
    <row r="61" spans="1:8" x14ac:dyDescent="0.25">
      <c r="A61" s="10"/>
      <c r="B61" s="10"/>
      <c r="C61" s="10">
        <v>2022</v>
      </c>
      <c r="D61" s="11">
        <v>1295</v>
      </c>
      <c r="E61" s="16">
        <v>13654777000000</v>
      </c>
      <c r="F61" s="5">
        <v>11726575201</v>
      </c>
      <c r="G61" s="5">
        <f t="shared" si="0"/>
        <v>1164.4300885765497</v>
      </c>
      <c r="H61" s="17">
        <f t="shared" si="1"/>
        <v>1.1121320315443453</v>
      </c>
    </row>
    <row r="62" spans="1:8" x14ac:dyDescent="0.25">
      <c r="A62" s="10"/>
      <c r="B62" s="10"/>
      <c r="C62" s="10"/>
      <c r="D62" s="11"/>
      <c r="E62" s="16"/>
      <c r="F62" s="5"/>
      <c r="G62" s="5"/>
      <c r="H62" s="17"/>
    </row>
    <row r="63" spans="1:8" x14ac:dyDescent="0.25">
      <c r="A63" s="10">
        <v>11</v>
      </c>
      <c r="B63" s="10" t="s">
        <v>17</v>
      </c>
      <c r="C63" s="10">
        <v>2018</v>
      </c>
      <c r="D63" s="11">
        <v>1250</v>
      </c>
      <c r="E63" s="16">
        <v>8332119000000</v>
      </c>
      <c r="F63" s="5">
        <v>6822863965</v>
      </c>
      <c r="G63" s="5">
        <f t="shared" ref="G62:G103" si="2">E63/F63</f>
        <v>1221.2055000278758</v>
      </c>
      <c r="H63" s="17">
        <f t="shared" ref="H62:H103" si="3">D63/G63</f>
        <v>1.023578750645544</v>
      </c>
    </row>
    <row r="64" spans="1:8" x14ac:dyDescent="0.25">
      <c r="A64" s="10"/>
      <c r="B64" s="10"/>
      <c r="C64" s="10">
        <v>2019</v>
      </c>
      <c r="D64" s="11">
        <v>1485</v>
      </c>
      <c r="E64" s="16">
        <v>8498500000000</v>
      </c>
      <c r="F64" s="5">
        <v>6822863965</v>
      </c>
      <c r="G64" s="5">
        <f t="shared" si="2"/>
        <v>1245.5913006027522</v>
      </c>
      <c r="H64" s="17">
        <f t="shared" si="3"/>
        <v>1.1922048582720479</v>
      </c>
    </row>
    <row r="65" spans="1:8" x14ac:dyDescent="0.25">
      <c r="A65" s="10"/>
      <c r="B65" s="10"/>
      <c r="C65" s="10">
        <v>2020</v>
      </c>
      <c r="D65" s="11">
        <v>1375</v>
      </c>
      <c r="E65" s="16">
        <v>9306993000000</v>
      </c>
      <c r="F65" s="5">
        <v>6822863965</v>
      </c>
      <c r="G65" s="5">
        <f t="shared" si="2"/>
        <v>1364.0888998730022</v>
      </c>
      <c r="H65" s="17">
        <f t="shared" si="3"/>
        <v>1.0079988189391569</v>
      </c>
    </row>
    <row r="66" spans="1:8" x14ac:dyDescent="0.25">
      <c r="A66" s="10"/>
      <c r="B66" s="10"/>
      <c r="C66" s="10">
        <v>2021</v>
      </c>
      <c r="D66" s="11">
        <v>1185</v>
      </c>
      <c r="E66" s="16">
        <v>10191396000000</v>
      </c>
      <c r="F66" s="5">
        <v>6822863965</v>
      </c>
      <c r="G66" s="5">
        <f t="shared" si="2"/>
        <v>1493.7123255395288</v>
      </c>
      <c r="H66" s="17">
        <f t="shared" si="3"/>
        <v>0.79332544810593164</v>
      </c>
    </row>
    <row r="67" spans="1:8" x14ac:dyDescent="0.25">
      <c r="A67" s="10"/>
      <c r="B67" s="10"/>
      <c r="C67" s="10">
        <v>2022</v>
      </c>
      <c r="D67" s="11">
        <v>1015</v>
      </c>
      <c r="E67" s="16">
        <v>12417013000000</v>
      </c>
      <c r="F67" s="5">
        <v>6822863965</v>
      </c>
      <c r="G67" s="5">
        <f t="shared" si="2"/>
        <v>1819.9121459400224</v>
      </c>
      <c r="H67" s="17">
        <f t="shared" si="3"/>
        <v>0.55771922961464249</v>
      </c>
    </row>
    <row r="68" spans="1:8" x14ac:dyDescent="0.25">
      <c r="A68" s="10"/>
      <c r="B68" s="10"/>
      <c r="C68" s="10"/>
      <c r="D68" s="11"/>
      <c r="E68" s="16"/>
      <c r="F68" s="5"/>
      <c r="G68" s="5"/>
      <c r="H68" s="17"/>
    </row>
    <row r="69" spans="1:8" x14ac:dyDescent="0.25">
      <c r="A69" s="10">
        <v>12</v>
      </c>
      <c r="B69" s="10" t="s">
        <v>5</v>
      </c>
      <c r="C69" s="10">
        <v>2018</v>
      </c>
      <c r="D69" s="11">
        <v>2620</v>
      </c>
      <c r="E69" s="16">
        <v>8542544481694</v>
      </c>
      <c r="F69" s="5">
        <v>22358699725</v>
      </c>
      <c r="G69" s="5">
        <f t="shared" si="2"/>
        <v>382.06803556390622</v>
      </c>
      <c r="H69" s="17">
        <f t="shared" si="3"/>
        <v>6.8574174129302907</v>
      </c>
    </row>
    <row r="70" spans="1:8" x14ac:dyDescent="0.25">
      <c r="A70" s="10"/>
      <c r="B70" s="10"/>
      <c r="C70" s="10">
        <v>2019</v>
      </c>
      <c r="D70" s="11">
        <v>2050</v>
      </c>
      <c r="E70" s="16">
        <v>9911940195318</v>
      </c>
      <c r="F70" s="5">
        <v>22358699725</v>
      </c>
      <c r="G70" s="5">
        <f t="shared" si="2"/>
        <v>443.31469706331501</v>
      </c>
      <c r="H70" s="17">
        <f t="shared" si="3"/>
        <v>4.6242545387734237</v>
      </c>
    </row>
    <row r="71" spans="1:8" x14ac:dyDescent="0.25">
      <c r="A71" s="10"/>
      <c r="B71" s="10"/>
      <c r="C71" s="10">
        <v>2020</v>
      </c>
      <c r="D71" s="11">
        <v>2710</v>
      </c>
      <c r="E71" s="16">
        <v>11271468049958</v>
      </c>
      <c r="F71" s="5">
        <v>22358699725</v>
      </c>
      <c r="G71" s="5">
        <f t="shared" si="2"/>
        <v>504.12001541194275</v>
      </c>
      <c r="H71" s="17">
        <f t="shared" si="3"/>
        <v>5.3757040330674384</v>
      </c>
    </row>
    <row r="72" spans="1:8" x14ac:dyDescent="0.25">
      <c r="A72" s="10"/>
      <c r="B72" s="10"/>
      <c r="C72" s="10">
        <v>2021</v>
      </c>
      <c r="D72" s="11">
        <v>2040</v>
      </c>
      <c r="E72" s="16">
        <v>11360031396135</v>
      </c>
      <c r="F72" s="5">
        <v>22358699725</v>
      </c>
      <c r="G72" s="5">
        <f t="shared" si="2"/>
        <v>508.08103941004111</v>
      </c>
      <c r="H72" s="17">
        <f t="shared" si="3"/>
        <v>4.0151075158576051</v>
      </c>
    </row>
    <row r="73" spans="1:8" x14ac:dyDescent="0.25">
      <c r="A73" s="10"/>
      <c r="B73" s="10"/>
      <c r="C73" s="10">
        <v>2022</v>
      </c>
      <c r="D73" s="11">
        <v>2500</v>
      </c>
      <c r="E73" s="16">
        <v>12834694090515</v>
      </c>
      <c r="F73" s="5">
        <v>22358699725</v>
      </c>
      <c r="G73" s="5">
        <f t="shared" si="2"/>
        <v>574.03580030926867</v>
      </c>
      <c r="H73" s="17">
        <f t="shared" si="3"/>
        <v>4.3551290680008021</v>
      </c>
    </row>
    <row r="74" spans="1:8" x14ac:dyDescent="0.25">
      <c r="A74" s="10"/>
      <c r="B74" s="10"/>
      <c r="C74" s="10"/>
      <c r="D74" s="11"/>
      <c r="E74" s="16"/>
      <c r="F74" s="5"/>
      <c r="G74" s="5"/>
      <c r="H74" s="17"/>
    </row>
    <row r="75" spans="1:8" x14ac:dyDescent="0.25">
      <c r="A75" s="10">
        <v>13</v>
      </c>
      <c r="B75" s="10" t="s">
        <v>6</v>
      </c>
      <c r="C75" s="10">
        <v>2018</v>
      </c>
      <c r="D75" s="11">
        <v>1200</v>
      </c>
      <c r="E75" s="16">
        <v>2916901120111</v>
      </c>
      <c r="F75" s="5">
        <v>6186488888</v>
      </c>
      <c r="G75" s="5">
        <f t="shared" si="2"/>
        <v>471.49541087335416</v>
      </c>
      <c r="H75" s="17">
        <f t="shared" si="3"/>
        <v>2.5450937004396965</v>
      </c>
    </row>
    <row r="76" spans="1:8" x14ac:dyDescent="0.25">
      <c r="A76" s="10"/>
      <c r="B76" s="10"/>
      <c r="C76" s="10">
        <v>2019</v>
      </c>
      <c r="D76" s="11">
        <v>1300</v>
      </c>
      <c r="E76" s="16">
        <v>3092597379097</v>
      </c>
      <c r="F76" s="5">
        <v>6186488888</v>
      </c>
      <c r="G76" s="5">
        <f t="shared" si="2"/>
        <v>499.89540676226619</v>
      </c>
      <c r="H76" s="17">
        <f t="shared" si="3"/>
        <v>2.6005439986333725</v>
      </c>
    </row>
    <row r="77" spans="1:8" x14ac:dyDescent="0.25">
      <c r="A77" s="10"/>
      <c r="B77" s="10"/>
      <c r="C77" s="10">
        <v>2020</v>
      </c>
      <c r="D77" s="11">
        <v>1360</v>
      </c>
      <c r="E77" s="16">
        <v>3246596715011</v>
      </c>
      <c r="F77" s="5">
        <v>6186488888</v>
      </c>
      <c r="G77" s="5">
        <f t="shared" si="2"/>
        <v>524.78825611542902</v>
      </c>
      <c r="H77" s="17">
        <f t="shared" si="3"/>
        <v>2.5915214072566122</v>
      </c>
    </row>
    <row r="78" spans="1:8" x14ac:dyDescent="0.25">
      <c r="A78" s="10"/>
      <c r="B78" s="10"/>
      <c r="C78" s="10">
        <v>2021</v>
      </c>
      <c r="D78" s="11">
        <v>1360</v>
      </c>
      <c r="E78" s="16">
        <v>2869591202766</v>
      </c>
      <c r="F78" s="5">
        <v>6186488888</v>
      </c>
      <c r="G78" s="5">
        <f t="shared" si="2"/>
        <v>463.84811396528607</v>
      </c>
      <c r="H78" s="17">
        <f t="shared" si="3"/>
        <v>2.9319942434901893</v>
      </c>
    </row>
    <row r="79" spans="1:8" x14ac:dyDescent="0.25">
      <c r="A79" s="10"/>
      <c r="B79" s="10"/>
      <c r="C79" s="10">
        <v>2022</v>
      </c>
      <c r="D79" s="11">
        <v>1320</v>
      </c>
      <c r="E79" s="16">
        <v>2681158538764</v>
      </c>
      <c r="F79" s="5">
        <v>6186488888</v>
      </c>
      <c r="G79" s="5">
        <f t="shared" si="2"/>
        <v>433.38937276112665</v>
      </c>
      <c r="H79" s="17">
        <f t="shared" si="3"/>
        <v>3.0457599631257013</v>
      </c>
    </row>
    <row r="80" spans="1:8" x14ac:dyDescent="0.25">
      <c r="A80" s="10"/>
      <c r="B80" s="10"/>
      <c r="C80" s="10"/>
      <c r="D80" s="11"/>
      <c r="E80" s="16"/>
      <c r="F80" s="5"/>
      <c r="G80" s="5"/>
      <c r="H80" s="17"/>
    </row>
    <row r="81" spans="1:8" x14ac:dyDescent="0.25">
      <c r="A81" s="10">
        <v>14</v>
      </c>
      <c r="B81" s="10" t="s">
        <v>9</v>
      </c>
      <c r="C81" s="10">
        <v>2018</v>
      </c>
      <c r="D81" s="11">
        <v>1500</v>
      </c>
      <c r="E81" s="16">
        <v>339236007000</v>
      </c>
      <c r="F81" s="5">
        <v>690740500</v>
      </c>
      <c r="G81" s="5">
        <f t="shared" si="2"/>
        <v>491.11932339279366</v>
      </c>
      <c r="H81" s="17">
        <f t="shared" si="3"/>
        <v>3.0542475698931337</v>
      </c>
    </row>
    <row r="82" spans="1:8" x14ac:dyDescent="0.25">
      <c r="A82" s="10"/>
      <c r="B82" s="10"/>
      <c r="C82" s="10">
        <v>2019</v>
      </c>
      <c r="D82" s="11">
        <v>1610</v>
      </c>
      <c r="E82" s="16">
        <v>380381947966</v>
      </c>
      <c r="F82" s="5">
        <v>690740500</v>
      </c>
      <c r="G82" s="5">
        <f t="shared" si="2"/>
        <v>550.68719434577815</v>
      </c>
      <c r="H82" s="17">
        <f t="shared" si="3"/>
        <v>2.9236198272463843</v>
      </c>
    </row>
    <row r="83" spans="1:8" x14ac:dyDescent="0.25">
      <c r="A83" s="10"/>
      <c r="B83" s="10"/>
      <c r="C83" s="10">
        <v>2020</v>
      </c>
      <c r="D83" s="11">
        <v>1565</v>
      </c>
      <c r="E83" s="16">
        <v>406954570727</v>
      </c>
      <c r="F83" s="5">
        <v>690740500</v>
      </c>
      <c r="G83" s="5">
        <f t="shared" si="2"/>
        <v>589.15695652274621</v>
      </c>
      <c r="H83" s="17">
        <f t="shared" si="3"/>
        <v>2.6563379803520633</v>
      </c>
    </row>
    <row r="84" spans="1:8" x14ac:dyDescent="0.25">
      <c r="A84" s="10"/>
      <c r="B84" s="10"/>
      <c r="C84" s="10">
        <v>2021</v>
      </c>
      <c r="D84" s="11">
        <v>2420</v>
      </c>
      <c r="E84" s="16">
        <v>541837229228</v>
      </c>
      <c r="F84" s="5">
        <v>690740500</v>
      </c>
      <c r="G84" s="5">
        <f t="shared" si="2"/>
        <v>784.42950605618171</v>
      </c>
      <c r="H84" s="17">
        <f t="shared" si="3"/>
        <v>3.0850445850346135</v>
      </c>
    </row>
    <row r="85" spans="1:8" x14ac:dyDescent="0.25">
      <c r="A85" s="10"/>
      <c r="B85" s="10"/>
      <c r="C85" s="10">
        <v>2022</v>
      </c>
      <c r="D85" s="11">
        <v>1950</v>
      </c>
      <c r="E85" s="16">
        <v>590753527421</v>
      </c>
      <c r="F85" s="5">
        <v>690740500</v>
      </c>
      <c r="G85" s="5">
        <f t="shared" si="2"/>
        <v>855.24669166061642</v>
      </c>
      <c r="H85" s="17">
        <f t="shared" si="3"/>
        <v>2.2800438972920452</v>
      </c>
    </row>
    <row r="86" spans="1:8" x14ac:dyDescent="0.25">
      <c r="A86" s="10"/>
      <c r="B86" s="10"/>
      <c r="C86" s="10"/>
      <c r="D86" s="11"/>
      <c r="E86" s="16"/>
      <c r="F86" s="5"/>
      <c r="G86" s="5"/>
      <c r="H86" s="17"/>
    </row>
    <row r="87" spans="1:8" x14ac:dyDescent="0.25">
      <c r="A87" s="10">
        <v>15</v>
      </c>
      <c r="B87" s="10" t="s">
        <v>18</v>
      </c>
      <c r="C87" s="10">
        <v>2018</v>
      </c>
      <c r="D87" s="11">
        <v>865</v>
      </c>
      <c r="E87" s="16">
        <v>4783616000000</v>
      </c>
      <c r="F87" s="5">
        <v>5342098939</v>
      </c>
      <c r="G87" s="5">
        <f t="shared" si="2"/>
        <v>895.45627189290815</v>
      </c>
      <c r="H87" s="17">
        <f t="shared" si="3"/>
        <v>0.96598798528874386</v>
      </c>
    </row>
    <row r="88" spans="1:8" x14ac:dyDescent="0.25">
      <c r="A88" s="10"/>
      <c r="B88" s="10"/>
      <c r="C88" s="10">
        <v>2019</v>
      </c>
      <c r="D88" s="11">
        <v>995</v>
      </c>
      <c r="E88" s="16">
        <v>5362924000000</v>
      </c>
      <c r="F88" s="5">
        <v>5342098939</v>
      </c>
      <c r="G88" s="5">
        <f t="shared" si="2"/>
        <v>1003.8982918957129</v>
      </c>
      <c r="H88" s="17">
        <f t="shared" si="3"/>
        <v>0.99113626154407553</v>
      </c>
    </row>
    <row r="89" spans="1:8" x14ac:dyDescent="0.25">
      <c r="A89" s="10"/>
      <c r="B89" s="10"/>
      <c r="C89" s="10">
        <v>2020</v>
      </c>
      <c r="D89" s="11">
        <v>935</v>
      </c>
      <c r="E89" s="16">
        <v>5888856000000</v>
      </c>
      <c r="F89" s="5">
        <v>5342098939</v>
      </c>
      <c r="G89" s="5">
        <f t="shared" si="2"/>
        <v>1102.3487335676994</v>
      </c>
      <c r="H89" s="17">
        <f t="shared" si="3"/>
        <v>0.84818893652094729</v>
      </c>
    </row>
    <row r="90" spans="1:8" x14ac:dyDescent="0.25">
      <c r="A90" s="10"/>
      <c r="B90" s="10"/>
      <c r="C90" s="10">
        <v>2021</v>
      </c>
      <c r="D90" s="11">
        <v>795</v>
      </c>
      <c r="E90" s="16">
        <v>6492354000000</v>
      </c>
      <c r="F90" s="5">
        <v>5342098939</v>
      </c>
      <c r="G90" s="5">
        <f t="shared" si="2"/>
        <v>1215.3189362710154</v>
      </c>
      <c r="H90" s="17">
        <f t="shared" si="3"/>
        <v>0.65414927413153989</v>
      </c>
    </row>
    <row r="91" spans="1:8" x14ac:dyDescent="0.25">
      <c r="A91" s="10"/>
      <c r="B91" s="10"/>
      <c r="C91" s="10">
        <v>2022</v>
      </c>
      <c r="D91" s="11">
        <v>695</v>
      </c>
      <c r="E91" s="16">
        <v>6832234000000</v>
      </c>
      <c r="F91" s="5">
        <v>5342098939</v>
      </c>
      <c r="G91" s="5">
        <f t="shared" si="2"/>
        <v>1278.9418687327686</v>
      </c>
      <c r="H91" s="17">
        <f t="shared" si="3"/>
        <v>0.54341797464855557</v>
      </c>
    </row>
    <row r="92" spans="1:8" x14ac:dyDescent="0.25">
      <c r="A92" s="10"/>
      <c r="B92" s="10"/>
      <c r="C92" s="10"/>
      <c r="D92" s="11"/>
      <c r="E92" s="16"/>
      <c r="F92" s="5"/>
      <c r="G92" s="5"/>
      <c r="H92" s="17"/>
    </row>
    <row r="93" spans="1:8" x14ac:dyDescent="0.25">
      <c r="A93" s="10">
        <v>16</v>
      </c>
      <c r="B93" s="10" t="s">
        <v>19</v>
      </c>
      <c r="C93" s="10">
        <v>2018</v>
      </c>
      <c r="D93" s="11">
        <v>3350</v>
      </c>
      <c r="E93" s="16">
        <v>1247852502884</v>
      </c>
      <c r="F93" s="5">
        <v>918492750</v>
      </c>
      <c r="G93" s="5">
        <f t="shared" si="2"/>
        <v>1358.5872102790142</v>
      </c>
      <c r="H93" s="17">
        <f t="shared" si="3"/>
        <v>2.4657968032188435</v>
      </c>
    </row>
    <row r="94" spans="1:8" x14ac:dyDescent="0.25">
      <c r="A94" s="10"/>
      <c r="B94" s="10"/>
      <c r="C94" s="10">
        <v>2019</v>
      </c>
      <c r="D94" s="11">
        <v>4850</v>
      </c>
      <c r="E94" s="16">
        <v>1391999046712</v>
      </c>
      <c r="F94" s="5">
        <v>918492750</v>
      </c>
      <c r="G94" s="5">
        <f t="shared" si="2"/>
        <v>1515.5253503220358</v>
      </c>
      <c r="H94" s="17">
        <f t="shared" si="3"/>
        <v>3.2002104082055887</v>
      </c>
    </row>
    <row r="95" spans="1:8" x14ac:dyDescent="0.25">
      <c r="A95" s="10"/>
      <c r="B95" s="10"/>
      <c r="C95" s="10">
        <v>2020</v>
      </c>
      <c r="D95" s="11">
        <v>7275</v>
      </c>
      <c r="E95" s="16">
        <v>1598672228267</v>
      </c>
      <c r="F95" s="5">
        <v>918492750</v>
      </c>
      <c r="G95" s="5">
        <f t="shared" si="2"/>
        <v>1740.5387557680776</v>
      </c>
      <c r="H95" s="17">
        <f t="shared" si="3"/>
        <v>4.1797403108037283</v>
      </c>
    </row>
    <row r="96" spans="1:8" x14ac:dyDescent="0.25">
      <c r="A96" s="10"/>
      <c r="B96" s="10"/>
      <c r="C96" s="10">
        <v>2021</v>
      </c>
      <c r="D96" s="11">
        <v>7000</v>
      </c>
      <c r="E96" s="16">
        <v>1760590755177</v>
      </c>
      <c r="F96" s="5">
        <v>918492750</v>
      </c>
      <c r="G96" s="5">
        <f t="shared" si="2"/>
        <v>1916.8259686067202</v>
      </c>
      <c r="H96" s="17">
        <f t="shared" si="3"/>
        <v>3.6518703912844406</v>
      </c>
    </row>
    <row r="97" spans="1:8" x14ac:dyDescent="0.25">
      <c r="A97" s="10"/>
      <c r="B97" s="10"/>
      <c r="C97" s="10">
        <v>2022</v>
      </c>
      <c r="D97" s="11">
        <v>7100</v>
      </c>
      <c r="E97" s="16">
        <v>2045289129558</v>
      </c>
      <c r="F97" s="5">
        <v>918492750</v>
      </c>
      <c r="G97" s="5">
        <f t="shared" si="2"/>
        <v>2226.7885397658283</v>
      </c>
      <c r="H97" s="17">
        <f t="shared" si="3"/>
        <v>3.1884482397895959</v>
      </c>
    </row>
    <row r="98" spans="1:8" x14ac:dyDescent="0.25">
      <c r="A98" s="10"/>
      <c r="B98" s="10"/>
      <c r="C98" s="10"/>
      <c r="D98" s="11"/>
      <c r="E98" s="16"/>
      <c r="F98" s="5"/>
      <c r="G98" s="5"/>
      <c r="H98" s="17"/>
    </row>
    <row r="99" spans="1:8" x14ac:dyDescent="0.25">
      <c r="A99" s="10">
        <v>17</v>
      </c>
      <c r="B99" s="10" t="s">
        <v>20</v>
      </c>
      <c r="C99" s="10">
        <v>2018</v>
      </c>
      <c r="D99" s="11">
        <v>1350</v>
      </c>
      <c r="E99" s="16">
        <v>4774956000000</v>
      </c>
      <c r="F99" s="5">
        <v>11553528000</v>
      </c>
      <c r="G99" s="5">
        <f t="shared" si="2"/>
        <v>413.28986262897359</v>
      </c>
      <c r="H99" s="17">
        <f t="shared" si="3"/>
        <v>3.2664725706372999</v>
      </c>
    </row>
    <row r="100" spans="1:8" x14ac:dyDescent="0.25">
      <c r="A100" s="10"/>
      <c r="B100" s="10"/>
      <c r="C100" s="10">
        <v>2019</v>
      </c>
      <c r="D100" s="11">
        <v>1680</v>
      </c>
      <c r="E100" s="16">
        <v>5655139000000</v>
      </c>
      <c r="F100" s="5">
        <v>11553528000</v>
      </c>
      <c r="G100" s="5">
        <f t="shared" si="2"/>
        <v>489.47291251641923</v>
      </c>
      <c r="H100" s="17">
        <f t="shared" si="3"/>
        <v>3.4322634757518782</v>
      </c>
    </row>
    <row r="101" spans="1:8" x14ac:dyDescent="0.25">
      <c r="A101" s="10"/>
      <c r="B101" s="10"/>
      <c r="C101" s="10">
        <v>2020</v>
      </c>
      <c r="D101" s="11">
        <v>1600</v>
      </c>
      <c r="E101" s="16">
        <v>4781737000000</v>
      </c>
      <c r="F101" s="5">
        <v>11553528000</v>
      </c>
      <c r="G101" s="5">
        <f t="shared" si="2"/>
        <v>413.87678291860288</v>
      </c>
      <c r="H101" s="17">
        <f t="shared" si="3"/>
        <v>3.8658848866008313</v>
      </c>
    </row>
    <row r="102" spans="1:8" x14ac:dyDescent="0.25">
      <c r="A102" s="10"/>
      <c r="B102" s="10"/>
      <c r="C102" s="10">
        <v>2021</v>
      </c>
      <c r="D102" s="11">
        <v>1570</v>
      </c>
      <c r="E102" s="16">
        <v>5138126000000</v>
      </c>
      <c r="F102" s="5">
        <v>11553528000</v>
      </c>
      <c r="G102" s="5">
        <f t="shared" si="2"/>
        <v>444.72355110923695</v>
      </c>
      <c r="H102" s="17">
        <f t="shared" si="3"/>
        <v>3.5302830175826752</v>
      </c>
    </row>
    <row r="103" spans="1:8" x14ac:dyDescent="0.25">
      <c r="A103" s="10"/>
      <c r="B103" s="10"/>
      <c r="C103" s="10">
        <v>2022</v>
      </c>
      <c r="D103" s="11">
        <v>1475</v>
      </c>
      <c r="E103" s="16">
        <v>5822679000000</v>
      </c>
      <c r="F103" s="5">
        <v>11553528000</v>
      </c>
      <c r="G103" s="5">
        <f t="shared" si="2"/>
        <v>503.97411076512731</v>
      </c>
      <c r="H103" s="17">
        <f t="shared" si="3"/>
        <v>2.926737640869435</v>
      </c>
    </row>
  </sheetData>
  <mergeCells count="2">
    <mergeCell ref="J5:K5"/>
    <mergeCell ref="A1:H1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3"/>
  <sheetViews>
    <sheetView topLeftCell="A85" workbookViewId="0">
      <selection activeCell="A106" sqref="A106"/>
    </sheetView>
  </sheetViews>
  <sheetFormatPr defaultRowHeight="15" x14ac:dyDescent="0.25"/>
  <cols>
    <col min="2" max="2" width="11.28515625" bestFit="1" customWidth="1"/>
    <col min="3" max="3" width="6.42578125" bestFit="1" customWidth="1"/>
    <col min="4" max="4" width="37.140625" bestFit="1" customWidth="1"/>
    <col min="5" max="5" width="26.7109375" bestFit="1" customWidth="1"/>
    <col min="6" max="6" width="20.42578125" customWidth="1"/>
    <col min="7" max="7" width="22.5703125" bestFit="1" customWidth="1"/>
    <col min="9" max="9" width="31" bestFit="1" customWidth="1"/>
    <col min="10" max="10" width="38" bestFit="1" customWidth="1"/>
  </cols>
  <sheetData>
    <row r="1" spans="1:11" ht="25.5" customHeight="1" x14ac:dyDescent="0.25">
      <c r="A1" s="20" t="s">
        <v>40</v>
      </c>
      <c r="B1" s="20"/>
      <c r="C1" s="20"/>
      <c r="D1" s="20"/>
      <c r="E1" s="20"/>
      <c r="F1" s="20"/>
      <c r="G1" s="20"/>
    </row>
    <row r="2" spans="1:11" x14ac:dyDescent="0.25">
      <c r="A2" s="2" t="s">
        <v>0</v>
      </c>
      <c r="B2" s="2" t="s">
        <v>1</v>
      </c>
      <c r="C2" s="2" t="s">
        <v>2</v>
      </c>
      <c r="D2" s="2" t="s">
        <v>34</v>
      </c>
      <c r="E2" s="9" t="s">
        <v>35</v>
      </c>
      <c r="F2" s="18">
        <v>1</v>
      </c>
      <c r="G2" s="2" t="s">
        <v>36</v>
      </c>
    </row>
    <row r="3" spans="1:11" x14ac:dyDescent="0.25">
      <c r="A3" s="3">
        <v>1</v>
      </c>
      <c r="B3" s="4" t="s">
        <v>11</v>
      </c>
      <c r="C3" s="3">
        <v>2018</v>
      </c>
      <c r="D3" s="11">
        <v>0</v>
      </c>
      <c r="E3" s="13">
        <v>1924688333</v>
      </c>
      <c r="F3" s="19">
        <v>1</v>
      </c>
      <c r="G3" s="17">
        <v>0</v>
      </c>
    </row>
    <row r="4" spans="1:11" ht="15.75" thickBot="1" x14ac:dyDescent="0.3">
      <c r="A4" s="3"/>
      <c r="B4" s="4"/>
      <c r="C4" s="3">
        <v>2019</v>
      </c>
      <c r="D4" s="11">
        <v>0</v>
      </c>
      <c r="E4" s="13">
        <v>1924688333</v>
      </c>
      <c r="F4" s="19">
        <v>1</v>
      </c>
      <c r="G4" s="17">
        <v>0</v>
      </c>
    </row>
    <row r="5" spans="1:11" x14ac:dyDescent="0.25">
      <c r="A5" s="3"/>
      <c r="B5" s="4"/>
      <c r="C5" s="3">
        <v>2020</v>
      </c>
      <c r="D5" s="11">
        <v>0</v>
      </c>
      <c r="E5" s="13">
        <v>1924688333</v>
      </c>
      <c r="F5" s="19">
        <v>1</v>
      </c>
      <c r="G5" s="17">
        <v>0</v>
      </c>
      <c r="I5" s="7" t="s">
        <v>10</v>
      </c>
      <c r="J5" s="26"/>
      <c r="K5" s="25"/>
    </row>
    <row r="6" spans="1:11" x14ac:dyDescent="0.25">
      <c r="A6" s="3"/>
      <c r="B6" s="4"/>
      <c r="C6" s="3">
        <v>2021</v>
      </c>
      <c r="D6" s="11">
        <v>0</v>
      </c>
      <c r="E6" s="13">
        <v>1924688333</v>
      </c>
      <c r="F6" s="19">
        <v>1</v>
      </c>
      <c r="G6" s="17">
        <v>0</v>
      </c>
      <c r="I6" s="21" t="s">
        <v>46</v>
      </c>
      <c r="J6" s="30" t="s">
        <v>47</v>
      </c>
      <c r="K6" s="27">
        <v>1</v>
      </c>
    </row>
    <row r="7" spans="1:11" ht="15.75" thickBot="1" x14ac:dyDescent="0.3">
      <c r="A7" s="3"/>
      <c r="B7" s="4"/>
      <c r="C7" s="3">
        <v>2022</v>
      </c>
      <c r="D7" s="11">
        <v>0</v>
      </c>
      <c r="E7" s="13">
        <v>1924688333</v>
      </c>
      <c r="F7" s="19">
        <v>1</v>
      </c>
      <c r="G7" s="17">
        <v>0</v>
      </c>
      <c r="I7" s="22"/>
      <c r="J7" s="28" t="s">
        <v>35</v>
      </c>
      <c r="K7" s="29"/>
    </row>
    <row r="8" spans="1:11" x14ac:dyDescent="0.25">
      <c r="A8" s="3"/>
      <c r="B8" s="4"/>
      <c r="C8" s="3"/>
      <c r="D8" s="11"/>
      <c r="E8" s="16"/>
      <c r="F8" s="19"/>
      <c r="G8" s="17"/>
    </row>
    <row r="9" spans="1:11" x14ac:dyDescent="0.25">
      <c r="A9" s="3">
        <v>2</v>
      </c>
      <c r="B9" s="4" t="s">
        <v>12</v>
      </c>
      <c r="C9" s="3">
        <v>2018</v>
      </c>
      <c r="D9" s="11">
        <v>6300000</v>
      </c>
      <c r="E9" s="16">
        <v>3000000000</v>
      </c>
      <c r="F9" s="19">
        <v>1</v>
      </c>
      <c r="G9" s="17">
        <f>D9/E9*100%</f>
        <v>2.0999999999999999E-3</v>
      </c>
    </row>
    <row r="10" spans="1:11" x14ac:dyDescent="0.25">
      <c r="A10" s="3"/>
      <c r="B10" s="4"/>
      <c r="C10" s="3">
        <v>2019</v>
      </c>
      <c r="D10" s="11">
        <v>7550000</v>
      </c>
      <c r="E10" s="16">
        <v>3000000000</v>
      </c>
      <c r="F10" s="19">
        <v>1</v>
      </c>
      <c r="G10" s="17">
        <f t="shared" ref="G10:G67" si="0">D10/E10*100%</f>
        <v>2.5166666666666666E-3</v>
      </c>
    </row>
    <row r="11" spans="1:11" x14ac:dyDescent="0.25">
      <c r="A11" s="3"/>
      <c r="B11" s="4"/>
      <c r="C11" s="3">
        <v>2020</v>
      </c>
      <c r="D11" s="11">
        <v>7550000</v>
      </c>
      <c r="E11" s="16">
        <v>3000000000</v>
      </c>
      <c r="F11" s="19">
        <v>1</v>
      </c>
      <c r="G11" s="17">
        <f t="shared" si="0"/>
        <v>2.5166666666666666E-3</v>
      </c>
    </row>
    <row r="12" spans="1:11" x14ac:dyDescent="0.25">
      <c r="A12" s="3"/>
      <c r="B12" s="4"/>
      <c r="C12" s="3">
        <v>2021</v>
      </c>
      <c r="D12" s="11">
        <v>500000</v>
      </c>
      <c r="E12" s="16">
        <v>3000000000</v>
      </c>
      <c r="F12" s="19">
        <v>1</v>
      </c>
      <c r="G12" s="17">
        <f t="shared" si="0"/>
        <v>1.6666666666666666E-4</v>
      </c>
    </row>
    <row r="13" spans="1:11" x14ac:dyDescent="0.25">
      <c r="A13" s="3"/>
      <c r="B13" s="4"/>
      <c r="C13" s="3">
        <v>2022</v>
      </c>
      <c r="D13" s="11">
        <v>2748900</v>
      </c>
      <c r="E13" s="16">
        <v>3000000000</v>
      </c>
      <c r="F13" s="19">
        <v>1</v>
      </c>
      <c r="G13" s="17">
        <f t="shared" si="0"/>
        <v>9.1629999999999999E-4</v>
      </c>
    </row>
    <row r="14" spans="1:11" x14ac:dyDescent="0.25">
      <c r="A14" s="3"/>
      <c r="B14" s="4"/>
      <c r="C14" s="3"/>
      <c r="D14" s="11"/>
      <c r="E14" s="16"/>
      <c r="F14" s="19"/>
      <c r="G14" s="17"/>
    </row>
    <row r="15" spans="1:11" x14ac:dyDescent="0.25">
      <c r="A15" s="3">
        <v>3</v>
      </c>
      <c r="B15" s="4" t="s">
        <v>13</v>
      </c>
      <c r="C15" s="3">
        <v>2018</v>
      </c>
      <c r="D15" s="11"/>
      <c r="E15" s="16">
        <v>4498997362</v>
      </c>
      <c r="F15" s="19">
        <v>1</v>
      </c>
      <c r="G15" s="17">
        <f t="shared" si="0"/>
        <v>0</v>
      </c>
    </row>
    <row r="16" spans="1:11" x14ac:dyDescent="0.25">
      <c r="A16" s="3"/>
      <c r="B16" s="4"/>
      <c r="C16" s="3">
        <v>2019</v>
      </c>
      <c r="D16" s="11"/>
      <c r="E16" s="16">
        <v>4498997362</v>
      </c>
      <c r="F16" s="19">
        <v>1</v>
      </c>
      <c r="G16" s="17">
        <f t="shared" si="0"/>
        <v>0</v>
      </c>
    </row>
    <row r="17" spans="1:7" x14ac:dyDescent="0.25">
      <c r="A17" s="3"/>
      <c r="B17" s="4"/>
      <c r="C17" s="3">
        <v>2020</v>
      </c>
      <c r="D17" s="11"/>
      <c r="E17" s="16">
        <v>4498997362</v>
      </c>
      <c r="F17" s="19">
        <v>1</v>
      </c>
      <c r="G17" s="17">
        <f t="shared" si="0"/>
        <v>0</v>
      </c>
    </row>
    <row r="18" spans="1:7" x14ac:dyDescent="0.25">
      <c r="A18" s="3"/>
      <c r="B18" s="4"/>
      <c r="C18" s="3">
        <v>2021</v>
      </c>
      <c r="D18" s="11"/>
      <c r="E18" s="16">
        <v>4498997362</v>
      </c>
      <c r="F18" s="19">
        <v>1</v>
      </c>
      <c r="G18" s="17">
        <f t="shared" si="0"/>
        <v>0</v>
      </c>
    </row>
    <row r="19" spans="1:7" x14ac:dyDescent="0.25">
      <c r="A19" s="3"/>
      <c r="B19" s="4"/>
      <c r="C19" s="3">
        <v>2022</v>
      </c>
      <c r="D19" s="11"/>
      <c r="E19" s="16">
        <v>4498997362</v>
      </c>
      <c r="F19" s="19">
        <v>1</v>
      </c>
      <c r="G19" s="17">
        <f t="shared" si="0"/>
        <v>0</v>
      </c>
    </row>
    <row r="20" spans="1:7" x14ac:dyDescent="0.25">
      <c r="A20" s="3"/>
      <c r="B20" s="4"/>
      <c r="C20" s="3"/>
      <c r="D20" s="11"/>
      <c r="E20" s="16"/>
      <c r="F20" s="19"/>
      <c r="G20" s="17"/>
    </row>
    <row r="21" spans="1:7" x14ac:dyDescent="0.25">
      <c r="A21" s="3">
        <v>4</v>
      </c>
      <c r="B21" s="4" t="s">
        <v>8</v>
      </c>
      <c r="C21" s="3">
        <v>2018</v>
      </c>
      <c r="D21" s="11">
        <v>4500000</v>
      </c>
      <c r="E21" s="16">
        <v>595000000</v>
      </c>
      <c r="F21" s="19">
        <v>1</v>
      </c>
      <c r="G21" s="17">
        <f t="shared" si="0"/>
        <v>7.5630252100840336E-3</v>
      </c>
    </row>
    <row r="22" spans="1:7" x14ac:dyDescent="0.25">
      <c r="A22" s="3"/>
      <c r="B22" s="4"/>
      <c r="C22" s="3">
        <v>2019</v>
      </c>
      <c r="D22" s="11">
        <v>0</v>
      </c>
      <c r="E22" s="16">
        <v>595000000</v>
      </c>
      <c r="F22" s="19">
        <v>1</v>
      </c>
      <c r="G22" s="17">
        <f t="shared" si="0"/>
        <v>0</v>
      </c>
    </row>
    <row r="23" spans="1:7" x14ac:dyDescent="0.25">
      <c r="A23" s="3"/>
      <c r="B23" s="4"/>
      <c r="C23" s="3">
        <v>2020</v>
      </c>
      <c r="D23" s="11">
        <v>0</v>
      </c>
      <c r="E23" s="16">
        <v>595000000</v>
      </c>
      <c r="F23" s="19">
        <v>1</v>
      </c>
      <c r="G23" s="17">
        <f t="shared" si="0"/>
        <v>0</v>
      </c>
    </row>
    <row r="24" spans="1:7" x14ac:dyDescent="0.25">
      <c r="A24" s="3"/>
      <c r="B24" s="4"/>
      <c r="C24" s="3">
        <v>2021</v>
      </c>
      <c r="D24" s="11">
        <v>118200</v>
      </c>
      <c r="E24" s="16">
        <v>595000000</v>
      </c>
      <c r="F24" s="19">
        <v>1</v>
      </c>
      <c r="G24" s="17">
        <f t="shared" si="0"/>
        <v>1.9865546218487395E-4</v>
      </c>
    </row>
    <row r="25" spans="1:7" x14ac:dyDescent="0.25">
      <c r="A25" s="3"/>
      <c r="B25" s="4"/>
      <c r="C25" s="3">
        <v>2022</v>
      </c>
      <c r="D25" s="11">
        <v>250000</v>
      </c>
      <c r="E25" s="16">
        <v>595000000</v>
      </c>
      <c r="F25" s="19">
        <v>1</v>
      </c>
      <c r="G25" s="17">
        <f t="shared" si="0"/>
        <v>4.2016806722689078E-4</v>
      </c>
    </row>
    <row r="26" spans="1:7" x14ac:dyDescent="0.25">
      <c r="A26" s="3"/>
      <c r="B26" s="4"/>
      <c r="C26" s="3"/>
      <c r="D26" s="11"/>
      <c r="E26" s="16"/>
      <c r="F26" s="19"/>
      <c r="G26" s="17"/>
    </row>
    <row r="27" spans="1:7" x14ac:dyDescent="0.25">
      <c r="A27" s="3">
        <v>5</v>
      </c>
      <c r="B27" s="4" t="s">
        <v>14</v>
      </c>
      <c r="C27" s="3">
        <v>2018</v>
      </c>
      <c r="D27" s="11"/>
      <c r="E27" s="16">
        <v>16398000000</v>
      </c>
      <c r="F27" s="19">
        <v>1</v>
      </c>
      <c r="G27" s="17">
        <f t="shared" si="0"/>
        <v>0</v>
      </c>
    </row>
    <row r="28" spans="1:7" x14ac:dyDescent="0.25">
      <c r="A28" s="3"/>
      <c r="B28" s="4"/>
      <c r="C28" s="3">
        <v>2019</v>
      </c>
      <c r="D28" s="11"/>
      <c r="E28" s="16">
        <v>16398000000</v>
      </c>
      <c r="F28" s="19">
        <v>1</v>
      </c>
      <c r="G28" s="17">
        <f t="shared" si="0"/>
        <v>0</v>
      </c>
    </row>
    <row r="29" spans="1:7" x14ac:dyDescent="0.25">
      <c r="A29" s="3"/>
      <c r="B29" s="4"/>
      <c r="C29" s="3">
        <v>2020</v>
      </c>
      <c r="D29" s="11"/>
      <c r="E29" s="16">
        <v>16398000000</v>
      </c>
      <c r="F29" s="19">
        <v>1</v>
      </c>
      <c r="G29" s="17">
        <f t="shared" si="0"/>
        <v>0</v>
      </c>
    </row>
    <row r="30" spans="1:7" x14ac:dyDescent="0.25">
      <c r="A30" s="3"/>
      <c r="B30" s="4"/>
      <c r="C30" s="3">
        <v>2021</v>
      </c>
      <c r="D30" s="11"/>
      <c r="E30" s="16">
        <v>16398000000</v>
      </c>
      <c r="F30" s="19">
        <v>1</v>
      </c>
      <c r="G30" s="17">
        <f t="shared" si="0"/>
        <v>0</v>
      </c>
    </row>
    <row r="31" spans="1:7" x14ac:dyDescent="0.25">
      <c r="A31" s="3"/>
      <c r="B31" s="4"/>
      <c r="C31" s="3">
        <v>2022</v>
      </c>
      <c r="D31" s="11"/>
      <c r="E31" s="16">
        <v>16398000000</v>
      </c>
      <c r="F31" s="19">
        <v>1</v>
      </c>
      <c r="G31" s="17">
        <f t="shared" si="0"/>
        <v>0</v>
      </c>
    </row>
    <row r="32" spans="1:7" x14ac:dyDescent="0.25">
      <c r="A32" s="3"/>
      <c r="B32" s="4"/>
      <c r="C32" s="3"/>
      <c r="D32" s="11"/>
      <c r="E32" s="16"/>
      <c r="F32" s="19"/>
      <c r="G32" s="17"/>
    </row>
    <row r="33" spans="1:7" x14ac:dyDescent="0.25">
      <c r="A33" s="3">
        <v>6</v>
      </c>
      <c r="B33" s="4" t="s">
        <v>7</v>
      </c>
      <c r="C33" s="3">
        <v>2018</v>
      </c>
      <c r="D33" s="11"/>
      <c r="E33" s="16">
        <v>800659050</v>
      </c>
      <c r="F33" s="19">
        <v>1</v>
      </c>
      <c r="G33" s="17">
        <f t="shared" si="0"/>
        <v>0</v>
      </c>
    </row>
    <row r="34" spans="1:7" x14ac:dyDescent="0.25">
      <c r="A34" s="3"/>
      <c r="B34" s="4"/>
      <c r="C34" s="3">
        <v>2019</v>
      </c>
      <c r="D34" s="11"/>
      <c r="E34" s="16">
        <v>800659050</v>
      </c>
      <c r="F34" s="19">
        <v>1</v>
      </c>
      <c r="G34" s="17">
        <f t="shared" si="0"/>
        <v>0</v>
      </c>
    </row>
    <row r="35" spans="1:7" x14ac:dyDescent="0.25">
      <c r="A35" s="3"/>
      <c r="B35" s="4"/>
      <c r="C35" s="3">
        <v>2020</v>
      </c>
      <c r="D35" s="11"/>
      <c r="E35" s="16">
        <v>800659050</v>
      </c>
      <c r="F35" s="19">
        <v>1</v>
      </c>
      <c r="G35" s="17">
        <f t="shared" si="0"/>
        <v>0</v>
      </c>
    </row>
    <row r="36" spans="1:7" x14ac:dyDescent="0.25">
      <c r="A36" s="3"/>
      <c r="B36" s="4"/>
      <c r="C36" s="3">
        <v>2021</v>
      </c>
      <c r="D36" s="11"/>
      <c r="E36" s="16">
        <v>800659050</v>
      </c>
      <c r="F36" s="19">
        <v>1</v>
      </c>
      <c r="G36" s="17">
        <f t="shared" si="0"/>
        <v>0</v>
      </c>
    </row>
    <row r="37" spans="1:7" x14ac:dyDescent="0.25">
      <c r="A37" s="3"/>
      <c r="B37" s="4"/>
      <c r="C37" s="3">
        <v>2022</v>
      </c>
      <c r="D37" s="11"/>
      <c r="E37" s="16">
        <v>800659050</v>
      </c>
      <c r="F37" s="19">
        <v>1</v>
      </c>
      <c r="G37" s="17">
        <f t="shared" si="0"/>
        <v>0</v>
      </c>
    </row>
    <row r="38" spans="1:7" x14ac:dyDescent="0.25">
      <c r="A38" s="3"/>
      <c r="B38" s="4"/>
      <c r="C38" s="3"/>
      <c r="D38" s="11"/>
      <c r="E38" s="16"/>
      <c r="F38" s="19"/>
      <c r="G38" s="17"/>
    </row>
    <row r="39" spans="1:7" x14ac:dyDescent="0.25">
      <c r="A39" s="3">
        <v>7</v>
      </c>
      <c r="B39" s="4" t="s">
        <v>15</v>
      </c>
      <c r="C39" s="3">
        <v>2018</v>
      </c>
      <c r="D39" s="11">
        <v>1151335000</v>
      </c>
      <c r="E39" s="16">
        <v>10599842400</v>
      </c>
      <c r="F39" s="19">
        <v>1</v>
      </c>
      <c r="G39" s="17">
        <f t="shared" si="0"/>
        <v>0.10861812436003765</v>
      </c>
    </row>
    <row r="40" spans="1:7" x14ac:dyDescent="0.25">
      <c r="A40" s="3"/>
      <c r="B40" s="4"/>
      <c r="C40" s="3">
        <v>2019</v>
      </c>
      <c r="D40" s="11">
        <v>1151335000</v>
      </c>
      <c r="E40" s="16">
        <v>10599842400</v>
      </c>
      <c r="F40" s="19">
        <v>1</v>
      </c>
      <c r="G40" s="17">
        <f t="shared" si="0"/>
        <v>0.10861812436003765</v>
      </c>
    </row>
    <row r="41" spans="1:7" x14ac:dyDescent="0.25">
      <c r="A41" s="3"/>
      <c r="B41" s="4"/>
      <c r="C41" s="3">
        <v>2020</v>
      </c>
      <c r="D41" s="11">
        <v>1151335000</v>
      </c>
      <c r="E41" s="16">
        <v>10599842400</v>
      </c>
      <c r="F41" s="19">
        <v>1</v>
      </c>
      <c r="G41" s="17">
        <f t="shared" si="0"/>
        <v>0.10861812436003765</v>
      </c>
    </row>
    <row r="42" spans="1:7" x14ac:dyDescent="0.25">
      <c r="A42" s="3"/>
      <c r="B42" s="4"/>
      <c r="C42" s="3">
        <v>2021</v>
      </c>
      <c r="D42" s="11">
        <v>1151335000</v>
      </c>
      <c r="E42" s="16">
        <v>10599842400</v>
      </c>
      <c r="F42" s="19">
        <v>1</v>
      </c>
      <c r="G42" s="17">
        <f t="shared" si="0"/>
        <v>0.10861812436003765</v>
      </c>
    </row>
    <row r="43" spans="1:7" x14ac:dyDescent="0.25">
      <c r="A43" s="3"/>
      <c r="B43" s="4"/>
      <c r="C43" s="3">
        <v>2022</v>
      </c>
      <c r="D43" s="11">
        <v>1151335000</v>
      </c>
      <c r="E43" s="16">
        <v>10599842400</v>
      </c>
      <c r="F43" s="19">
        <v>1</v>
      </c>
      <c r="G43" s="17">
        <f t="shared" si="0"/>
        <v>0.10861812436003765</v>
      </c>
    </row>
    <row r="44" spans="1:7" x14ac:dyDescent="0.25">
      <c r="A44" s="3"/>
      <c r="B44" s="4"/>
      <c r="C44" s="3"/>
      <c r="D44" s="11"/>
      <c r="E44" s="16"/>
      <c r="F44" s="19"/>
      <c r="G44" s="17"/>
    </row>
    <row r="45" spans="1:7" x14ac:dyDescent="0.25">
      <c r="A45" s="3">
        <v>8</v>
      </c>
      <c r="B45" s="4" t="s">
        <v>3</v>
      </c>
      <c r="C45" s="3">
        <v>2018</v>
      </c>
      <c r="D45" s="11"/>
      <c r="E45" s="16">
        <v>11661908000</v>
      </c>
      <c r="F45" s="19">
        <v>1</v>
      </c>
      <c r="G45" s="17">
        <f t="shared" si="0"/>
        <v>0</v>
      </c>
    </row>
    <row r="46" spans="1:7" x14ac:dyDescent="0.25">
      <c r="A46" s="3"/>
      <c r="B46" s="4"/>
      <c r="C46" s="3">
        <v>2019</v>
      </c>
      <c r="D46" s="11"/>
      <c r="E46" s="16">
        <v>11661908000</v>
      </c>
      <c r="F46" s="19">
        <v>1</v>
      </c>
      <c r="G46" s="17">
        <f t="shared" si="0"/>
        <v>0</v>
      </c>
    </row>
    <row r="47" spans="1:7" x14ac:dyDescent="0.25">
      <c r="A47" s="3"/>
      <c r="B47" s="4"/>
      <c r="C47" s="3">
        <v>2020</v>
      </c>
      <c r="D47" s="11"/>
      <c r="E47" s="16">
        <v>11661908000</v>
      </c>
      <c r="F47" s="19">
        <v>1</v>
      </c>
      <c r="G47" s="17">
        <f t="shared" si="0"/>
        <v>0</v>
      </c>
    </row>
    <row r="48" spans="1:7" x14ac:dyDescent="0.25">
      <c r="A48" s="3"/>
      <c r="B48" s="4"/>
      <c r="C48" s="3">
        <v>2021</v>
      </c>
      <c r="D48" s="11"/>
      <c r="E48" s="16">
        <v>11661908000</v>
      </c>
      <c r="F48" s="19">
        <v>1</v>
      </c>
      <c r="G48" s="17">
        <f t="shared" si="0"/>
        <v>0</v>
      </c>
    </row>
    <row r="49" spans="1:7" x14ac:dyDescent="0.25">
      <c r="A49" s="3"/>
      <c r="B49" s="4"/>
      <c r="C49" s="3">
        <v>2022</v>
      </c>
      <c r="D49" s="11"/>
      <c r="E49" s="16">
        <v>11661908000</v>
      </c>
      <c r="F49" s="19">
        <v>1</v>
      </c>
      <c r="G49" s="17">
        <f t="shared" si="0"/>
        <v>0</v>
      </c>
    </row>
    <row r="50" spans="1:7" x14ac:dyDescent="0.25">
      <c r="A50" s="3"/>
      <c r="B50" s="4"/>
      <c r="C50" s="3"/>
      <c r="D50" s="11"/>
      <c r="E50" s="16"/>
      <c r="F50" s="19"/>
      <c r="G50" s="17"/>
    </row>
    <row r="51" spans="1:7" x14ac:dyDescent="0.25">
      <c r="A51" s="3">
        <v>9</v>
      </c>
      <c r="B51" s="4" t="s">
        <v>4</v>
      </c>
      <c r="C51" s="3">
        <v>2018</v>
      </c>
      <c r="D51" s="11">
        <v>1380020</v>
      </c>
      <c r="E51" s="16">
        <v>8780426500</v>
      </c>
      <c r="F51" s="19">
        <v>1</v>
      </c>
      <c r="G51" s="17">
        <f t="shared" si="0"/>
        <v>1.5717004179694461E-4</v>
      </c>
    </row>
    <row r="52" spans="1:7" x14ac:dyDescent="0.25">
      <c r="A52" s="3"/>
      <c r="B52" s="4"/>
      <c r="C52" s="3">
        <v>2019</v>
      </c>
      <c r="D52" s="11">
        <v>1380020</v>
      </c>
      <c r="E52" s="16">
        <v>8780426500</v>
      </c>
      <c r="F52" s="19">
        <v>1</v>
      </c>
      <c r="G52" s="17">
        <f t="shared" si="0"/>
        <v>1.5717004179694461E-4</v>
      </c>
    </row>
    <row r="53" spans="1:7" x14ac:dyDescent="0.25">
      <c r="A53" s="3"/>
      <c r="B53" s="4"/>
      <c r="C53" s="3">
        <v>2020</v>
      </c>
      <c r="D53" s="11">
        <v>1380020</v>
      </c>
      <c r="E53" s="16">
        <v>8780426500</v>
      </c>
      <c r="F53" s="19">
        <v>1</v>
      </c>
      <c r="G53" s="17">
        <f t="shared" si="0"/>
        <v>1.5717004179694461E-4</v>
      </c>
    </row>
    <row r="54" spans="1:7" x14ac:dyDescent="0.25">
      <c r="A54" s="3"/>
      <c r="B54" s="4"/>
      <c r="C54" s="3">
        <v>2021</v>
      </c>
      <c r="D54" s="11">
        <v>1380020</v>
      </c>
      <c r="E54" s="16">
        <v>8780426500</v>
      </c>
      <c r="F54" s="19">
        <v>1</v>
      </c>
      <c r="G54" s="17">
        <f t="shared" si="0"/>
        <v>1.5717004179694461E-4</v>
      </c>
    </row>
    <row r="55" spans="1:7" x14ac:dyDescent="0.25">
      <c r="A55" s="3"/>
      <c r="B55" s="4"/>
      <c r="C55" s="3">
        <v>2022</v>
      </c>
      <c r="D55" s="11">
        <v>1380020</v>
      </c>
      <c r="E55" s="16">
        <v>8780426500</v>
      </c>
      <c r="F55" s="19">
        <v>1</v>
      </c>
      <c r="G55" s="17">
        <f t="shared" si="0"/>
        <v>1.5717004179694461E-4</v>
      </c>
    </row>
    <row r="56" spans="1:7" x14ac:dyDescent="0.25">
      <c r="A56" s="3"/>
      <c r="B56" s="4"/>
      <c r="C56" s="3"/>
      <c r="D56" s="11"/>
      <c r="E56" s="16"/>
      <c r="F56" s="19"/>
      <c r="G56" s="17"/>
    </row>
    <row r="57" spans="1:7" x14ac:dyDescent="0.25">
      <c r="A57" s="10">
        <v>10</v>
      </c>
      <c r="B57" s="10" t="s">
        <v>16</v>
      </c>
      <c r="C57" s="10">
        <v>2018</v>
      </c>
      <c r="D57" s="11"/>
      <c r="E57" s="16">
        <v>11726575201</v>
      </c>
      <c r="F57" s="19">
        <v>1</v>
      </c>
      <c r="G57" s="17">
        <f t="shared" si="0"/>
        <v>0</v>
      </c>
    </row>
    <row r="58" spans="1:7" x14ac:dyDescent="0.25">
      <c r="A58" s="10"/>
      <c r="B58" s="10"/>
      <c r="C58" s="10">
        <v>2019</v>
      </c>
      <c r="D58" s="11"/>
      <c r="E58" s="16">
        <v>11726575201</v>
      </c>
      <c r="F58" s="19">
        <v>1</v>
      </c>
      <c r="G58" s="17">
        <f t="shared" si="0"/>
        <v>0</v>
      </c>
    </row>
    <row r="59" spans="1:7" x14ac:dyDescent="0.25">
      <c r="A59" s="10"/>
      <c r="B59" s="10"/>
      <c r="C59" s="10">
        <v>2020</v>
      </c>
      <c r="D59" s="11"/>
      <c r="E59" s="16">
        <v>11726575201</v>
      </c>
      <c r="F59" s="19">
        <v>1</v>
      </c>
      <c r="G59" s="17">
        <f t="shared" si="0"/>
        <v>0</v>
      </c>
    </row>
    <row r="60" spans="1:7" x14ac:dyDescent="0.25">
      <c r="A60" s="10"/>
      <c r="B60" s="10"/>
      <c r="C60" s="10">
        <v>2021</v>
      </c>
      <c r="D60" s="11"/>
      <c r="E60" s="16">
        <v>11726575201</v>
      </c>
      <c r="F60" s="19">
        <v>1</v>
      </c>
      <c r="G60" s="17">
        <f t="shared" si="0"/>
        <v>0</v>
      </c>
    </row>
    <row r="61" spans="1:7" x14ac:dyDescent="0.25">
      <c r="A61" s="10"/>
      <c r="B61" s="10"/>
      <c r="C61" s="10">
        <v>2022</v>
      </c>
      <c r="D61" s="11"/>
      <c r="E61" s="16">
        <v>11726575201</v>
      </c>
      <c r="F61" s="19">
        <v>1</v>
      </c>
      <c r="G61" s="17">
        <f t="shared" si="0"/>
        <v>0</v>
      </c>
    </row>
    <row r="62" spans="1:7" x14ac:dyDescent="0.25">
      <c r="A62" s="10"/>
      <c r="B62" s="10"/>
      <c r="C62" s="10"/>
      <c r="D62" s="11"/>
      <c r="E62" s="16"/>
      <c r="F62" s="19"/>
      <c r="G62" s="17"/>
    </row>
    <row r="63" spans="1:7" x14ac:dyDescent="0.25">
      <c r="A63" s="10">
        <v>11</v>
      </c>
      <c r="B63" s="10" t="s">
        <v>17</v>
      </c>
      <c r="C63" s="10">
        <v>2018</v>
      </c>
      <c r="D63" s="11"/>
      <c r="E63" s="16">
        <v>6822863965</v>
      </c>
      <c r="F63" s="19">
        <v>1</v>
      </c>
      <c r="G63" s="17">
        <f t="shared" si="0"/>
        <v>0</v>
      </c>
    </row>
    <row r="64" spans="1:7" x14ac:dyDescent="0.25">
      <c r="A64" s="10"/>
      <c r="B64" s="10"/>
      <c r="C64" s="10">
        <v>2019</v>
      </c>
      <c r="D64" s="11"/>
      <c r="E64" s="16">
        <v>6822863965</v>
      </c>
      <c r="F64" s="19">
        <v>1</v>
      </c>
      <c r="G64" s="17">
        <f t="shared" si="0"/>
        <v>0</v>
      </c>
    </row>
    <row r="65" spans="1:7" x14ac:dyDescent="0.25">
      <c r="A65" s="10"/>
      <c r="B65" s="10"/>
      <c r="C65" s="10">
        <v>2020</v>
      </c>
      <c r="D65" s="11"/>
      <c r="E65" s="16">
        <v>6822863965</v>
      </c>
      <c r="F65" s="19">
        <v>1</v>
      </c>
      <c r="G65" s="17">
        <f t="shared" si="0"/>
        <v>0</v>
      </c>
    </row>
    <row r="66" spans="1:7" x14ac:dyDescent="0.25">
      <c r="A66" s="10"/>
      <c r="B66" s="10"/>
      <c r="C66" s="10">
        <v>2021</v>
      </c>
      <c r="D66" s="11"/>
      <c r="E66" s="16">
        <v>6822863965</v>
      </c>
      <c r="F66" s="19">
        <v>1</v>
      </c>
      <c r="G66" s="17">
        <f t="shared" si="0"/>
        <v>0</v>
      </c>
    </row>
    <row r="67" spans="1:7" x14ac:dyDescent="0.25">
      <c r="A67" s="10"/>
      <c r="B67" s="10"/>
      <c r="C67" s="10">
        <v>2022</v>
      </c>
      <c r="D67" s="11"/>
      <c r="E67" s="16">
        <v>6822863965</v>
      </c>
      <c r="F67" s="19">
        <v>1</v>
      </c>
      <c r="G67" s="17">
        <f t="shared" si="0"/>
        <v>0</v>
      </c>
    </row>
    <row r="68" spans="1:7" x14ac:dyDescent="0.25">
      <c r="A68" s="10"/>
      <c r="B68" s="10"/>
      <c r="C68" s="10"/>
      <c r="D68" s="11"/>
      <c r="E68" s="16"/>
      <c r="F68" s="19"/>
      <c r="G68" s="17"/>
    </row>
    <row r="69" spans="1:7" x14ac:dyDescent="0.25">
      <c r="A69" s="10">
        <v>12</v>
      </c>
      <c r="B69" s="10" t="s">
        <v>5</v>
      </c>
      <c r="C69" s="10">
        <v>2018</v>
      </c>
      <c r="D69" s="11">
        <v>5638834400</v>
      </c>
      <c r="E69" s="16">
        <v>22358699725</v>
      </c>
      <c r="F69" s="19">
        <v>1</v>
      </c>
      <c r="G69" s="17">
        <f t="shared" ref="G69:G103" si="1">D69/E69*100%</f>
        <v>0.25219867297090776</v>
      </c>
    </row>
    <row r="70" spans="1:7" x14ac:dyDescent="0.25">
      <c r="A70" s="10"/>
      <c r="B70" s="10"/>
      <c r="C70" s="10">
        <v>2019</v>
      </c>
      <c r="D70" s="11">
        <v>5638834400</v>
      </c>
      <c r="E70" s="16">
        <v>22358699725</v>
      </c>
      <c r="F70" s="19">
        <v>1</v>
      </c>
      <c r="G70" s="17">
        <f t="shared" si="1"/>
        <v>0.25219867297090776</v>
      </c>
    </row>
    <row r="71" spans="1:7" x14ac:dyDescent="0.25">
      <c r="A71" s="10"/>
      <c r="B71" s="10"/>
      <c r="C71" s="10">
        <v>2020</v>
      </c>
      <c r="D71" s="11">
        <v>5643777700</v>
      </c>
      <c r="E71" s="16">
        <v>22358699725</v>
      </c>
      <c r="F71" s="19">
        <v>1</v>
      </c>
      <c r="G71" s="17">
        <f t="shared" si="1"/>
        <v>0.25241976364526719</v>
      </c>
    </row>
    <row r="72" spans="1:7" x14ac:dyDescent="0.25">
      <c r="A72" s="10"/>
      <c r="B72" s="10"/>
      <c r="C72" s="10">
        <v>2021</v>
      </c>
      <c r="D72" s="11">
        <v>5643777700</v>
      </c>
      <c r="E72" s="16">
        <v>22358699725</v>
      </c>
      <c r="F72" s="19">
        <v>1</v>
      </c>
      <c r="G72" s="17">
        <f t="shared" si="1"/>
        <v>0.25241976364526719</v>
      </c>
    </row>
    <row r="73" spans="1:7" x14ac:dyDescent="0.25">
      <c r="A73" s="10"/>
      <c r="B73" s="10"/>
      <c r="C73" s="10">
        <v>2022</v>
      </c>
      <c r="D73" s="11">
        <v>5643777700</v>
      </c>
      <c r="E73" s="16">
        <v>22358699725</v>
      </c>
      <c r="F73" s="19">
        <v>1</v>
      </c>
      <c r="G73" s="17">
        <f t="shared" si="1"/>
        <v>0.25241976364526719</v>
      </c>
    </row>
    <row r="74" spans="1:7" x14ac:dyDescent="0.25">
      <c r="A74" s="10"/>
      <c r="B74" s="10"/>
      <c r="C74" s="10"/>
      <c r="D74" s="11"/>
      <c r="E74" s="16"/>
      <c r="F74" s="19"/>
      <c r="G74" s="17"/>
    </row>
    <row r="75" spans="1:7" x14ac:dyDescent="0.25">
      <c r="A75" s="10">
        <v>13</v>
      </c>
      <c r="B75" s="10" t="s">
        <v>6</v>
      </c>
      <c r="C75" s="10">
        <v>2018</v>
      </c>
      <c r="D75" s="11"/>
      <c r="E75" s="16">
        <v>6186488888</v>
      </c>
      <c r="F75" s="19">
        <v>1</v>
      </c>
      <c r="G75" s="17">
        <f t="shared" si="1"/>
        <v>0</v>
      </c>
    </row>
    <row r="76" spans="1:7" x14ac:dyDescent="0.25">
      <c r="A76" s="10"/>
      <c r="B76" s="10"/>
      <c r="C76" s="10">
        <v>2019</v>
      </c>
      <c r="D76" s="11"/>
      <c r="E76" s="16">
        <v>6186488888</v>
      </c>
      <c r="F76" s="19">
        <v>1</v>
      </c>
      <c r="G76" s="17">
        <f t="shared" si="1"/>
        <v>0</v>
      </c>
    </row>
    <row r="77" spans="1:7" x14ac:dyDescent="0.25">
      <c r="A77" s="10"/>
      <c r="B77" s="10"/>
      <c r="C77" s="10">
        <v>2020</v>
      </c>
      <c r="D77" s="11"/>
      <c r="E77" s="16">
        <v>6186488888</v>
      </c>
      <c r="F77" s="19">
        <v>1</v>
      </c>
      <c r="G77" s="17">
        <f t="shared" si="1"/>
        <v>0</v>
      </c>
    </row>
    <row r="78" spans="1:7" x14ac:dyDescent="0.25">
      <c r="A78" s="10"/>
      <c r="B78" s="10"/>
      <c r="C78" s="10">
        <v>2021</v>
      </c>
      <c r="D78" s="11"/>
      <c r="E78" s="16">
        <v>6186488888</v>
      </c>
      <c r="F78" s="19">
        <v>1</v>
      </c>
      <c r="G78" s="17">
        <f t="shared" si="1"/>
        <v>0</v>
      </c>
    </row>
    <row r="79" spans="1:7" x14ac:dyDescent="0.25">
      <c r="A79" s="10"/>
      <c r="B79" s="10"/>
      <c r="C79" s="10">
        <v>2022</v>
      </c>
      <c r="D79" s="11"/>
      <c r="E79" s="16">
        <v>6186488888</v>
      </c>
      <c r="F79" s="19">
        <v>1</v>
      </c>
      <c r="G79" s="17">
        <f t="shared" si="1"/>
        <v>0</v>
      </c>
    </row>
    <row r="80" spans="1:7" x14ac:dyDescent="0.25">
      <c r="A80" s="10"/>
      <c r="B80" s="10"/>
      <c r="C80" s="10"/>
      <c r="D80" s="11"/>
      <c r="E80" s="16"/>
      <c r="F80" s="19"/>
      <c r="G80" s="17"/>
    </row>
    <row r="81" spans="1:7" x14ac:dyDescent="0.25">
      <c r="A81" s="10">
        <v>14</v>
      </c>
      <c r="B81" s="10" t="s">
        <v>9</v>
      </c>
      <c r="C81" s="10">
        <v>2018</v>
      </c>
      <c r="D81" s="11">
        <v>5687044</v>
      </c>
      <c r="E81" s="16">
        <v>690740500</v>
      </c>
      <c r="F81" s="19">
        <v>1</v>
      </c>
      <c r="G81" s="17">
        <f t="shared" si="1"/>
        <v>8.2332569177571025E-3</v>
      </c>
    </row>
    <row r="82" spans="1:7" x14ac:dyDescent="0.25">
      <c r="A82" s="10"/>
      <c r="B82" s="10"/>
      <c r="C82" s="10">
        <v>2019</v>
      </c>
      <c r="D82" s="11">
        <v>5687044</v>
      </c>
      <c r="E82" s="16">
        <v>690740500</v>
      </c>
      <c r="F82" s="19">
        <v>1</v>
      </c>
      <c r="G82" s="17">
        <f t="shared" si="1"/>
        <v>8.2332569177571025E-3</v>
      </c>
    </row>
    <row r="83" spans="1:7" x14ac:dyDescent="0.25">
      <c r="A83" s="10"/>
      <c r="B83" s="10"/>
      <c r="C83" s="10">
        <v>2020</v>
      </c>
      <c r="D83" s="11">
        <v>5687044</v>
      </c>
      <c r="E83" s="16">
        <v>690740500</v>
      </c>
      <c r="F83" s="19">
        <v>1</v>
      </c>
      <c r="G83" s="17">
        <f t="shared" si="1"/>
        <v>8.2332569177571025E-3</v>
      </c>
    </row>
    <row r="84" spans="1:7" x14ac:dyDescent="0.25">
      <c r="A84" s="10"/>
      <c r="B84" s="10"/>
      <c r="C84" s="10">
        <v>2021</v>
      </c>
      <c r="D84" s="11">
        <v>5817044</v>
      </c>
      <c r="E84" s="16">
        <v>690740500</v>
      </c>
      <c r="F84" s="19">
        <v>1</v>
      </c>
      <c r="G84" s="17">
        <f t="shared" si="1"/>
        <v>8.4214607367021337E-3</v>
      </c>
    </row>
    <row r="85" spans="1:7" x14ac:dyDescent="0.25">
      <c r="A85" s="10"/>
      <c r="B85" s="10"/>
      <c r="C85" s="10">
        <v>2022</v>
      </c>
      <c r="D85" s="11">
        <v>3588266</v>
      </c>
      <c r="E85" s="16">
        <v>690740500</v>
      </c>
      <c r="F85" s="19">
        <v>1</v>
      </c>
      <c r="G85" s="17">
        <f t="shared" si="1"/>
        <v>5.1948104968508437E-3</v>
      </c>
    </row>
    <row r="86" spans="1:7" x14ac:dyDescent="0.25">
      <c r="A86" s="10"/>
      <c r="B86" s="10"/>
      <c r="C86" s="10"/>
      <c r="D86" s="11"/>
      <c r="E86" s="16"/>
      <c r="F86" s="19"/>
      <c r="G86" s="17"/>
    </row>
    <row r="87" spans="1:7" x14ac:dyDescent="0.25">
      <c r="A87" s="10">
        <v>15</v>
      </c>
      <c r="B87" s="10" t="s">
        <v>18</v>
      </c>
      <c r="C87" s="10">
        <v>2018</v>
      </c>
      <c r="D87" s="11">
        <v>4676000</v>
      </c>
      <c r="E87" s="16">
        <v>5342098939</v>
      </c>
      <c r="F87" s="19">
        <v>1</v>
      </c>
      <c r="G87" s="17">
        <f t="shared" si="1"/>
        <v>8.7531138104965747E-4</v>
      </c>
    </row>
    <row r="88" spans="1:7" x14ac:dyDescent="0.25">
      <c r="A88" s="10"/>
      <c r="B88" s="10"/>
      <c r="C88" s="10">
        <v>2019</v>
      </c>
      <c r="D88" s="11">
        <v>4676000</v>
      </c>
      <c r="E88" s="16">
        <v>5342098939</v>
      </c>
      <c r="F88" s="19">
        <v>1</v>
      </c>
      <c r="G88" s="17">
        <f t="shared" si="1"/>
        <v>8.7531138104965747E-4</v>
      </c>
    </row>
    <row r="89" spans="1:7" x14ac:dyDescent="0.25">
      <c r="A89" s="10"/>
      <c r="B89" s="10"/>
      <c r="C89" s="10">
        <v>2020</v>
      </c>
      <c r="D89" s="11">
        <v>4676000</v>
      </c>
      <c r="E89" s="16">
        <v>5342098939</v>
      </c>
      <c r="F89" s="19">
        <v>1</v>
      </c>
      <c r="G89" s="17">
        <f t="shared" si="1"/>
        <v>8.7531138104965747E-4</v>
      </c>
    </row>
    <row r="90" spans="1:7" x14ac:dyDescent="0.25">
      <c r="A90" s="10"/>
      <c r="B90" s="10"/>
      <c r="C90" s="10">
        <v>2021</v>
      </c>
      <c r="D90" s="11">
        <v>4676000</v>
      </c>
      <c r="E90" s="16">
        <v>5342098939</v>
      </c>
      <c r="F90" s="19">
        <v>1</v>
      </c>
      <c r="G90" s="17">
        <f t="shared" si="1"/>
        <v>8.7531138104965747E-4</v>
      </c>
    </row>
    <row r="91" spans="1:7" x14ac:dyDescent="0.25">
      <c r="A91" s="10"/>
      <c r="B91" s="10"/>
      <c r="C91" s="10">
        <v>2022</v>
      </c>
      <c r="D91" s="11">
        <v>4676000</v>
      </c>
      <c r="E91" s="16">
        <v>5342098939</v>
      </c>
      <c r="F91" s="19">
        <v>1</v>
      </c>
      <c r="G91" s="17">
        <f t="shared" si="1"/>
        <v>8.7531138104965747E-4</v>
      </c>
    </row>
    <row r="92" spans="1:7" x14ac:dyDescent="0.25">
      <c r="A92" s="10"/>
      <c r="B92" s="10"/>
      <c r="C92" s="10"/>
      <c r="D92" s="11"/>
      <c r="E92" s="16"/>
      <c r="F92" s="19"/>
      <c r="G92" s="17"/>
    </row>
    <row r="93" spans="1:7" x14ac:dyDescent="0.25">
      <c r="A93" s="10">
        <v>16</v>
      </c>
      <c r="B93" s="10" t="s">
        <v>19</v>
      </c>
      <c r="C93" s="10">
        <v>2018</v>
      </c>
      <c r="D93" s="11">
        <v>1817900</v>
      </c>
      <c r="E93" s="16">
        <v>918492750</v>
      </c>
      <c r="F93" s="19">
        <v>1</v>
      </c>
      <c r="G93" s="17">
        <f t="shared" si="1"/>
        <v>1.9792208485042481E-3</v>
      </c>
    </row>
    <row r="94" spans="1:7" x14ac:dyDescent="0.25">
      <c r="A94" s="10"/>
      <c r="B94" s="10"/>
      <c r="C94" s="10">
        <v>2019</v>
      </c>
      <c r="D94" s="11">
        <v>1797650</v>
      </c>
      <c r="E94" s="16">
        <v>918492750</v>
      </c>
      <c r="F94" s="19">
        <v>1</v>
      </c>
      <c r="G94" s="17">
        <f t="shared" si="1"/>
        <v>1.9571738590206619E-3</v>
      </c>
    </row>
    <row r="95" spans="1:7" x14ac:dyDescent="0.25">
      <c r="A95" s="10"/>
      <c r="B95" s="10"/>
      <c r="C95" s="10">
        <v>2020</v>
      </c>
      <c r="D95" s="11">
        <v>1797650</v>
      </c>
      <c r="E95" s="16">
        <v>918492750</v>
      </c>
      <c r="F95" s="19">
        <v>1</v>
      </c>
      <c r="G95" s="17">
        <f t="shared" si="1"/>
        <v>1.9571738590206619E-3</v>
      </c>
    </row>
    <row r="96" spans="1:7" x14ac:dyDescent="0.25">
      <c r="A96" s="10"/>
      <c r="B96" s="10"/>
      <c r="C96" s="10">
        <v>2021</v>
      </c>
      <c r="D96" s="11">
        <v>4258750</v>
      </c>
      <c r="E96" s="16">
        <v>918492750</v>
      </c>
      <c r="F96" s="19">
        <v>1</v>
      </c>
      <c r="G96" s="17">
        <f t="shared" si="1"/>
        <v>4.6366724179368862E-3</v>
      </c>
    </row>
    <row r="97" spans="1:7" x14ac:dyDescent="0.25">
      <c r="A97" s="10"/>
      <c r="B97" s="10"/>
      <c r="C97" s="10">
        <v>2022</v>
      </c>
      <c r="D97" s="11">
        <v>4253250</v>
      </c>
      <c r="E97" s="16">
        <v>918492750</v>
      </c>
      <c r="F97" s="19">
        <v>1</v>
      </c>
      <c r="G97" s="17">
        <f t="shared" si="1"/>
        <v>4.6306843467191225E-3</v>
      </c>
    </row>
    <row r="98" spans="1:7" x14ac:dyDescent="0.25">
      <c r="A98" s="10"/>
      <c r="B98" s="10"/>
      <c r="C98" s="10"/>
      <c r="D98" s="11"/>
      <c r="E98" s="16"/>
      <c r="F98" s="19"/>
      <c r="G98" s="17"/>
    </row>
    <row r="99" spans="1:7" x14ac:dyDescent="0.25">
      <c r="A99" s="10">
        <v>17</v>
      </c>
      <c r="B99" s="10" t="s">
        <v>20</v>
      </c>
      <c r="C99" s="10">
        <v>2018</v>
      </c>
      <c r="D99" s="11">
        <v>3967948900</v>
      </c>
      <c r="E99" s="16">
        <v>11553528000</v>
      </c>
      <c r="F99" s="19">
        <v>1</v>
      </c>
      <c r="G99" s="17">
        <f t="shared" si="1"/>
        <v>0.3434404538596349</v>
      </c>
    </row>
    <row r="100" spans="1:7" x14ac:dyDescent="0.25">
      <c r="A100" s="10"/>
      <c r="B100" s="10"/>
      <c r="C100" s="10">
        <v>2019</v>
      </c>
      <c r="D100" s="11">
        <v>4160913460</v>
      </c>
      <c r="E100" s="16">
        <v>11553528000</v>
      </c>
      <c r="F100" s="19">
        <v>1</v>
      </c>
      <c r="G100" s="17">
        <f t="shared" si="1"/>
        <v>0.36014224053466615</v>
      </c>
    </row>
    <row r="101" spans="1:7" x14ac:dyDescent="0.25">
      <c r="A101" s="10"/>
      <c r="B101" s="10"/>
      <c r="C101" s="10">
        <v>2020</v>
      </c>
      <c r="D101" s="11">
        <v>5535634360</v>
      </c>
      <c r="E101" s="16">
        <v>11553528000</v>
      </c>
      <c r="F101" s="19">
        <v>1</v>
      </c>
      <c r="G101" s="17">
        <f t="shared" si="1"/>
        <v>0.47912934992670636</v>
      </c>
    </row>
    <row r="102" spans="1:7" x14ac:dyDescent="0.25">
      <c r="A102" s="10"/>
      <c r="B102" s="10"/>
      <c r="C102" s="10">
        <v>2021</v>
      </c>
      <c r="D102" s="11">
        <v>5598964960</v>
      </c>
      <c r="E102" s="16">
        <v>11553528000</v>
      </c>
      <c r="F102" s="19">
        <v>1</v>
      </c>
      <c r="G102" s="17">
        <f t="shared" si="1"/>
        <v>0.48461084441046925</v>
      </c>
    </row>
    <row r="103" spans="1:7" x14ac:dyDescent="0.25">
      <c r="A103" s="10"/>
      <c r="B103" s="10"/>
      <c r="C103" s="10">
        <v>2022</v>
      </c>
      <c r="D103" s="11">
        <v>5295027360</v>
      </c>
      <c r="E103" s="16">
        <v>11553528000</v>
      </c>
      <c r="F103" s="19">
        <v>1</v>
      </c>
      <c r="G103" s="17">
        <f t="shared" si="1"/>
        <v>0.45830393625219934</v>
      </c>
    </row>
  </sheetData>
  <mergeCells count="3">
    <mergeCell ref="I5:J5"/>
    <mergeCell ref="A1:G1"/>
    <mergeCell ref="K6:K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Perhitungan VAIC</vt:lpstr>
      <vt:lpstr>Perhitungan PER</vt:lpstr>
      <vt:lpstr>Perhitungan DPR</vt:lpstr>
      <vt:lpstr>Perhitungan PBV</vt:lpstr>
      <vt:lpstr>Perhitungan Kep Manajerial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ASUS-PC</dc:creator>
  <cp:lastModifiedBy>ASUS-PC</cp:lastModifiedBy>
  <dcterms:created xsi:type="dcterms:W3CDTF">2024-03-18T23:15:55Z</dcterms:created>
  <dcterms:modified xsi:type="dcterms:W3CDTF">2024-03-19T16:01:25Z</dcterms:modified>
</cp:coreProperties>
</file>