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KULIAH\SKRIPSI\"/>
    </mc:Choice>
  </mc:AlternateContent>
  <xr:revisionPtr revIDLastSave="0" documentId="13_ncr:1_{A5CC51F6-114C-4C33-9D36-809902CF7314}" xr6:coauthVersionLast="47" xr6:coauthVersionMax="47" xr10:uidLastSave="{00000000-0000-0000-0000-000000000000}"/>
  <bookViews>
    <workbookView xWindow="11496" yWindow="2436" windowWidth="11544" windowHeight="8880" xr2:uid="{00000000-000D-0000-FFFF-FFFF00000000}"/>
  </bookViews>
  <sheets>
    <sheet name="APC" sheetId="1" r:id="rId1"/>
    <sheet name="OMA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9" i="1" l="1"/>
  <c r="R70" i="1"/>
  <c r="R73" i="1"/>
  <c r="M69" i="1"/>
  <c r="N69" i="1"/>
  <c r="M70" i="1"/>
  <c r="M71" i="1"/>
  <c r="R71" i="1" s="1"/>
  <c r="M72" i="1"/>
  <c r="M73" i="1"/>
  <c r="R72" i="1"/>
  <c r="Q58" i="1"/>
  <c r="Q59" i="1"/>
  <c r="Q60" i="1"/>
  <c r="Q61" i="1"/>
  <c r="O67" i="1"/>
  <c r="O64" i="1"/>
  <c r="O65" i="1"/>
  <c r="O66" i="1"/>
  <c r="O63" i="1"/>
  <c r="P64" i="1"/>
  <c r="P65" i="1"/>
  <c r="P66" i="1"/>
  <c r="P67" i="1"/>
  <c r="P63" i="1"/>
  <c r="S51" i="1"/>
  <c r="S52" i="1"/>
  <c r="S53" i="1"/>
  <c r="S54" i="1"/>
  <c r="S55" i="1"/>
  <c r="Q51" i="1"/>
  <c r="Q52" i="1"/>
  <c r="Q53" i="1"/>
  <c r="Q54" i="1"/>
  <c r="Q55" i="1"/>
  <c r="P51" i="1"/>
  <c r="P52" i="1"/>
  <c r="P53" i="1"/>
  <c r="P54" i="1"/>
  <c r="P55" i="1"/>
  <c r="S50" i="1"/>
  <c r="L176" i="1"/>
  <c r="L171" i="1"/>
  <c r="L166" i="1"/>
  <c r="L161" i="1"/>
  <c r="L156" i="1"/>
  <c r="G51" i="1"/>
  <c r="C176" i="1"/>
  <c r="C178" i="1"/>
  <c r="G11" i="1"/>
  <c r="G10" i="1"/>
  <c r="D11" i="1"/>
  <c r="D10" i="1"/>
  <c r="E10" i="1"/>
  <c r="M13" i="1"/>
  <c r="M8" i="1"/>
  <c r="B51" i="1"/>
  <c r="N23" i="1"/>
  <c r="P14" i="1" l="1"/>
  <c r="P11" i="1"/>
  <c r="O11" i="1"/>
  <c r="O8" i="1"/>
  <c r="H11" i="1"/>
  <c r="E11" i="1"/>
  <c r="H5" i="1"/>
  <c r="F7" i="1"/>
  <c r="R5" i="1"/>
  <c r="C7" i="1"/>
  <c r="E5" i="1"/>
  <c r="B61" i="1"/>
  <c r="K106" i="2"/>
  <c r="K105" i="2"/>
  <c r="G98" i="2"/>
  <c r="G97" i="2"/>
  <c r="G96" i="2"/>
  <c r="G95" i="2"/>
  <c r="G94" i="2"/>
  <c r="G93" i="2"/>
  <c r="F98" i="2"/>
  <c r="F97" i="2"/>
  <c r="F96" i="2"/>
  <c r="F95" i="2"/>
  <c r="F94" i="2"/>
  <c r="F93" i="2"/>
  <c r="E98" i="2"/>
  <c r="E97" i="2"/>
  <c r="E96" i="2"/>
  <c r="E95" i="2"/>
  <c r="E94" i="2"/>
  <c r="E93" i="2"/>
  <c r="G92" i="2"/>
  <c r="G91" i="2"/>
  <c r="G90" i="2"/>
  <c r="G89" i="2"/>
  <c r="G88" i="2"/>
  <c r="G87" i="2"/>
  <c r="F92" i="2"/>
  <c r="F91" i="2"/>
  <c r="F90" i="2"/>
  <c r="F89" i="2"/>
  <c r="F88" i="2"/>
  <c r="F87" i="2"/>
  <c r="E92" i="2"/>
  <c r="E91" i="2"/>
  <c r="E90" i="2"/>
  <c r="E89" i="2"/>
  <c r="E88" i="2"/>
  <c r="E87" i="2"/>
  <c r="G86" i="2"/>
  <c r="G85" i="2"/>
  <c r="G84" i="2"/>
  <c r="G83" i="2"/>
  <c r="G82" i="2"/>
  <c r="G81" i="2"/>
  <c r="F86" i="2"/>
  <c r="F85" i="2"/>
  <c r="F84" i="2"/>
  <c r="F83" i="2"/>
  <c r="F82" i="2"/>
  <c r="F81" i="2"/>
  <c r="E86" i="2"/>
  <c r="E85" i="2"/>
  <c r="E84" i="2"/>
  <c r="E83" i="2"/>
  <c r="E82" i="2"/>
  <c r="E81" i="2"/>
  <c r="I73" i="2"/>
  <c r="I72" i="2" s="1"/>
  <c r="I70" i="2"/>
  <c r="I69" i="2" s="1"/>
  <c r="I68" i="2" s="1"/>
  <c r="I67" i="2" s="1"/>
  <c r="I66" i="2" s="1"/>
  <c r="I65" i="2" s="1"/>
  <c r="H73" i="2"/>
  <c r="H72" i="2" s="1"/>
  <c r="H70" i="2"/>
  <c r="H69" i="2" s="1"/>
  <c r="H68" i="2" s="1"/>
  <c r="H67" i="2" s="1"/>
  <c r="H66" i="2" s="1"/>
  <c r="H65" i="2" s="1"/>
  <c r="G73" i="2"/>
  <c r="G72" i="2" s="1"/>
  <c r="G70" i="2"/>
  <c r="G69" i="2" s="1"/>
  <c r="G68" i="2" s="1"/>
  <c r="G67" i="2" s="1"/>
  <c r="G66" i="2" s="1"/>
  <c r="G65" i="2" s="1"/>
  <c r="F73" i="2"/>
  <c r="F72" i="2" s="1"/>
  <c r="F70" i="2"/>
  <c r="F69" i="2" s="1"/>
  <c r="F68" i="2" s="1"/>
  <c r="F67" i="2" s="1"/>
  <c r="F66" i="2" s="1"/>
  <c r="F65" i="2" s="1"/>
  <c r="E73" i="2"/>
  <c r="E72" i="2" s="1"/>
  <c r="E70" i="2"/>
  <c r="E69" i="2" s="1"/>
  <c r="E68" i="2" s="1"/>
  <c r="E67" i="2" s="1"/>
  <c r="E66" i="2" s="1"/>
  <c r="E65" i="2" s="1"/>
  <c r="D73" i="2"/>
  <c r="D72" i="2" s="1"/>
  <c r="D70" i="2"/>
  <c r="D69" i="2" s="1"/>
  <c r="D68" i="2" s="1"/>
  <c r="D67" i="2" s="1"/>
  <c r="D66" i="2" s="1"/>
  <c r="D65" i="2" s="1"/>
  <c r="I49" i="2"/>
  <c r="I48" i="2" s="1"/>
  <c r="I47" i="2" s="1"/>
  <c r="I46" i="2" s="1"/>
  <c r="I45" i="2" s="1"/>
  <c r="I44" i="2" s="1"/>
  <c r="I52" i="2"/>
  <c r="I51" i="2" s="1"/>
  <c r="H49" i="2"/>
  <c r="H48" i="2" s="1"/>
  <c r="H47" i="2" s="1"/>
  <c r="H46" i="2" s="1"/>
  <c r="H45" i="2" s="1"/>
  <c r="H44" i="2" s="1"/>
  <c r="H52" i="2"/>
  <c r="H51" i="2" s="1"/>
  <c r="H15" i="2"/>
  <c r="G42" i="2" s="1"/>
  <c r="G52" i="2"/>
  <c r="G51" i="2" s="1"/>
  <c r="G49" i="2"/>
  <c r="G48" i="2" s="1"/>
  <c r="G47" i="2" s="1"/>
  <c r="G46" i="2" s="1"/>
  <c r="G45" i="2" s="1"/>
  <c r="G44" i="2" s="1"/>
  <c r="F52" i="2"/>
  <c r="F51" i="2" s="1"/>
  <c r="F49" i="2"/>
  <c r="F48" i="2" s="1"/>
  <c r="F47" i="2" s="1"/>
  <c r="F46" i="2" s="1"/>
  <c r="F45" i="2" s="1"/>
  <c r="F44" i="2" s="1"/>
  <c r="E52" i="2"/>
  <c r="E51" i="2" s="1"/>
  <c r="E49" i="2"/>
  <c r="E48" i="2" s="1"/>
  <c r="E47" i="2" s="1"/>
  <c r="E46" i="2" s="1"/>
  <c r="E45" i="2" s="1"/>
  <c r="E44" i="2" s="1"/>
  <c r="D49" i="2"/>
  <c r="D48" i="2" s="1"/>
  <c r="D47" i="2" s="1"/>
  <c r="D46" i="2" s="1"/>
  <c r="D45" i="2" s="1"/>
  <c r="D44" i="2" s="1"/>
  <c r="D52" i="2"/>
  <c r="D51" i="2" s="1"/>
  <c r="I77" i="2"/>
  <c r="I106" i="2" s="1"/>
  <c r="H77" i="2"/>
  <c r="H106" i="2" s="1"/>
  <c r="G77" i="2"/>
  <c r="G106" i="2" s="1"/>
  <c r="F77" i="2"/>
  <c r="F106" i="2" s="1"/>
  <c r="E77" i="2"/>
  <c r="E106" i="2" s="1"/>
  <c r="D77" i="2"/>
  <c r="D106" i="2" s="1"/>
  <c r="I56" i="2"/>
  <c r="I105" i="2" s="1"/>
  <c r="H56" i="2"/>
  <c r="H105" i="2" s="1"/>
  <c r="G56" i="2"/>
  <c r="G105" i="2" s="1"/>
  <c r="F56" i="2"/>
  <c r="F105" i="2" s="1"/>
  <c r="E56" i="2"/>
  <c r="E105" i="2" s="1"/>
  <c r="D56" i="2"/>
  <c r="D105" i="2" s="1"/>
  <c r="I31" i="2"/>
  <c r="I30" i="2" s="1"/>
  <c r="I28" i="2"/>
  <c r="I27" i="2" s="1"/>
  <c r="I26" i="2" s="1"/>
  <c r="I25" i="2" s="1"/>
  <c r="I24" i="2" s="1"/>
  <c r="I23" i="2" s="1"/>
  <c r="H31" i="2"/>
  <c r="H30" i="2" s="1"/>
  <c r="H28" i="2"/>
  <c r="H27" i="2" s="1"/>
  <c r="H26" i="2" s="1"/>
  <c r="H25" i="2" s="1"/>
  <c r="H24" i="2" s="1"/>
  <c r="H23" i="2" s="1"/>
  <c r="G28" i="2"/>
  <c r="G27" i="2" s="1"/>
  <c r="G26" i="2" s="1"/>
  <c r="G25" i="2" s="1"/>
  <c r="G24" i="2" s="1"/>
  <c r="G23" i="2" s="1"/>
  <c r="G31" i="2"/>
  <c r="G30" i="2" s="1"/>
  <c r="F31" i="2"/>
  <c r="F30" i="2" s="1"/>
  <c r="F28" i="2"/>
  <c r="F27" i="2" s="1"/>
  <c r="F26" i="2" s="1"/>
  <c r="F25" i="2" s="1"/>
  <c r="F24" i="2" s="1"/>
  <c r="F23" i="2" s="1"/>
  <c r="E35" i="2"/>
  <c r="E104" i="2" s="1"/>
  <c r="F35" i="2"/>
  <c r="F104" i="2" s="1"/>
  <c r="G35" i="2"/>
  <c r="G104" i="2" s="1"/>
  <c r="H35" i="2"/>
  <c r="H104" i="2" s="1"/>
  <c r="I35" i="2"/>
  <c r="I104" i="2" s="1"/>
  <c r="D35" i="2"/>
  <c r="D104" i="2" s="1"/>
  <c r="E31" i="2"/>
  <c r="E30" i="2" s="1"/>
  <c r="E28" i="2"/>
  <c r="E27" i="2" s="1"/>
  <c r="E26" i="2" s="1"/>
  <c r="E25" i="2" s="1"/>
  <c r="E24" i="2" s="1"/>
  <c r="E23" i="2" s="1"/>
  <c r="D28" i="2"/>
  <c r="D27" i="2" s="1"/>
  <c r="D26" i="2" s="1"/>
  <c r="D25" i="2" s="1"/>
  <c r="D24" i="2" s="1"/>
  <c r="D23" i="2" s="1"/>
  <c r="J15" i="2"/>
  <c r="I42" i="2" s="1"/>
  <c r="J16" i="2"/>
  <c r="I63" i="2" s="1"/>
  <c r="J14" i="2"/>
  <c r="I21" i="2" s="1"/>
  <c r="I15" i="2"/>
  <c r="H42" i="2" s="1"/>
  <c r="I16" i="2"/>
  <c r="H63" i="2" s="1"/>
  <c r="I14" i="2"/>
  <c r="H21" i="2" s="1"/>
  <c r="H16" i="2"/>
  <c r="G63" i="2" s="1"/>
  <c r="H14" i="2"/>
  <c r="G21" i="2" s="1"/>
  <c r="G15" i="2"/>
  <c r="F42" i="2" s="1"/>
  <c r="G16" i="2"/>
  <c r="F63" i="2" s="1"/>
  <c r="G14" i="2"/>
  <c r="F21" i="2" s="1"/>
  <c r="F14" i="2"/>
  <c r="E21" i="2" s="1"/>
  <c r="F15" i="2"/>
  <c r="E42" i="2" s="1"/>
  <c r="F16" i="2"/>
  <c r="E63" i="2" s="1"/>
  <c r="E15" i="2"/>
  <c r="D42" i="2" s="1"/>
  <c r="E16" i="2"/>
  <c r="D63" i="2" s="1"/>
  <c r="E14" i="2"/>
  <c r="D21" i="2" s="1"/>
  <c r="F107" i="2" l="1"/>
  <c r="I107" i="2"/>
  <c r="H107" i="2"/>
  <c r="J104" i="2"/>
  <c r="D107" i="2"/>
  <c r="G107" i="2"/>
  <c r="E107" i="2"/>
  <c r="J105" i="2"/>
  <c r="I36" i="2"/>
  <c r="J106" i="2"/>
  <c r="I78" i="2"/>
  <c r="I57" i="2"/>
  <c r="G82" i="1"/>
  <c r="B82" i="1"/>
  <c r="G80" i="1"/>
  <c r="B80" i="1"/>
  <c r="G75" i="1"/>
  <c r="B75" i="1"/>
  <c r="G73" i="1"/>
  <c r="B73" i="1"/>
  <c r="G68" i="1"/>
  <c r="B68" i="1"/>
  <c r="G66" i="1"/>
  <c r="B66" i="1"/>
  <c r="G61" i="1"/>
  <c r="G59" i="1"/>
  <c r="B59" i="1"/>
  <c r="F60" i="1"/>
  <c r="F67" i="1" s="1"/>
  <c r="F74" i="1" s="1"/>
  <c r="F81" i="1" s="1"/>
  <c r="F88" i="1" s="1"/>
  <c r="F58" i="1"/>
  <c r="F65" i="1" s="1"/>
  <c r="F72" i="1" s="1"/>
  <c r="F79" i="1" s="1"/>
  <c r="F86" i="1" s="1"/>
  <c r="G53" i="1"/>
  <c r="H54" i="1" s="1"/>
  <c r="B53" i="1"/>
  <c r="D45" i="1"/>
  <c r="H30" i="1"/>
  <c r="H29" i="1"/>
  <c r="E30" i="1"/>
  <c r="E29" i="1"/>
  <c r="H24" i="1"/>
  <c r="H23" i="1"/>
  <c r="E24" i="1"/>
  <c r="E23" i="1"/>
  <c r="H17" i="1"/>
  <c r="H18" i="1"/>
  <c r="H16" i="1"/>
  <c r="E17" i="1"/>
  <c r="E18" i="1"/>
  <c r="E16" i="1"/>
  <c r="H10" i="1"/>
  <c r="H4" i="1"/>
  <c r="E4" i="1"/>
  <c r="B116" i="1" l="1"/>
  <c r="J107" i="2"/>
  <c r="G118" i="1"/>
  <c r="B111" i="1"/>
  <c r="G89" i="1"/>
  <c r="G125" i="1" s="1"/>
  <c r="B89" i="1"/>
  <c r="B125" i="1" s="1"/>
  <c r="C76" i="1"/>
  <c r="M59" i="1" s="1"/>
  <c r="B102" i="1"/>
  <c r="B109" i="1"/>
  <c r="B87" i="1"/>
  <c r="B123" i="1" s="1"/>
  <c r="E26" i="1"/>
  <c r="H76" i="1"/>
  <c r="N59" i="1" s="1"/>
  <c r="H83" i="1"/>
  <c r="N60" i="1" s="1"/>
  <c r="B97" i="1"/>
  <c r="B95" i="1"/>
  <c r="G87" i="1"/>
  <c r="G123" i="1" s="1"/>
  <c r="C83" i="1"/>
  <c r="M60" i="1" s="1"/>
  <c r="G111" i="1"/>
  <c r="G95" i="1"/>
  <c r="G102" i="1"/>
  <c r="G116" i="1"/>
  <c r="B118" i="1"/>
  <c r="G97" i="1"/>
  <c r="G104" i="1"/>
  <c r="B104" i="1"/>
  <c r="G109" i="1"/>
  <c r="H69" i="1"/>
  <c r="N58" i="1" s="1"/>
  <c r="H62" i="1"/>
  <c r="N57" i="1" s="1"/>
  <c r="C69" i="1"/>
  <c r="M58" i="1" s="1"/>
  <c r="H26" i="1"/>
  <c r="H13" i="1"/>
  <c r="E20" i="1"/>
  <c r="E32" i="1"/>
  <c r="H32" i="1"/>
  <c r="C54" i="1"/>
  <c r="H20" i="1"/>
  <c r="C62" i="1"/>
  <c r="M57" i="1" s="1"/>
  <c r="E13" i="1"/>
  <c r="E7" i="1"/>
  <c r="C37" i="1" s="1"/>
  <c r="H7" i="1"/>
  <c r="H37" i="1" s="1"/>
  <c r="H34" i="1" l="1"/>
  <c r="C38" i="1"/>
  <c r="M51" i="1"/>
  <c r="E34" i="1"/>
  <c r="N51" i="1"/>
  <c r="H38" i="1"/>
  <c r="M54" i="1"/>
  <c r="C41" i="1"/>
  <c r="N54" i="1"/>
  <c r="H41" i="1"/>
  <c r="N53" i="1"/>
  <c r="H40" i="1"/>
  <c r="N52" i="1"/>
  <c r="H39" i="1"/>
  <c r="C40" i="1"/>
  <c r="M53" i="1"/>
  <c r="C39" i="1"/>
  <c r="M52" i="1"/>
  <c r="P60" i="1"/>
  <c r="P57" i="1"/>
  <c r="Q57" i="1" s="1"/>
  <c r="P59" i="1"/>
  <c r="P58" i="1"/>
  <c r="C119" i="1"/>
  <c r="C105" i="1"/>
  <c r="C146" i="1"/>
  <c r="C172" i="1"/>
  <c r="C112" i="1"/>
  <c r="H136" i="1"/>
  <c r="H162" i="1"/>
  <c r="C131" i="1"/>
  <c r="C157" i="1"/>
  <c r="C126" i="1"/>
  <c r="H141" i="1"/>
  <c r="H167" i="1"/>
  <c r="C141" i="1"/>
  <c r="C167" i="1"/>
  <c r="C136" i="1"/>
  <c r="C162" i="1"/>
  <c r="H131" i="1"/>
  <c r="H157" i="1"/>
  <c r="H119" i="1"/>
  <c r="H146" i="1"/>
  <c r="H172" i="1"/>
  <c r="C150" i="1"/>
  <c r="C140" i="1"/>
  <c r="C135" i="1"/>
  <c r="C145" i="1"/>
  <c r="C90" i="1"/>
  <c r="M61" i="1" s="1"/>
  <c r="H112" i="1"/>
  <c r="H130" i="1"/>
  <c r="H150" i="1"/>
  <c r="H140" i="1"/>
  <c r="H145" i="1"/>
  <c r="H135" i="1"/>
  <c r="H98" i="1"/>
  <c r="C98" i="1"/>
  <c r="C130" i="1"/>
  <c r="H126" i="1"/>
  <c r="N61" i="1"/>
  <c r="H105" i="1"/>
  <c r="I37" i="1" l="1"/>
  <c r="D37" i="1"/>
  <c r="D44" i="1" s="1"/>
  <c r="D46" i="1" s="1"/>
  <c r="M50" i="1"/>
  <c r="M55" i="1"/>
  <c r="C142" i="1"/>
  <c r="C166" i="1" s="1"/>
  <c r="C168" i="1" s="1"/>
  <c r="H147" i="1"/>
  <c r="H171" i="1" s="1"/>
  <c r="H173" i="1" s="1"/>
  <c r="P61" i="1"/>
  <c r="H137" i="1"/>
  <c r="N64" i="1" s="1"/>
  <c r="C137" i="1"/>
  <c r="N55" i="1"/>
  <c r="N50" i="1"/>
  <c r="C132" i="1"/>
  <c r="H151" i="1"/>
  <c r="H152" i="1" s="1"/>
  <c r="H177" i="1"/>
  <c r="C151" i="1"/>
  <c r="C152" i="1" s="1"/>
  <c r="C177" i="1"/>
  <c r="C147" i="1"/>
  <c r="C171" i="1" s="1"/>
  <c r="C173" i="1" s="1"/>
  <c r="M66" i="1" s="1"/>
  <c r="H142" i="1"/>
  <c r="H132" i="1"/>
  <c r="P50" i="1" l="1"/>
  <c r="Q50" i="1" s="1"/>
  <c r="M65" i="1"/>
  <c r="N66" i="1"/>
  <c r="H166" i="1"/>
  <c r="H168" i="1" s="1"/>
  <c r="N65" i="1"/>
  <c r="C156" i="1"/>
  <c r="C158" i="1" s="1"/>
  <c r="M63" i="1"/>
  <c r="H156" i="1"/>
  <c r="H158" i="1" s="1"/>
  <c r="N63" i="1"/>
  <c r="C161" i="1"/>
  <c r="C163" i="1" s="1"/>
  <c r="M64" i="1"/>
  <c r="M67" i="1"/>
  <c r="H161" i="1"/>
  <c r="H163" i="1" s="1"/>
  <c r="H176" i="1"/>
  <c r="H178" i="1" s="1"/>
  <c r="N67" i="1"/>
  <c r="D31" i="2" l="1"/>
  <c r="D30" i="2" s="1"/>
</calcChain>
</file>

<file path=xl/sharedStrings.xml><?xml version="1.0" encoding="utf-8"?>
<sst xmlns="http://schemas.openxmlformats.org/spreadsheetml/2006/main" count="410" uniqueCount="196">
  <si>
    <t>Keuntungan Periode 1</t>
  </si>
  <si>
    <t>Output</t>
  </si>
  <si>
    <t>Input</t>
  </si>
  <si>
    <t>TK</t>
  </si>
  <si>
    <t>M</t>
  </si>
  <si>
    <t>E</t>
  </si>
  <si>
    <t>D</t>
  </si>
  <si>
    <t>Keuntungan</t>
  </si>
  <si>
    <t>ROA</t>
  </si>
  <si>
    <t>Keuntungan Periode Dasar</t>
  </si>
  <si>
    <t>Aset tetap+Modal kerja periode dasar</t>
  </si>
  <si>
    <t>Nilai ROA</t>
  </si>
  <si>
    <t>Perhitungan Output</t>
  </si>
  <si>
    <t>Periode 1 (Periode dasar)</t>
  </si>
  <si>
    <t>O1</t>
  </si>
  <si>
    <t>Deskripsi</t>
  </si>
  <si>
    <t>Periode 1 (periode dasar)</t>
  </si>
  <si>
    <t>Periode 2</t>
  </si>
  <si>
    <t>Kuantitas (Unit)</t>
  </si>
  <si>
    <t>Harga/Unit</t>
  </si>
  <si>
    <t>Nilai Total</t>
  </si>
  <si>
    <t>Output Total</t>
  </si>
  <si>
    <t>Input Tenaga Kerja</t>
  </si>
  <si>
    <t>Kategori 1</t>
  </si>
  <si>
    <t>Kategori 2</t>
  </si>
  <si>
    <t>Subtotal</t>
  </si>
  <si>
    <t>Input Material</t>
  </si>
  <si>
    <t>Input Energi</t>
  </si>
  <si>
    <t>Input Modal</t>
  </si>
  <si>
    <t>Input Total</t>
  </si>
  <si>
    <t>O2</t>
  </si>
  <si>
    <t>Periode 2(Menggunakan Harga Periode Dasar)</t>
  </si>
  <si>
    <t>Indeks Output</t>
  </si>
  <si>
    <t>L1</t>
  </si>
  <si>
    <t>L2</t>
  </si>
  <si>
    <t>Perhitungan Input Material</t>
  </si>
  <si>
    <t>M1</t>
  </si>
  <si>
    <t>M2</t>
  </si>
  <si>
    <t>Perhitungan Input Energi</t>
  </si>
  <si>
    <t>E1</t>
  </si>
  <si>
    <t>E2</t>
  </si>
  <si>
    <t>Perhitungan Input Total</t>
  </si>
  <si>
    <t>I1</t>
  </si>
  <si>
    <t>I2</t>
  </si>
  <si>
    <t>Perhitungan Input Produktivitas Labor</t>
  </si>
  <si>
    <t>PL1</t>
  </si>
  <si>
    <t>PL2</t>
  </si>
  <si>
    <t>Perhitungan Input Produktivitas Material</t>
  </si>
  <si>
    <t>PM1</t>
  </si>
  <si>
    <t>PM2</t>
  </si>
  <si>
    <t>Perhitungan Input Produktivitas Energi</t>
  </si>
  <si>
    <t>PE1</t>
  </si>
  <si>
    <t>PE2</t>
  </si>
  <si>
    <t>PK2</t>
  </si>
  <si>
    <t>PK1</t>
  </si>
  <si>
    <t>K1</t>
  </si>
  <si>
    <t>K2</t>
  </si>
  <si>
    <t>PT1</t>
  </si>
  <si>
    <t>PT2</t>
  </si>
  <si>
    <t>Perhitungan Input Produktivitas Total</t>
  </si>
  <si>
    <t>Indeks PL</t>
  </si>
  <si>
    <t>Indeks PM</t>
  </si>
  <si>
    <t>Indeks PE</t>
  </si>
  <si>
    <t>Indeks PK</t>
  </si>
  <si>
    <t>Indeks PT</t>
  </si>
  <si>
    <t>Perhitungan Input Modal/Kapital</t>
  </si>
  <si>
    <t>Perhitungan Input Produktivitas Modal/Kapital</t>
  </si>
  <si>
    <t>Perhitungan Input Labor</t>
  </si>
  <si>
    <t>Indeks IP</t>
  </si>
  <si>
    <t>Indeks IM</t>
  </si>
  <si>
    <t>Indeks IE</t>
  </si>
  <si>
    <t>Indeks IK</t>
  </si>
  <si>
    <t>Indeks IT</t>
  </si>
  <si>
    <t>Periode 1 (Harga yang Berlaku)</t>
  </si>
  <si>
    <t>Periode 2(Menggunakan Harga yang berlaku)</t>
  </si>
  <si>
    <t>Harga Periode Dasar</t>
  </si>
  <si>
    <t>Harga Yang Berlaku</t>
  </si>
  <si>
    <t>Perhitungan Indeks Profitabilitas Harga Tenaga Kerja</t>
  </si>
  <si>
    <t>IPFT</t>
  </si>
  <si>
    <t>Indeks Input TK</t>
  </si>
  <si>
    <t>IPFL</t>
  </si>
  <si>
    <t>Perhitungan Indeks Profitabilitas Material</t>
  </si>
  <si>
    <t>Perhitungan Indeks Profitabilitas Labor</t>
  </si>
  <si>
    <t>IPFM</t>
  </si>
  <si>
    <t>Perhitungan Indeks Profitabilitas Energi</t>
  </si>
  <si>
    <t>Indeks Input Labor</t>
  </si>
  <si>
    <t>Indeks Input Material</t>
  </si>
  <si>
    <t>Indeks Input Energi</t>
  </si>
  <si>
    <t>IPFE</t>
  </si>
  <si>
    <t>Perhitungan Indeks Profitabilitas Modal/Kapital</t>
  </si>
  <si>
    <t>Indeks Input Kapital</t>
  </si>
  <si>
    <t>IPFK</t>
  </si>
  <si>
    <t>Perhitungan Indeks Profitabilitas Total</t>
  </si>
  <si>
    <t>Indeks Input Total</t>
  </si>
  <si>
    <t>IPL</t>
  </si>
  <si>
    <t>IPHL</t>
  </si>
  <si>
    <t>Perhitungan Indeks Perbaikan Harga Labor</t>
  </si>
  <si>
    <t>Perhitungan Indeks Perbaikan Harga Material</t>
  </si>
  <si>
    <t>IPM</t>
  </si>
  <si>
    <t>Perhitungan Indeks Perbaikan Harga Energi</t>
  </si>
  <si>
    <t>IPE</t>
  </si>
  <si>
    <t>IPHM</t>
  </si>
  <si>
    <t>Perhitungan Indeks Perbaikan Harga Modal/Kapital</t>
  </si>
  <si>
    <t>IPK</t>
  </si>
  <si>
    <t>IPHK</t>
  </si>
  <si>
    <t>Perhitungan Indeks Perbaikan Harga Total</t>
  </si>
  <si>
    <t>IPT</t>
  </si>
  <si>
    <t>IPHT</t>
  </si>
  <si>
    <t>Kriteria</t>
  </si>
  <si>
    <t>Kriteria
Bulan</t>
  </si>
  <si>
    <t>Data Input</t>
  </si>
  <si>
    <t>Rasio Produktivitas</t>
  </si>
  <si>
    <t>Rasio 1</t>
  </si>
  <si>
    <t>Rasio 2</t>
  </si>
  <si>
    <t>Rasio 3</t>
  </si>
  <si>
    <t>Rasio 4</t>
  </si>
  <si>
    <t>Rasio 5</t>
  </si>
  <si>
    <t>Total Produk Yang Dihasilkan (Unit)</t>
  </si>
  <si>
    <t>Total Produk Yang Baik (Unit)</t>
  </si>
  <si>
    <t>Jumlah Tenaga Kerja (Orang)</t>
  </si>
  <si>
    <t>Total Produk Yang Diperbaiki (Unit)</t>
  </si>
  <si>
    <t>Jumlah Pemakaian Energi (Energi)</t>
  </si>
  <si>
    <t>Jumlah Jam Kerja Terpakai (Jam)</t>
  </si>
  <si>
    <t>Total Jam Kerusakan Mesin (Jam)</t>
  </si>
  <si>
    <t>Total Jam Mesin Normal (Jam)</t>
  </si>
  <si>
    <t>Juli</t>
  </si>
  <si>
    <t>Agustus</t>
  </si>
  <si>
    <t>September</t>
  </si>
  <si>
    <t>Kriteria
Bulan</t>
  </si>
  <si>
    <t>Rasio 6</t>
  </si>
  <si>
    <t>Tabel OMAX Bulan Juli</t>
  </si>
  <si>
    <t>Efisiensi</t>
  </si>
  <si>
    <t>Efektivitas</t>
  </si>
  <si>
    <t>Score</t>
  </si>
  <si>
    <t>Rasio</t>
  </si>
  <si>
    <t>Nilai Aktual</t>
  </si>
  <si>
    <t>Target</t>
  </si>
  <si>
    <t>Skor Aktual</t>
  </si>
  <si>
    <t>Bobot</t>
  </si>
  <si>
    <t>Produktivitas</t>
  </si>
  <si>
    <t>Nilai Indeks Produktivitas</t>
  </si>
  <si>
    <t>Tabel OMAX Bulan Agustus</t>
  </si>
  <si>
    <t>Bobot Rasio</t>
  </si>
  <si>
    <t>Bulan</t>
  </si>
  <si>
    <t>Rata-Rata</t>
  </si>
  <si>
    <t>Nilai Produktivitas</t>
  </si>
  <si>
    <t>Nilai Indeks 
Produktivitas</t>
  </si>
  <si>
    <t>Skor Rasio</t>
  </si>
  <si>
    <t>Produktivitas Rasio</t>
  </si>
  <si>
    <t>Tabel OMAX Bulan September</t>
  </si>
  <si>
    <t>Perubahan Indeks Produktivitas Terhadap Bulan Sebelumnya (%)</t>
  </si>
  <si>
    <t>Lontong (kemasan daun pisang)</t>
  </si>
  <si>
    <t>Lontong (kemasan plastik)</t>
  </si>
  <si>
    <t>Listrik (kwh)</t>
  </si>
  <si>
    <t>Kayu (kg)</t>
  </si>
  <si>
    <t>Kenaikan harga bahan baku</t>
  </si>
  <si>
    <t>Reject</t>
  </si>
  <si>
    <t>Material 1 (Daun)</t>
  </si>
  <si>
    <t>Material 2 (Plastik)</t>
  </si>
  <si>
    <t>Material 3 (Beras)</t>
  </si>
  <si>
    <t>Atas Harga Konstant</t>
  </si>
  <si>
    <t>Angka Indeks</t>
  </si>
  <si>
    <t>Perubahan</t>
  </si>
  <si>
    <t>Periode 1</t>
  </si>
  <si>
    <t>Periode 2-Periode 1</t>
  </si>
  <si>
    <t>Input TK</t>
  </si>
  <si>
    <t>Input M</t>
  </si>
  <si>
    <t>Input E</t>
  </si>
  <si>
    <t>Tenaga Kerja</t>
  </si>
  <si>
    <t>Material</t>
  </si>
  <si>
    <t>Energi</t>
  </si>
  <si>
    <t>Modal</t>
  </si>
  <si>
    <t>Total</t>
  </si>
  <si>
    <t>Profitabilitas</t>
  </si>
  <si>
    <t>Keuntungan Periode 2</t>
  </si>
  <si>
    <t>IPH</t>
  </si>
  <si>
    <t>TENAGA KERJA</t>
  </si>
  <si>
    <t>MATERIAL</t>
  </si>
  <si>
    <t>MODAL</t>
  </si>
  <si>
    <t>ENERGI</t>
  </si>
  <si>
    <t>INPUT TOTAL</t>
  </si>
  <si>
    <t>84,996 (0,000)</t>
  </si>
  <si>
    <t>85,000 (0,000)</t>
  </si>
  <si>
    <t>100 (0,000)</t>
  </si>
  <si>
    <t>87,763 (+0,115)</t>
  </si>
  <si>
    <t>86,247 (+1,197)</t>
  </si>
  <si>
    <t>99,999 (-0,001)</t>
  </si>
  <si>
    <t>99,986 (--0,014)</t>
  </si>
  <si>
    <t>99,094 (0,906)</t>
  </si>
  <si>
    <t>99,150 (0,850)</t>
  </si>
  <si>
    <t>99,125 (0,875)</t>
  </si>
  <si>
    <t>NO (1)</t>
  </si>
  <si>
    <t>INPUT FAKTOR (2)</t>
  </si>
  <si>
    <t>INDEKS PROFITABILITAS (3)</t>
  </si>
  <si>
    <t>INDEKS PRODUKTIVITAS (4)</t>
  </si>
  <si>
    <t>INDEKS PERBAIKAN HARGA (5) = (3) /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</si>
</sst>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\R\p\ #,##0.\-"/>
    <numFmt numFmtId="165" formatCode="\R\p\ #,##0.0.\-"/>
    <numFmt numFmtId="166" formatCode="\R\p\ #,##0.00.\-"/>
    <numFmt numFmtId="167" formatCode="0.000"/>
    <numFmt numFmtId="168" formatCode="\R\p\ #,##0.000.\-"/>
    <numFmt numFmtId="169" formatCode="0.0000"/>
    <numFmt numFmtId="170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4" borderId="0" xfId="0" applyFill="1"/>
    <xf numFmtId="0" fontId="0" fillId="5" borderId="3" xfId="0" applyFill="1" applyBorder="1" applyAlignment="1">
      <alignment horizontal="center"/>
    </xf>
    <xf numFmtId="0" fontId="0" fillId="5" borderId="0" xfId="0" applyFill="1"/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170" fontId="1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9" fontId="1" fillId="3" borderId="1" xfId="0" applyNumberFormat="1" applyFont="1" applyFill="1" applyBorder="1" applyAlignment="1">
      <alignment horizontal="center" vertical="center"/>
    </xf>
    <xf numFmtId="170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167" fontId="0" fillId="0" borderId="0" xfId="0" applyNumberFormat="1"/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0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67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7" fontId="0" fillId="3" borderId="1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168" fontId="1" fillId="0" borderId="2" xfId="0" applyNumberFormat="1" applyFont="1" applyBorder="1" applyAlignment="1">
      <alignment horizontal="center" vertical="center"/>
    </xf>
    <xf numFmtId="168" fontId="1" fillId="0" borderId="3" xfId="0" applyNumberFormat="1" applyFont="1" applyBorder="1" applyAlignment="1">
      <alignment horizontal="center" vertical="center"/>
    </xf>
    <xf numFmtId="168" fontId="1" fillId="0" borderId="4" xfId="0" applyNumberFormat="1" applyFont="1" applyBorder="1" applyAlignment="1">
      <alignment horizontal="center" vertical="center"/>
    </xf>
    <xf numFmtId="167" fontId="0" fillId="3" borderId="2" xfId="0" applyNumberFormat="1" applyFill="1" applyBorder="1" applyAlignment="1">
      <alignment horizontal="center"/>
    </xf>
    <xf numFmtId="167" fontId="0" fillId="3" borderId="4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164" fontId="1" fillId="0" borderId="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/>
    </xf>
    <xf numFmtId="164" fontId="1" fillId="3" borderId="9" xfId="0" applyNumberFormat="1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/>
    </xf>
    <xf numFmtId="167" fontId="0" fillId="0" borderId="0" xfId="0" applyNumberFormat="1" applyAlignment="1">
      <alignment horizontal="center"/>
    </xf>
    <xf numFmtId="0" fontId="0" fillId="0" borderId="0" xfId="0" applyNumberFormat="1"/>
    <xf numFmtId="10" fontId="0" fillId="0" borderId="0" xfId="1" applyNumberFormat="1" applyFont="1"/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/>
    </xf>
    <xf numFmtId="167" fontId="4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8"/>
  <sheetViews>
    <sheetView tabSelected="1" topLeftCell="D25" zoomScale="80" zoomScaleNormal="80" workbookViewId="0">
      <selection activeCell="K75" sqref="K75:O80"/>
    </sheetView>
  </sheetViews>
  <sheetFormatPr defaultRowHeight="14.4" x14ac:dyDescent="0.3"/>
  <cols>
    <col min="2" max="2" width="23" customWidth="1"/>
    <col min="3" max="3" width="27.33203125" customWidth="1"/>
    <col min="4" max="4" width="14.44140625" bestFit="1" customWidth="1"/>
    <col min="5" max="5" width="23.33203125" customWidth="1"/>
    <col min="6" max="6" width="15" customWidth="1"/>
    <col min="7" max="7" width="15.109375" customWidth="1"/>
    <col min="8" max="8" width="28.21875" customWidth="1"/>
    <col min="9" max="9" width="15.5546875" bestFit="1" customWidth="1"/>
    <col min="11" max="11" width="17.6640625" customWidth="1"/>
    <col min="12" max="12" width="17.44140625" customWidth="1"/>
    <col min="13" max="13" width="23.44140625" customWidth="1"/>
    <col min="14" max="14" width="22" customWidth="1"/>
    <col min="15" max="15" width="24.88671875" customWidth="1"/>
    <col min="16" max="16" width="10.44140625" bestFit="1" customWidth="1"/>
  </cols>
  <sheetData>
    <row r="1" spans="1:18" ht="15.6" x14ac:dyDescent="0.3">
      <c r="A1" s="91" t="s">
        <v>15</v>
      </c>
      <c r="B1" s="92"/>
      <c r="C1" s="89" t="s">
        <v>16</v>
      </c>
      <c r="D1" s="89"/>
      <c r="E1" s="89"/>
      <c r="F1" s="83" t="s">
        <v>17</v>
      </c>
      <c r="G1" s="95"/>
      <c r="H1" s="84"/>
    </row>
    <row r="2" spans="1:18" ht="30.75" customHeight="1" x14ac:dyDescent="0.3">
      <c r="A2" s="93"/>
      <c r="B2" s="94"/>
      <c r="C2" s="11" t="s">
        <v>18</v>
      </c>
      <c r="D2" s="11" t="s">
        <v>19</v>
      </c>
      <c r="E2" s="11" t="s">
        <v>20</v>
      </c>
      <c r="F2" s="11" t="s">
        <v>18</v>
      </c>
      <c r="G2" s="11" t="s">
        <v>19</v>
      </c>
      <c r="H2" s="11" t="s">
        <v>20</v>
      </c>
    </row>
    <row r="3" spans="1:18" ht="15.75" customHeight="1" x14ac:dyDescent="0.3">
      <c r="A3" s="85" t="s">
        <v>1</v>
      </c>
      <c r="B3" s="86"/>
      <c r="C3" s="3"/>
      <c r="D3" s="3"/>
      <c r="E3" s="3"/>
      <c r="F3" s="3"/>
      <c r="G3" s="3"/>
      <c r="H3" s="3"/>
      <c r="Q3">
        <v>900</v>
      </c>
    </row>
    <row r="4" spans="1:18" ht="15.6" x14ac:dyDescent="0.3">
      <c r="A4" s="87" t="s">
        <v>151</v>
      </c>
      <c r="B4" s="87"/>
      <c r="C4" s="2">
        <v>7500</v>
      </c>
      <c r="D4" s="4">
        <v>2500</v>
      </c>
      <c r="E4" s="4">
        <f>C4*D4</f>
        <v>18750000</v>
      </c>
      <c r="F4" s="2">
        <v>5370</v>
      </c>
      <c r="G4" s="4">
        <v>2500</v>
      </c>
      <c r="H4" s="4">
        <f>F4*G4</f>
        <v>13425000</v>
      </c>
      <c r="Q4">
        <v>500</v>
      </c>
    </row>
    <row r="5" spans="1:18" ht="15.6" x14ac:dyDescent="0.3">
      <c r="A5" s="87" t="s">
        <v>152</v>
      </c>
      <c r="B5" s="87"/>
      <c r="C5" s="2">
        <v>5500</v>
      </c>
      <c r="D5" s="4">
        <v>3000</v>
      </c>
      <c r="E5" s="4">
        <f>C5*D5</f>
        <v>16500000</v>
      </c>
      <c r="F5" s="2">
        <v>5512</v>
      </c>
      <c r="G5" s="4">
        <v>3000</v>
      </c>
      <c r="H5" s="4">
        <f>F5*G5</f>
        <v>16536000</v>
      </c>
      <c r="O5">
        <v>450000</v>
      </c>
      <c r="R5">
        <f>O5/Q4</f>
        <v>900</v>
      </c>
    </row>
    <row r="6" spans="1:18" ht="15.6" x14ac:dyDescent="0.3">
      <c r="A6" s="5"/>
      <c r="B6" s="6"/>
      <c r="C6" s="2"/>
      <c r="D6" s="2"/>
      <c r="E6" s="2"/>
      <c r="F6" s="2"/>
      <c r="G6" s="2"/>
      <c r="H6" s="2"/>
    </row>
    <row r="7" spans="1:18" ht="15.6" x14ac:dyDescent="0.3">
      <c r="A7" s="83" t="s">
        <v>21</v>
      </c>
      <c r="B7" s="84"/>
      <c r="C7" s="2">
        <f>SUM(C4:C5)</f>
        <v>13000</v>
      </c>
      <c r="D7" s="2"/>
      <c r="E7" s="12">
        <f>E4+E5</f>
        <v>35250000</v>
      </c>
      <c r="F7" s="2">
        <f>SUM(F4:F5)</f>
        <v>10882</v>
      </c>
      <c r="G7" s="2"/>
      <c r="H7" s="12">
        <f>H4+H5</f>
        <v>29961000</v>
      </c>
    </row>
    <row r="8" spans="1:18" ht="15.6" x14ac:dyDescent="0.3">
      <c r="A8" s="48"/>
      <c r="B8" s="49"/>
      <c r="C8" s="49"/>
      <c r="D8" s="49"/>
      <c r="E8" s="49"/>
      <c r="F8" s="49"/>
      <c r="G8" s="49"/>
      <c r="H8" s="50"/>
      <c r="M8">
        <f>15/100*E7</f>
        <v>5287500</v>
      </c>
      <c r="O8">
        <f>320000/25</f>
        <v>12800</v>
      </c>
    </row>
    <row r="9" spans="1:18" ht="15.6" x14ac:dyDescent="0.3">
      <c r="A9" s="85" t="s">
        <v>22</v>
      </c>
      <c r="B9" s="86"/>
      <c r="C9" s="7"/>
      <c r="D9" s="4"/>
      <c r="E9" s="4"/>
      <c r="F9" s="7"/>
      <c r="G9" s="7"/>
      <c r="H9" s="7"/>
    </row>
    <row r="10" spans="1:18" ht="15.6" x14ac:dyDescent="0.3">
      <c r="A10" s="81" t="s">
        <v>23</v>
      </c>
      <c r="B10" s="82"/>
      <c r="C10" s="2">
        <v>4</v>
      </c>
      <c r="D10" s="4">
        <f>40000*26</f>
        <v>1040000</v>
      </c>
      <c r="E10" s="4">
        <f>C10*D10</f>
        <v>4160000</v>
      </c>
      <c r="F10" s="2">
        <v>4</v>
      </c>
      <c r="G10" s="4">
        <f>50000*26</f>
        <v>1300000</v>
      </c>
      <c r="H10" s="4">
        <f>F10*G10</f>
        <v>5200000</v>
      </c>
    </row>
    <row r="11" spans="1:18" ht="15.6" x14ac:dyDescent="0.3">
      <c r="A11" s="81" t="s">
        <v>24</v>
      </c>
      <c r="B11" s="82"/>
      <c r="C11" s="2">
        <v>6</v>
      </c>
      <c r="D11" s="4">
        <f>40000*26</f>
        <v>1040000</v>
      </c>
      <c r="E11" s="4">
        <f>C11*D11</f>
        <v>6240000</v>
      </c>
      <c r="F11" s="2">
        <v>6</v>
      </c>
      <c r="G11" s="4">
        <f>40000*26</f>
        <v>1040000</v>
      </c>
      <c r="H11" s="4">
        <f>F11*G11</f>
        <v>6240000</v>
      </c>
      <c r="O11">
        <f>500/25</f>
        <v>20</v>
      </c>
      <c r="P11">
        <f>430/O11</f>
        <v>21.5</v>
      </c>
    </row>
    <row r="12" spans="1:18" ht="15.6" x14ac:dyDescent="0.3">
      <c r="A12" s="7"/>
      <c r="B12" s="7"/>
      <c r="C12" s="7"/>
      <c r="D12" s="7"/>
      <c r="E12" s="7"/>
      <c r="F12" s="2"/>
      <c r="G12" s="7"/>
      <c r="H12" s="7"/>
    </row>
    <row r="13" spans="1:18" ht="15.6" x14ac:dyDescent="0.3">
      <c r="A13" s="89" t="s">
        <v>25</v>
      </c>
      <c r="B13" s="89"/>
      <c r="C13" s="7"/>
      <c r="D13" s="7"/>
      <c r="E13" s="14">
        <f>E10+E11</f>
        <v>10400000</v>
      </c>
      <c r="F13" s="2"/>
      <c r="G13" s="7"/>
      <c r="H13" s="14">
        <f>H10+H11</f>
        <v>11440000</v>
      </c>
      <c r="M13" s="40">
        <f>E7-M8</f>
        <v>29962500</v>
      </c>
    </row>
    <row r="14" spans="1:18" ht="15.6" x14ac:dyDescent="0.3">
      <c r="A14" s="90"/>
      <c r="B14" s="90"/>
      <c r="C14" s="90"/>
      <c r="D14" s="90"/>
      <c r="E14" s="90"/>
      <c r="F14" s="90"/>
      <c r="G14" s="90"/>
      <c r="H14" s="90"/>
      <c r="P14">
        <f>50000/352</f>
        <v>142.04545454545453</v>
      </c>
    </row>
    <row r="15" spans="1:18" ht="15.6" x14ac:dyDescent="0.3">
      <c r="A15" s="85" t="s">
        <v>26</v>
      </c>
      <c r="B15" s="86"/>
      <c r="C15" s="7"/>
      <c r="D15" s="7"/>
      <c r="E15" s="7"/>
      <c r="F15" s="7"/>
      <c r="G15" s="7"/>
      <c r="H15" s="7"/>
    </row>
    <row r="16" spans="1:18" ht="15.6" x14ac:dyDescent="0.3">
      <c r="A16" s="81" t="s">
        <v>157</v>
      </c>
      <c r="B16" s="82"/>
      <c r="C16" s="2">
        <v>182</v>
      </c>
      <c r="D16" s="4">
        <v>5000</v>
      </c>
      <c r="E16" s="4">
        <f>C16*D16</f>
        <v>910000</v>
      </c>
      <c r="F16" s="2">
        <v>130</v>
      </c>
      <c r="G16" s="8">
        <v>5500</v>
      </c>
      <c r="H16" s="4">
        <f>F16*G16</f>
        <v>715000</v>
      </c>
    </row>
    <row r="17" spans="1:14" ht="15.6" x14ac:dyDescent="0.3">
      <c r="A17" s="81" t="s">
        <v>158</v>
      </c>
      <c r="B17" s="82"/>
      <c r="C17" s="2">
        <v>39</v>
      </c>
      <c r="D17" s="4">
        <v>4000</v>
      </c>
      <c r="E17" s="4">
        <f t="shared" ref="E17:E18" si="0">C17*D17</f>
        <v>156000</v>
      </c>
      <c r="F17" s="26">
        <v>30</v>
      </c>
      <c r="G17" s="8">
        <v>4500</v>
      </c>
      <c r="H17" s="4">
        <f t="shared" ref="H17:H18" si="1">F17*G17</f>
        <v>135000</v>
      </c>
    </row>
    <row r="18" spans="1:14" ht="15.6" x14ac:dyDescent="0.3">
      <c r="A18" s="81" t="s">
        <v>159</v>
      </c>
      <c r="B18" s="82"/>
      <c r="C18" s="2">
        <v>650</v>
      </c>
      <c r="D18" s="4">
        <v>12800</v>
      </c>
      <c r="E18" s="4">
        <f t="shared" si="0"/>
        <v>8320000</v>
      </c>
      <c r="F18" s="2">
        <v>650</v>
      </c>
      <c r="G18" s="8">
        <v>13500</v>
      </c>
      <c r="H18" s="4">
        <f t="shared" si="1"/>
        <v>8775000</v>
      </c>
      <c r="K18" s="40"/>
    </row>
    <row r="19" spans="1:14" ht="15.6" x14ac:dyDescent="0.3">
      <c r="A19" s="7"/>
      <c r="B19" s="7"/>
      <c r="C19" s="7"/>
      <c r="D19" s="7"/>
      <c r="E19" s="7"/>
      <c r="F19" s="7"/>
      <c r="G19" s="7"/>
      <c r="H19" s="7"/>
    </row>
    <row r="20" spans="1:14" ht="15.6" x14ac:dyDescent="0.3">
      <c r="A20" s="83" t="s">
        <v>25</v>
      </c>
      <c r="B20" s="84"/>
      <c r="C20" s="7"/>
      <c r="D20" s="7"/>
      <c r="E20" s="14">
        <f>E16+E17+E18</f>
        <v>9386000</v>
      </c>
      <c r="F20" s="7"/>
      <c r="G20" s="7"/>
      <c r="H20" s="14">
        <f>H16+H17+H18</f>
        <v>9625000</v>
      </c>
    </row>
    <row r="21" spans="1:14" ht="15.6" x14ac:dyDescent="0.3">
      <c r="A21" s="90"/>
      <c r="B21" s="90"/>
      <c r="C21" s="90"/>
      <c r="D21" s="90"/>
      <c r="E21" s="90"/>
      <c r="F21" s="90"/>
      <c r="G21" s="90"/>
      <c r="H21" s="90"/>
    </row>
    <row r="22" spans="1:14" ht="15.6" x14ac:dyDescent="0.3">
      <c r="A22" s="85" t="s">
        <v>27</v>
      </c>
      <c r="B22" s="86"/>
      <c r="C22" s="7"/>
      <c r="D22" s="7"/>
      <c r="E22" s="7"/>
      <c r="F22" s="7"/>
      <c r="G22" s="7"/>
      <c r="H22" s="15"/>
    </row>
    <row r="23" spans="1:14" ht="15.6" x14ac:dyDescent="0.3">
      <c r="A23" s="81" t="s">
        <v>153</v>
      </c>
      <c r="B23" s="82"/>
      <c r="C23" s="2">
        <v>352</v>
      </c>
      <c r="D23" s="9">
        <v>142.04499999999999</v>
      </c>
      <c r="E23" s="4">
        <f>C23*D23</f>
        <v>49999.839999999997</v>
      </c>
      <c r="F23" s="2">
        <v>352</v>
      </c>
      <c r="G23" s="9">
        <v>200</v>
      </c>
      <c r="H23" s="4">
        <f>F23*G23</f>
        <v>70400</v>
      </c>
      <c r="N23">
        <f>471500*(15/100)</f>
        <v>70725</v>
      </c>
    </row>
    <row r="24" spans="1:14" ht="15.6" x14ac:dyDescent="0.3">
      <c r="A24" s="81" t="s">
        <v>154</v>
      </c>
      <c r="B24" s="82"/>
      <c r="C24" s="2">
        <v>520</v>
      </c>
      <c r="D24" s="9">
        <v>1000</v>
      </c>
      <c r="E24" s="4">
        <f>C24*D24</f>
        <v>520000</v>
      </c>
      <c r="F24" s="2">
        <v>520</v>
      </c>
      <c r="G24" s="9">
        <v>1200</v>
      </c>
      <c r="H24" s="4">
        <f>F24*G24</f>
        <v>624000</v>
      </c>
    </row>
    <row r="25" spans="1:14" ht="15.6" x14ac:dyDescent="0.3">
      <c r="A25" s="2"/>
      <c r="B25" s="2"/>
      <c r="C25" s="7"/>
      <c r="D25" s="7"/>
      <c r="E25" s="7"/>
      <c r="F25" s="7"/>
      <c r="G25" s="7"/>
      <c r="H25" s="15"/>
    </row>
    <row r="26" spans="1:14" ht="15.6" x14ac:dyDescent="0.3">
      <c r="A26" s="83" t="s">
        <v>25</v>
      </c>
      <c r="B26" s="84"/>
      <c r="C26" s="7"/>
      <c r="D26" s="7"/>
      <c r="E26" s="14">
        <f>E23+E24</f>
        <v>569999.84</v>
      </c>
      <c r="F26" s="7"/>
      <c r="G26" s="7"/>
      <c r="H26" s="14">
        <f>H23+H24</f>
        <v>694400</v>
      </c>
      <c r="N26" s="40"/>
    </row>
    <row r="27" spans="1:14" ht="15.6" x14ac:dyDescent="0.3">
      <c r="A27" s="48"/>
      <c r="B27" s="49"/>
      <c r="C27" s="49"/>
      <c r="D27" s="49"/>
      <c r="E27" s="49"/>
      <c r="F27" s="49"/>
      <c r="G27" s="49"/>
      <c r="H27" s="50"/>
    </row>
    <row r="28" spans="1:14" ht="15.6" x14ac:dyDescent="0.3">
      <c r="A28" s="85" t="s">
        <v>28</v>
      </c>
      <c r="B28" s="86"/>
      <c r="C28" s="7"/>
      <c r="D28" s="7"/>
      <c r="E28" s="7"/>
      <c r="F28" s="7"/>
      <c r="G28" s="7"/>
      <c r="H28" s="15"/>
    </row>
    <row r="29" spans="1:14" ht="15.6" x14ac:dyDescent="0.3">
      <c r="A29" s="81" t="s">
        <v>155</v>
      </c>
      <c r="B29" s="82"/>
      <c r="C29" s="4">
        <v>200</v>
      </c>
      <c r="D29" s="43">
        <v>25</v>
      </c>
      <c r="E29" s="4">
        <f>C29*D29</f>
        <v>5000</v>
      </c>
      <c r="F29" s="4">
        <v>200</v>
      </c>
      <c r="G29" s="43">
        <v>25</v>
      </c>
      <c r="H29" s="15">
        <f>F29*G29</f>
        <v>5000</v>
      </c>
    </row>
    <row r="30" spans="1:14" ht="15.6" x14ac:dyDescent="0.3">
      <c r="A30" s="87" t="s">
        <v>156</v>
      </c>
      <c r="B30" s="87"/>
      <c r="C30" s="4">
        <v>500</v>
      </c>
      <c r="D30" s="2">
        <v>80</v>
      </c>
      <c r="E30" s="4">
        <f>C30*D30</f>
        <v>40000</v>
      </c>
      <c r="F30" s="4">
        <v>500</v>
      </c>
      <c r="G30" s="2">
        <v>1500</v>
      </c>
      <c r="H30" s="15">
        <f>F30*G30</f>
        <v>750000</v>
      </c>
    </row>
    <row r="31" spans="1:14" ht="15.6" x14ac:dyDescent="0.3">
      <c r="A31" s="2"/>
      <c r="B31" s="2"/>
      <c r="C31" s="7"/>
      <c r="D31" s="7"/>
      <c r="E31" s="7"/>
      <c r="F31" s="7"/>
      <c r="G31" s="7"/>
      <c r="H31" s="15"/>
    </row>
    <row r="32" spans="1:14" ht="15.6" x14ac:dyDescent="0.3">
      <c r="A32" s="88" t="s">
        <v>25</v>
      </c>
      <c r="B32" s="88"/>
      <c r="C32" s="7"/>
      <c r="D32" s="7"/>
      <c r="E32" s="14">
        <f>E29+E30</f>
        <v>45000</v>
      </c>
      <c r="F32" s="7"/>
      <c r="G32" s="7"/>
      <c r="H32" s="14">
        <f>H29+H30</f>
        <v>755000</v>
      </c>
    </row>
    <row r="33" spans="1:18" ht="15.6" x14ac:dyDescent="0.3">
      <c r="A33" s="48"/>
      <c r="B33" s="49"/>
      <c r="C33" s="49"/>
      <c r="D33" s="49"/>
      <c r="E33" s="49"/>
      <c r="F33" s="49"/>
      <c r="G33" s="49"/>
      <c r="H33" s="50"/>
    </row>
    <row r="34" spans="1:18" ht="15.6" x14ac:dyDescent="0.3">
      <c r="A34" s="83" t="s">
        <v>29</v>
      </c>
      <c r="B34" s="84"/>
      <c r="C34" s="2"/>
      <c r="D34" s="2"/>
      <c r="E34" s="12">
        <f>E13+E20+E26+E29-E30</f>
        <v>20320999.84</v>
      </c>
      <c r="F34" s="4"/>
      <c r="G34" s="4"/>
      <c r="H34" s="12">
        <f>H13+H20+H26+H29-H30</f>
        <v>21014400</v>
      </c>
    </row>
    <row r="36" spans="1:18" ht="15.6" x14ac:dyDescent="0.3">
      <c r="A36" s="79" t="s">
        <v>0</v>
      </c>
      <c r="B36" s="80"/>
      <c r="C36" s="96"/>
      <c r="D36" s="100" t="s">
        <v>7</v>
      </c>
      <c r="E36" s="100"/>
      <c r="F36" s="79" t="s">
        <v>174</v>
      </c>
      <c r="G36" s="80"/>
      <c r="H36" s="96"/>
      <c r="I36" s="79" t="s">
        <v>7</v>
      </c>
      <c r="J36" s="96"/>
    </row>
    <row r="37" spans="1:18" ht="15.6" x14ac:dyDescent="0.3">
      <c r="A37" s="2" t="s">
        <v>1</v>
      </c>
      <c r="B37" s="2"/>
      <c r="C37" s="4">
        <f>E7</f>
        <v>35250000</v>
      </c>
      <c r="D37" s="101">
        <f>C37-(C38+C39+C40+C41)</f>
        <v>14849000.16</v>
      </c>
      <c r="E37" s="102"/>
      <c r="F37" s="42" t="s">
        <v>1</v>
      </c>
      <c r="G37" s="42"/>
      <c r="H37" s="4">
        <f>H7</f>
        <v>29961000</v>
      </c>
      <c r="I37" s="118">
        <f>H37-(H38+H39+H40+H41)</f>
        <v>7446600</v>
      </c>
      <c r="J37" s="119"/>
    </row>
    <row r="38" spans="1:18" ht="15.6" x14ac:dyDescent="0.3">
      <c r="A38" s="97" t="s">
        <v>2</v>
      </c>
      <c r="B38" s="2" t="s">
        <v>3</v>
      </c>
      <c r="C38" s="4">
        <f>E13</f>
        <v>10400000</v>
      </c>
      <c r="D38" s="102"/>
      <c r="E38" s="102"/>
      <c r="F38" s="97" t="s">
        <v>2</v>
      </c>
      <c r="G38" s="42" t="s">
        <v>3</v>
      </c>
      <c r="H38" s="4">
        <f>H13</f>
        <v>11440000</v>
      </c>
      <c r="I38" s="120"/>
      <c r="J38" s="121"/>
    </row>
    <row r="39" spans="1:18" ht="15.6" x14ac:dyDescent="0.3">
      <c r="A39" s="98"/>
      <c r="B39" s="2" t="s">
        <v>4</v>
      </c>
      <c r="C39" s="4">
        <f>E20</f>
        <v>9386000</v>
      </c>
      <c r="D39" s="102"/>
      <c r="E39" s="102"/>
      <c r="F39" s="98"/>
      <c r="G39" s="42" t="s">
        <v>4</v>
      </c>
      <c r="H39" s="4">
        <f>H20</f>
        <v>9625000</v>
      </c>
      <c r="I39" s="120"/>
      <c r="J39" s="121"/>
    </row>
    <row r="40" spans="1:18" ht="15.6" x14ac:dyDescent="0.3">
      <c r="A40" s="98"/>
      <c r="B40" s="2" t="s">
        <v>5</v>
      </c>
      <c r="C40" s="4">
        <f>E26</f>
        <v>569999.84</v>
      </c>
      <c r="D40" s="102"/>
      <c r="E40" s="102"/>
      <c r="F40" s="98"/>
      <c r="G40" s="42" t="s">
        <v>5</v>
      </c>
      <c r="H40" s="4">
        <f>H26</f>
        <v>694400</v>
      </c>
      <c r="I40" s="120"/>
      <c r="J40" s="121"/>
    </row>
    <row r="41" spans="1:18" ht="15.6" x14ac:dyDescent="0.3">
      <c r="A41" s="99"/>
      <c r="B41" s="2" t="s">
        <v>6</v>
      </c>
      <c r="C41" s="4">
        <f>E32</f>
        <v>45000</v>
      </c>
      <c r="D41" s="102"/>
      <c r="E41" s="102"/>
      <c r="F41" s="99"/>
      <c r="G41" s="42" t="s">
        <v>6</v>
      </c>
      <c r="H41" s="4">
        <f>H32</f>
        <v>755000</v>
      </c>
      <c r="I41" s="122"/>
      <c r="J41" s="123"/>
    </row>
    <row r="42" spans="1:18" ht="15.6" x14ac:dyDescent="0.3">
      <c r="A42" s="10"/>
      <c r="B42" s="10"/>
      <c r="C42" s="10"/>
      <c r="D42" s="10"/>
      <c r="E42" s="10"/>
    </row>
    <row r="43" spans="1:18" ht="15.6" x14ac:dyDescent="0.3">
      <c r="A43" s="83" t="s">
        <v>8</v>
      </c>
      <c r="B43" s="95"/>
      <c r="C43" s="95"/>
      <c r="D43" s="95"/>
      <c r="E43" s="84"/>
    </row>
    <row r="44" spans="1:18" ht="15.6" x14ac:dyDescent="0.3">
      <c r="A44" s="103" t="s">
        <v>9</v>
      </c>
      <c r="B44" s="104"/>
      <c r="C44" s="105"/>
      <c r="D44" s="106">
        <f>D37</f>
        <v>14849000.16</v>
      </c>
      <c r="E44" s="107"/>
    </row>
    <row r="45" spans="1:18" ht="15.6" x14ac:dyDescent="0.3">
      <c r="A45" s="103" t="s">
        <v>10</v>
      </c>
      <c r="B45" s="104"/>
      <c r="C45" s="105"/>
      <c r="D45" s="106">
        <f>C30</f>
        <v>500</v>
      </c>
      <c r="E45" s="107"/>
    </row>
    <row r="46" spans="1:18" ht="15.6" x14ac:dyDescent="0.3">
      <c r="A46" s="79" t="s">
        <v>11</v>
      </c>
      <c r="B46" s="80"/>
      <c r="C46" s="80"/>
      <c r="D46" s="77">
        <f>D44/D45</f>
        <v>29698.000319999999</v>
      </c>
      <c r="E46" s="78"/>
    </row>
    <row r="48" spans="1:18" x14ac:dyDescent="0.3">
      <c r="A48" s="73" t="s">
        <v>75</v>
      </c>
      <c r="B48" s="73"/>
      <c r="C48" s="73"/>
      <c r="D48" s="73"/>
      <c r="F48" s="72" t="s">
        <v>76</v>
      </c>
      <c r="G48" s="72"/>
      <c r="H48" s="72"/>
      <c r="I48" s="72"/>
      <c r="K48" s="124" t="s">
        <v>21</v>
      </c>
      <c r="L48" s="124" t="s">
        <v>15</v>
      </c>
      <c r="M48" s="125" t="s">
        <v>160</v>
      </c>
      <c r="N48" s="125"/>
      <c r="O48" s="125" t="s">
        <v>161</v>
      </c>
      <c r="P48" s="125"/>
      <c r="Q48" s="125" t="s">
        <v>162</v>
      </c>
      <c r="R48" s="125"/>
    </row>
    <row r="49" spans="1:19" x14ac:dyDescent="0.3">
      <c r="A49" s="63" t="s">
        <v>12</v>
      </c>
      <c r="B49" s="64"/>
      <c r="C49" s="64"/>
      <c r="D49" s="65"/>
      <c r="F49" s="63" t="s">
        <v>12</v>
      </c>
      <c r="G49" s="64"/>
      <c r="H49" s="64"/>
      <c r="I49" s="65"/>
      <c r="K49" s="124"/>
      <c r="L49" s="124"/>
      <c r="M49" s="39" t="s">
        <v>163</v>
      </c>
      <c r="N49" s="39" t="s">
        <v>17</v>
      </c>
      <c r="O49" t="s">
        <v>163</v>
      </c>
      <c r="P49" t="s">
        <v>17</v>
      </c>
      <c r="Q49" t="s">
        <v>164</v>
      </c>
    </row>
    <row r="50" spans="1:19" x14ac:dyDescent="0.3">
      <c r="A50" s="57" t="s">
        <v>13</v>
      </c>
      <c r="B50" s="66"/>
      <c r="C50" s="66"/>
      <c r="D50" s="58"/>
      <c r="F50" s="57" t="s">
        <v>73</v>
      </c>
      <c r="G50" s="66"/>
      <c r="H50" s="66"/>
      <c r="I50" s="58"/>
      <c r="K50" s="124"/>
      <c r="L50" t="s">
        <v>21</v>
      </c>
      <c r="M50" s="40">
        <f>E34</f>
        <v>20320999.84</v>
      </c>
      <c r="N50" s="40">
        <f>H34</f>
        <v>21014400</v>
      </c>
      <c r="O50" s="41">
        <v>1</v>
      </c>
      <c r="P50" s="41">
        <f>N50/M50</f>
        <v>1.0341223446414829</v>
      </c>
      <c r="Q50" s="126">
        <f>P50-O50</f>
        <v>3.4122344641482893E-2</v>
      </c>
      <c r="R50" s="126"/>
      <c r="S50" s="25">
        <f>+Q50</f>
        <v>3.4122344641482893E-2</v>
      </c>
    </row>
    <row r="51" spans="1:19" ht="15.6" x14ac:dyDescent="0.3">
      <c r="A51" s="1" t="s">
        <v>14</v>
      </c>
      <c r="B51" s="74">
        <f>(C4*D4)+(C5*D5)</f>
        <v>35250000</v>
      </c>
      <c r="C51" s="75"/>
      <c r="D51" s="76"/>
      <c r="F51" s="1" t="s">
        <v>14</v>
      </c>
      <c r="G51" s="74">
        <f>(C4*G4)+(C5*G5)</f>
        <v>35250000</v>
      </c>
      <c r="H51" s="75"/>
      <c r="I51" s="76"/>
      <c r="K51" s="124"/>
      <c r="L51" t="s">
        <v>165</v>
      </c>
      <c r="M51" s="40">
        <f>E13</f>
        <v>10400000</v>
      </c>
      <c r="N51" s="40">
        <f>H13</f>
        <v>11440000</v>
      </c>
      <c r="O51" s="41">
        <v>1</v>
      </c>
      <c r="P51" s="41">
        <f t="shared" ref="P51:P55" si="2">N51/M51</f>
        <v>1.1000000000000001</v>
      </c>
      <c r="Q51" s="126">
        <f t="shared" ref="Q51:Q55" si="3">P51-O51</f>
        <v>0.10000000000000009</v>
      </c>
      <c r="R51" s="126"/>
      <c r="S51" s="25">
        <f t="shared" ref="S51:S55" si="4">+Q51</f>
        <v>0.10000000000000009</v>
      </c>
    </row>
    <row r="52" spans="1:19" ht="15.75" customHeight="1" x14ac:dyDescent="0.3">
      <c r="A52" s="57" t="s">
        <v>31</v>
      </c>
      <c r="B52" s="66"/>
      <c r="C52" s="66"/>
      <c r="D52" s="58"/>
      <c r="F52" s="57" t="s">
        <v>74</v>
      </c>
      <c r="G52" s="66"/>
      <c r="H52" s="66"/>
      <c r="I52" s="58"/>
      <c r="K52" s="124"/>
      <c r="L52" t="s">
        <v>166</v>
      </c>
      <c r="M52" s="40">
        <f>E20</f>
        <v>9386000</v>
      </c>
      <c r="N52" s="40">
        <f>H20</f>
        <v>9625000</v>
      </c>
      <c r="O52" s="41">
        <v>1</v>
      </c>
      <c r="P52" s="41">
        <f t="shared" si="2"/>
        <v>1.0254634562113787</v>
      </c>
      <c r="Q52" s="126">
        <f t="shared" si="3"/>
        <v>2.5463456211378688E-2</v>
      </c>
      <c r="R52" s="126"/>
      <c r="S52" s="25">
        <f t="shared" si="4"/>
        <v>2.5463456211378688E-2</v>
      </c>
    </row>
    <row r="53" spans="1:19" ht="15.6" x14ac:dyDescent="0.3">
      <c r="A53" s="1" t="s">
        <v>30</v>
      </c>
      <c r="B53" s="74">
        <f>(F4*D4)+(F5*D5)</f>
        <v>29961000</v>
      </c>
      <c r="C53" s="75"/>
      <c r="D53" s="76"/>
      <c r="F53" s="1" t="s">
        <v>30</v>
      </c>
      <c r="G53" s="74">
        <f>(F4*G4)+(F5*G5)</f>
        <v>29961000</v>
      </c>
      <c r="H53" s="75"/>
      <c r="I53" s="76"/>
      <c r="K53" s="124"/>
      <c r="L53" t="s">
        <v>167</v>
      </c>
      <c r="M53" s="40">
        <f>E26</f>
        <v>569999.84</v>
      </c>
      <c r="N53" s="40">
        <f>H26</f>
        <v>694400</v>
      </c>
      <c r="O53" s="41">
        <v>1</v>
      </c>
      <c r="P53" s="41">
        <f t="shared" si="2"/>
        <v>1.218245955998865</v>
      </c>
      <c r="Q53" s="126">
        <f t="shared" si="3"/>
        <v>0.21824595599886498</v>
      </c>
      <c r="R53" s="126"/>
      <c r="S53" s="25">
        <f t="shared" si="4"/>
        <v>0.21824595599886498</v>
      </c>
    </row>
    <row r="54" spans="1:19" x14ac:dyDescent="0.3">
      <c r="A54" s="54" t="s">
        <v>32</v>
      </c>
      <c r="B54" s="56"/>
      <c r="C54" s="70">
        <f>B53/B51</f>
        <v>0.8499574468085106</v>
      </c>
      <c r="D54" s="71"/>
      <c r="F54" s="54" t="s">
        <v>32</v>
      </c>
      <c r="G54" s="56"/>
      <c r="H54" s="70">
        <f>G53/G51</f>
        <v>0.8499574468085106</v>
      </c>
      <c r="I54" s="71"/>
      <c r="K54" s="124"/>
      <c r="L54" t="s">
        <v>28</v>
      </c>
      <c r="M54" s="40">
        <f>E32</f>
        <v>45000</v>
      </c>
      <c r="N54" s="40">
        <f>H32</f>
        <v>755000</v>
      </c>
      <c r="O54" s="41">
        <v>1</v>
      </c>
      <c r="P54" s="41">
        <f t="shared" si="2"/>
        <v>16.777777777777779</v>
      </c>
      <c r="Q54" s="126">
        <f t="shared" si="3"/>
        <v>15.777777777777779</v>
      </c>
      <c r="R54" s="126"/>
      <c r="S54" s="25">
        <f t="shared" si="4"/>
        <v>15.777777777777779</v>
      </c>
    </row>
    <row r="55" spans="1:19" x14ac:dyDescent="0.3">
      <c r="A55" s="51"/>
      <c r="B55" s="51"/>
      <c r="C55" s="51"/>
      <c r="D55" s="51"/>
      <c r="F55" s="53"/>
      <c r="G55" s="53"/>
      <c r="H55" s="53"/>
      <c r="I55" s="53"/>
      <c r="K55" s="124"/>
      <c r="L55" t="s">
        <v>29</v>
      </c>
      <c r="M55" s="40">
        <f>E34</f>
        <v>20320999.84</v>
      </c>
      <c r="N55" s="40">
        <f>H34</f>
        <v>21014400</v>
      </c>
      <c r="O55" s="41">
        <v>1</v>
      </c>
      <c r="P55" s="41">
        <f t="shared" si="2"/>
        <v>1.0341223446414829</v>
      </c>
      <c r="Q55" s="126">
        <f t="shared" si="3"/>
        <v>3.4122344641482893E-2</v>
      </c>
      <c r="R55" s="126"/>
      <c r="S55" s="25">
        <f t="shared" si="4"/>
        <v>3.4122344641482893E-2</v>
      </c>
    </row>
    <row r="56" spans="1:19" x14ac:dyDescent="0.3">
      <c r="A56" s="17"/>
      <c r="B56" s="17"/>
      <c r="C56" s="17"/>
      <c r="D56" s="17"/>
      <c r="E56" s="18"/>
      <c r="F56" s="17"/>
      <c r="G56" s="17"/>
      <c r="H56" s="17"/>
      <c r="I56" s="17"/>
    </row>
    <row r="57" spans="1:19" x14ac:dyDescent="0.3">
      <c r="A57" s="63" t="s">
        <v>67</v>
      </c>
      <c r="B57" s="64"/>
      <c r="C57" s="64"/>
      <c r="D57" s="65"/>
      <c r="F57" s="63" t="s">
        <v>67</v>
      </c>
      <c r="G57" s="64"/>
      <c r="H57" s="64"/>
      <c r="I57" s="65"/>
      <c r="K57" s="124" t="s">
        <v>139</v>
      </c>
      <c r="L57" t="s">
        <v>168</v>
      </c>
      <c r="M57" s="41">
        <f>C62</f>
        <v>1</v>
      </c>
      <c r="N57" s="41">
        <f>H62</f>
        <v>1</v>
      </c>
      <c r="O57" s="44">
        <v>1</v>
      </c>
      <c r="P57">
        <f>N57/M57</f>
        <v>1</v>
      </c>
      <c r="Q57" s="135">
        <f>O57-P57</f>
        <v>0</v>
      </c>
      <c r="R57" s="135"/>
      <c r="S57" s="137">
        <v>1</v>
      </c>
    </row>
    <row r="58" spans="1:19" x14ac:dyDescent="0.3">
      <c r="A58" s="57" t="s">
        <v>13</v>
      </c>
      <c r="B58" s="66"/>
      <c r="C58" s="66"/>
      <c r="D58" s="58"/>
      <c r="F58" s="57" t="str">
        <f>F50</f>
        <v>Periode 1 (Harga yang Berlaku)</v>
      </c>
      <c r="G58" s="66"/>
      <c r="H58" s="66"/>
      <c r="I58" s="58"/>
      <c r="K58" s="124"/>
      <c r="L58" t="s">
        <v>169</v>
      </c>
      <c r="M58" s="41">
        <f>C69</f>
        <v>0.96846366929469418</v>
      </c>
      <c r="N58" s="41">
        <f>H69</f>
        <v>0.96719087574737472</v>
      </c>
      <c r="O58" s="44">
        <v>1</v>
      </c>
      <c r="P58" s="45">
        <f t="shared" ref="P58:P61" si="5">N58/M58</f>
        <v>0.99868576015014954</v>
      </c>
      <c r="Q58" s="135">
        <f t="shared" ref="Q58:Q61" si="6">O58-P58</f>
        <v>1.3142398498504626E-3</v>
      </c>
      <c r="R58" s="135"/>
      <c r="S58" s="137">
        <v>0.99</v>
      </c>
    </row>
    <row r="59" spans="1:19" ht="15.6" x14ac:dyDescent="0.3">
      <c r="A59" s="1" t="s">
        <v>33</v>
      </c>
      <c r="B59" s="74">
        <f>(C10*D10)+(C11*D11)</f>
        <v>10400000</v>
      </c>
      <c r="C59" s="75"/>
      <c r="D59" s="76"/>
      <c r="F59" s="1" t="s">
        <v>33</v>
      </c>
      <c r="G59" s="74">
        <f>(C10*G10)+(C11*G11)</f>
        <v>11440000</v>
      </c>
      <c r="H59" s="75"/>
      <c r="I59" s="76"/>
      <c r="K59" s="124"/>
      <c r="L59" t="s">
        <v>170</v>
      </c>
      <c r="M59" s="41">
        <f>C76</f>
        <v>1</v>
      </c>
      <c r="N59" s="41">
        <f>H76</f>
        <v>1</v>
      </c>
      <c r="O59" s="44">
        <v>1</v>
      </c>
      <c r="P59">
        <f t="shared" si="5"/>
        <v>1</v>
      </c>
      <c r="Q59" s="135">
        <f t="shared" si="6"/>
        <v>0</v>
      </c>
      <c r="R59" s="135"/>
      <c r="S59" s="137">
        <v>1</v>
      </c>
    </row>
    <row r="60" spans="1:19" x14ac:dyDescent="0.3">
      <c r="A60" s="57" t="s">
        <v>31</v>
      </c>
      <c r="B60" s="66"/>
      <c r="C60" s="66"/>
      <c r="D60" s="58"/>
      <c r="F60" s="57" t="str">
        <f>F52</f>
        <v>Periode 2(Menggunakan Harga yang berlaku)</v>
      </c>
      <c r="G60" s="66"/>
      <c r="H60" s="66"/>
      <c r="I60" s="58"/>
      <c r="K60" s="124"/>
      <c r="L60" t="s">
        <v>171</v>
      </c>
      <c r="M60" s="41">
        <f>C83</f>
        <v>1</v>
      </c>
      <c r="N60" s="41">
        <f>H83</f>
        <v>1</v>
      </c>
      <c r="O60" s="44">
        <v>1</v>
      </c>
      <c r="P60">
        <f t="shared" si="5"/>
        <v>1</v>
      </c>
      <c r="Q60" s="135">
        <f t="shared" si="6"/>
        <v>0</v>
      </c>
      <c r="R60" s="135"/>
      <c r="S60" s="137">
        <v>1</v>
      </c>
    </row>
    <row r="61" spans="1:19" ht="15.6" x14ac:dyDescent="0.3">
      <c r="A61" s="1" t="s">
        <v>34</v>
      </c>
      <c r="B61" s="74">
        <f>(F10*D10)+(F11*D11)</f>
        <v>10400000</v>
      </c>
      <c r="C61" s="75"/>
      <c r="D61" s="76"/>
      <c r="F61" s="1" t="s">
        <v>34</v>
      </c>
      <c r="G61" s="74">
        <f>(F10*G10)+(F11*G11)</f>
        <v>11440000</v>
      </c>
      <c r="H61" s="75"/>
      <c r="I61" s="76"/>
      <c r="K61" s="124"/>
      <c r="L61" t="s">
        <v>172</v>
      </c>
      <c r="M61" s="41">
        <f>C90</f>
        <v>0.98549090719467403</v>
      </c>
      <c r="N61" s="41">
        <f>H90</f>
        <v>0.97199999999999998</v>
      </c>
      <c r="O61" s="44">
        <v>1</v>
      </c>
      <c r="P61" s="45">
        <f t="shared" si="5"/>
        <v>0.98631047014621609</v>
      </c>
      <c r="Q61" s="135">
        <f t="shared" si="6"/>
        <v>1.3689529853783911E-2</v>
      </c>
      <c r="R61" s="135"/>
      <c r="S61" s="137">
        <v>0.98599999999999999</v>
      </c>
    </row>
    <row r="62" spans="1:19" x14ac:dyDescent="0.3">
      <c r="A62" s="54" t="s">
        <v>68</v>
      </c>
      <c r="B62" s="56"/>
      <c r="C62" s="70">
        <f>B61/B59</f>
        <v>1</v>
      </c>
      <c r="D62" s="71"/>
      <c r="F62" s="54" t="s">
        <v>68</v>
      </c>
      <c r="G62" s="56"/>
      <c r="H62" s="70">
        <f>G61/G59</f>
        <v>1</v>
      </c>
      <c r="I62" s="71"/>
    </row>
    <row r="63" spans="1:19" x14ac:dyDescent="0.3">
      <c r="A63" s="51"/>
      <c r="B63" s="51"/>
      <c r="C63" s="51"/>
      <c r="D63" s="51"/>
      <c r="F63" s="53"/>
      <c r="G63" s="53"/>
      <c r="H63" s="53"/>
      <c r="I63" s="53"/>
      <c r="K63" s="124" t="s">
        <v>173</v>
      </c>
      <c r="L63" t="s">
        <v>168</v>
      </c>
      <c r="M63" s="41">
        <f>C132</f>
        <v>84.995744680851061</v>
      </c>
      <c r="N63" s="41">
        <f>H132</f>
        <v>84.995744680851061</v>
      </c>
      <c r="O63" s="44">
        <f>100%</f>
        <v>1</v>
      </c>
      <c r="P63" s="41">
        <f>N63-M63</f>
        <v>0</v>
      </c>
    </row>
    <row r="64" spans="1:19" x14ac:dyDescent="0.3">
      <c r="A64" s="63" t="s">
        <v>35</v>
      </c>
      <c r="B64" s="64"/>
      <c r="C64" s="64"/>
      <c r="D64" s="65"/>
      <c r="F64" s="63" t="s">
        <v>35</v>
      </c>
      <c r="G64" s="64"/>
      <c r="H64" s="64"/>
      <c r="I64" s="65"/>
      <c r="K64" s="124"/>
      <c r="L64" t="s">
        <v>169</v>
      </c>
      <c r="M64" s="41">
        <f>C137</f>
        <v>87.763482901481638</v>
      </c>
      <c r="N64" s="41">
        <f>H137</f>
        <v>87.878976954959924</v>
      </c>
      <c r="O64" s="44">
        <f>100%</f>
        <v>1</v>
      </c>
      <c r="P64" s="41">
        <f t="shared" ref="P64:P67" si="7">N64-M64</f>
        <v>0.11549405347828667</v>
      </c>
    </row>
    <row r="65" spans="1:19" x14ac:dyDescent="0.3">
      <c r="A65" s="57" t="s">
        <v>13</v>
      </c>
      <c r="B65" s="66"/>
      <c r="C65" s="66"/>
      <c r="D65" s="58"/>
      <c r="F65" s="57" t="str">
        <f>F58</f>
        <v>Periode 1 (Harga yang Berlaku)</v>
      </c>
      <c r="G65" s="66"/>
      <c r="H65" s="66"/>
      <c r="I65" s="58"/>
      <c r="K65" s="124"/>
      <c r="L65" t="s">
        <v>170</v>
      </c>
      <c r="M65" s="41">
        <f>C142</f>
        <v>84.995744680851061</v>
      </c>
      <c r="N65" s="41">
        <f>H142</f>
        <v>84.995744680851061</v>
      </c>
      <c r="O65" s="44">
        <f>100%</f>
        <v>1</v>
      </c>
      <c r="P65" s="41">
        <f t="shared" si="7"/>
        <v>0</v>
      </c>
    </row>
    <row r="66" spans="1:19" ht="15.6" x14ac:dyDescent="0.3">
      <c r="A66" s="1" t="s">
        <v>36</v>
      </c>
      <c r="B66" s="74">
        <f>(C16*D16)+(C17*D17)+(C18*D18)</f>
        <v>9386000</v>
      </c>
      <c r="C66" s="75"/>
      <c r="D66" s="76"/>
      <c r="F66" s="1" t="s">
        <v>36</v>
      </c>
      <c r="G66" s="74">
        <f>(C16*G16)+(C17*G17)+(C18*G18)</f>
        <v>9951500</v>
      </c>
      <c r="H66" s="75"/>
      <c r="I66" s="76"/>
      <c r="K66" s="124"/>
      <c r="L66" t="s">
        <v>171</v>
      </c>
      <c r="M66" s="25">
        <f>C173</f>
        <v>84.995744680851061</v>
      </c>
      <c r="N66" s="41">
        <f>H147</f>
        <v>84.995744680851061</v>
      </c>
      <c r="O66" s="44">
        <f>100%</f>
        <v>1</v>
      </c>
      <c r="P66" s="41">
        <f t="shared" si="7"/>
        <v>0</v>
      </c>
    </row>
    <row r="67" spans="1:19" x14ac:dyDescent="0.3">
      <c r="A67" s="57" t="s">
        <v>31</v>
      </c>
      <c r="B67" s="66"/>
      <c r="C67" s="66"/>
      <c r="D67" s="58"/>
      <c r="F67" s="57" t="str">
        <f>F60</f>
        <v>Periode 2(Menggunakan Harga yang berlaku)</v>
      </c>
      <c r="G67" s="66"/>
      <c r="H67" s="66"/>
      <c r="I67" s="58"/>
      <c r="K67" s="124"/>
      <c r="L67" t="s">
        <v>29</v>
      </c>
      <c r="M67" s="41">
        <f>C152</f>
        <v>86.247112033536993</v>
      </c>
      <c r="N67" s="41">
        <f>H152</f>
        <v>87.444181770422901</v>
      </c>
      <c r="O67" s="44">
        <f>100%</f>
        <v>1</v>
      </c>
      <c r="P67" s="41">
        <f t="shared" si="7"/>
        <v>1.1970697368859078</v>
      </c>
    </row>
    <row r="68" spans="1:19" ht="15.6" x14ac:dyDescent="0.3">
      <c r="A68" s="1" t="s">
        <v>37</v>
      </c>
      <c r="B68" s="74">
        <f>(F16*D16)+(F17*D17)+(F18*D18)</f>
        <v>9090000</v>
      </c>
      <c r="C68" s="75"/>
      <c r="D68" s="76"/>
      <c r="F68" s="1" t="s">
        <v>37</v>
      </c>
      <c r="G68" s="74">
        <f>(F16*G16)+(F17*G17)+(F18*G18)</f>
        <v>9625000</v>
      </c>
      <c r="H68" s="75"/>
      <c r="I68" s="76"/>
    </row>
    <row r="69" spans="1:19" x14ac:dyDescent="0.3">
      <c r="A69" s="54" t="s">
        <v>69</v>
      </c>
      <c r="B69" s="56"/>
      <c r="C69" s="70">
        <f>B68/B66</f>
        <v>0.96846366929469418</v>
      </c>
      <c r="D69" s="71"/>
      <c r="F69" s="54" t="s">
        <v>69</v>
      </c>
      <c r="G69" s="56"/>
      <c r="H69" s="70">
        <f>G68/G66</f>
        <v>0.96719087574737472</v>
      </c>
      <c r="I69" s="71"/>
      <c r="M69">
        <f>M63/M57</f>
        <v>84.995744680851061</v>
      </c>
      <c r="N69" s="136">
        <f>M63-S57</f>
        <v>83.995744680851061</v>
      </c>
      <c r="R69" s="143">
        <f>M69/100</f>
        <v>0.8499574468085106</v>
      </c>
      <c r="S69" s="124" t="s">
        <v>175</v>
      </c>
    </row>
    <row r="70" spans="1:19" x14ac:dyDescent="0.3">
      <c r="A70" s="51"/>
      <c r="B70" s="51"/>
      <c r="C70" s="51"/>
      <c r="D70" s="51"/>
      <c r="F70" s="53"/>
      <c r="G70" s="53"/>
      <c r="H70" s="53"/>
      <c r="I70" s="53"/>
      <c r="M70">
        <f t="shared" ref="M70:M73" si="8">M64/M58</f>
        <v>90.621347691232856</v>
      </c>
      <c r="R70" s="143">
        <f>M70/100</f>
        <v>0.90621347691232856</v>
      </c>
      <c r="S70" s="124"/>
    </row>
    <row r="71" spans="1:19" x14ac:dyDescent="0.3">
      <c r="A71" s="63" t="s">
        <v>38</v>
      </c>
      <c r="B71" s="64"/>
      <c r="C71" s="64"/>
      <c r="D71" s="65"/>
      <c r="F71" s="63" t="s">
        <v>38</v>
      </c>
      <c r="G71" s="64"/>
      <c r="H71" s="64"/>
      <c r="I71" s="65"/>
      <c r="M71">
        <f t="shared" si="8"/>
        <v>84.995744680851061</v>
      </c>
      <c r="R71" s="143">
        <f>M71/100</f>
        <v>0.8499574468085106</v>
      </c>
      <c r="S71" s="124"/>
    </row>
    <row r="72" spans="1:19" x14ac:dyDescent="0.3">
      <c r="A72" s="57" t="s">
        <v>13</v>
      </c>
      <c r="B72" s="66"/>
      <c r="C72" s="66"/>
      <c r="D72" s="58"/>
      <c r="F72" s="57" t="str">
        <f>F65</f>
        <v>Periode 1 (Harga yang Berlaku)</v>
      </c>
      <c r="G72" s="66"/>
      <c r="H72" s="66"/>
      <c r="I72" s="58"/>
      <c r="M72">
        <f t="shared" si="8"/>
        <v>84.995744680851061</v>
      </c>
      <c r="R72" s="143">
        <f>M72/100</f>
        <v>0.8499574468085106</v>
      </c>
      <c r="S72" s="124"/>
    </row>
    <row r="73" spans="1:19" ht="15.6" x14ac:dyDescent="0.3">
      <c r="A73" s="1" t="s">
        <v>39</v>
      </c>
      <c r="B73" s="74">
        <f>(C23*D23)+(C24*D24)</f>
        <v>569999.84</v>
      </c>
      <c r="C73" s="75"/>
      <c r="D73" s="76"/>
      <c r="F73" s="1" t="s">
        <v>39</v>
      </c>
      <c r="G73" s="74">
        <f>(C23*G23)+(C24*G24)</f>
        <v>694400</v>
      </c>
      <c r="H73" s="75"/>
      <c r="I73" s="76"/>
      <c r="M73">
        <f t="shared" si="8"/>
        <v>87.516902899744082</v>
      </c>
      <c r="R73" s="143">
        <f>M73/100</f>
        <v>0.87516902899744087</v>
      </c>
      <c r="S73" s="124"/>
    </row>
    <row r="74" spans="1:19" x14ac:dyDescent="0.3">
      <c r="A74" s="57" t="s">
        <v>31</v>
      </c>
      <c r="B74" s="66"/>
      <c r="C74" s="66"/>
      <c r="D74" s="58"/>
      <c r="F74" s="57" t="str">
        <f>F67</f>
        <v>Periode 2(Menggunakan Harga yang berlaku)</v>
      </c>
      <c r="G74" s="66"/>
      <c r="H74" s="66"/>
      <c r="I74" s="58"/>
    </row>
    <row r="75" spans="1:19" ht="16.2" thickBot="1" x14ac:dyDescent="0.35">
      <c r="A75" s="1" t="s">
        <v>40</v>
      </c>
      <c r="B75" s="74">
        <f>(F23*D23)+(F24*D24)</f>
        <v>569999.84</v>
      </c>
      <c r="C75" s="75"/>
      <c r="D75" s="76"/>
      <c r="F75" s="1" t="s">
        <v>40</v>
      </c>
      <c r="G75" s="74">
        <f>(F23*G23)+(F24*G24)</f>
        <v>694400</v>
      </c>
      <c r="H75" s="75"/>
      <c r="I75" s="76"/>
      <c r="K75" t="s">
        <v>191</v>
      </c>
      <c r="L75" t="s">
        <v>192</v>
      </c>
      <c r="M75" t="s">
        <v>193</v>
      </c>
      <c r="N75" t="s">
        <v>194</v>
      </c>
      <c r="O75" t="s">
        <v>195</v>
      </c>
    </row>
    <row r="76" spans="1:19" x14ac:dyDescent="0.3">
      <c r="A76" s="54" t="s">
        <v>70</v>
      </c>
      <c r="B76" s="56"/>
      <c r="C76" s="70">
        <f>B75/B73</f>
        <v>1</v>
      </c>
      <c r="D76" s="71"/>
      <c r="F76" s="54" t="s">
        <v>70</v>
      </c>
      <c r="G76" s="56"/>
      <c r="H76" s="70">
        <f>G75/G73</f>
        <v>1</v>
      </c>
      <c r="I76" s="71"/>
      <c r="K76">
        <v>1</v>
      </c>
      <c r="L76" t="s">
        <v>176</v>
      </c>
      <c r="M76" s="138" t="s">
        <v>181</v>
      </c>
      <c r="N76" s="142" t="s">
        <v>183</v>
      </c>
      <c r="O76" s="46" t="s">
        <v>189</v>
      </c>
    </row>
    <row r="77" spans="1:19" x14ac:dyDescent="0.3">
      <c r="A77" s="51"/>
      <c r="B77" s="51"/>
      <c r="C77" s="51"/>
      <c r="D77" s="51"/>
      <c r="F77" s="53"/>
      <c r="G77" s="53"/>
      <c r="H77" s="53"/>
      <c r="I77" s="53"/>
      <c r="K77">
        <v>2</v>
      </c>
      <c r="L77" t="s">
        <v>177</v>
      </c>
      <c r="M77" s="139" t="s">
        <v>184</v>
      </c>
      <c r="N77" s="139" t="s">
        <v>186</v>
      </c>
      <c r="O77" s="46" t="s">
        <v>188</v>
      </c>
    </row>
    <row r="78" spans="1:19" x14ac:dyDescent="0.3">
      <c r="A78" s="63" t="s">
        <v>65</v>
      </c>
      <c r="B78" s="64"/>
      <c r="C78" s="64"/>
      <c r="D78" s="65"/>
      <c r="F78" s="63" t="s">
        <v>65</v>
      </c>
      <c r="G78" s="64"/>
      <c r="H78" s="64"/>
      <c r="I78" s="65"/>
      <c r="K78">
        <v>3</v>
      </c>
      <c r="L78" t="s">
        <v>179</v>
      </c>
      <c r="M78" s="139" t="s">
        <v>181</v>
      </c>
      <c r="N78" s="139" t="s">
        <v>183</v>
      </c>
      <c r="O78" s="46" t="s">
        <v>189</v>
      </c>
    </row>
    <row r="79" spans="1:19" x14ac:dyDescent="0.3">
      <c r="A79" s="57" t="s">
        <v>13</v>
      </c>
      <c r="B79" s="66"/>
      <c r="C79" s="66"/>
      <c r="D79" s="58"/>
      <c r="F79" s="57" t="str">
        <f>F72</f>
        <v>Periode 1 (Harga yang Berlaku)</v>
      </c>
      <c r="G79" s="66"/>
      <c r="H79" s="66"/>
      <c r="I79" s="58"/>
      <c r="K79">
        <v>4</v>
      </c>
      <c r="L79" t="s">
        <v>178</v>
      </c>
      <c r="M79" s="141" t="s">
        <v>182</v>
      </c>
      <c r="N79" s="139" t="s">
        <v>183</v>
      </c>
      <c r="O79" s="46" t="s">
        <v>189</v>
      </c>
    </row>
    <row r="80" spans="1:19" ht="16.2" thickBot="1" x14ac:dyDescent="0.35">
      <c r="A80" s="1" t="s">
        <v>55</v>
      </c>
      <c r="B80" s="74">
        <f>(C29*D29)+(C30*D30)</f>
        <v>45000</v>
      </c>
      <c r="C80" s="75"/>
      <c r="D80" s="76"/>
      <c r="F80" s="1" t="s">
        <v>55</v>
      </c>
      <c r="G80" s="74">
        <f>(C29*G29)+(C30*G30)</f>
        <v>755000</v>
      </c>
      <c r="H80" s="75"/>
      <c r="I80" s="76"/>
      <c r="K80">
        <v>5</v>
      </c>
      <c r="L80" t="s">
        <v>180</v>
      </c>
      <c r="M80" s="140" t="s">
        <v>185</v>
      </c>
      <c r="N80" s="140" t="s">
        <v>187</v>
      </c>
      <c r="O80" s="46" t="s">
        <v>190</v>
      </c>
    </row>
    <row r="81" spans="1:9" x14ac:dyDescent="0.3">
      <c r="A81" s="57" t="s">
        <v>31</v>
      </c>
      <c r="B81" s="66"/>
      <c r="C81" s="66"/>
      <c r="D81" s="58"/>
      <c r="F81" s="57" t="str">
        <f>F74</f>
        <v>Periode 2(Menggunakan Harga yang berlaku)</v>
      </c>
      <c r="G81" s="66"/>
      <c r="H81" s="66"/>
      <c r="I81" s="58"/>
    </row>
    <row r="82" spans="1:9" ht="15.6" x14ac:dyDescent="0.3">
      <c r="A82" s="1" t="s">
        <v>56</v>
      </c>
      <c r="B82" s="74">
        <f>(F29*D29)+(F30*D30)</f>
        <v>45000</v>
      </c>
      <c r="C82" s="75"/>
      <c r="D82" s="76"/>
      <c r="F82" s="1" t="s">
        <v>56</v>
      </c>
      <c r="G82" s="74">
        <f>(F29*G29)+(F30*G30)</f>
        <v>755000</v>
      </c>
      <c r="H82" s="75"/>
      <c r="I82" s="76"/>
    </row>
    <row r="83" spans="1:9" x14ac:dyDescent="0.3">
      <c r="A83" s="54" t="s">
        <v>71</v>
      </c>
      <c r="B83" s="56"/>
      <c r="C83" s="70">
        <f>B82/B80</f>
        <v>1</v>
      </c>
      <c r="D83" s="71"/>
      <c r="F83" s="54" t="s">
        <v>71</v>
      </c>
      <c r="G83" s="56"/>
      <c r="H83" s="70">
        <f>G82/G80</f>
        <v>1</v>
      </c>
      <c r="I83" s="71"/>
    </row>
    <row r="84" spans="1:9" x14ac:dyDescent="0.3">
      <c r="A84" s="51"/>
      <c r="B84" s="51"/>
      <c r="C84" s="51"/>
      <c r="D84" s="51"/>
      <c r="F84" s="53"/>
      <c r="G84" s="53"/>
      <c r="H84" s="53"/>
      <c r="I84" s="53"/>
    </row>
    <row r="85" spans="1:9" x14ac:dyDescent="0.3">
      <c r="A85" s="63" t="s">
        <v>41</v>
      </c>
      <c r="B85" s="64"/>
      <c r="C85" s="64"/>
      <c r="D85" s="65"/>
      <c r="F85" s="63" t="s">
        <v>41</v>
      </c>
      <c r="G85" s="64"/>
      <c r="H85" s="64"/>
      <c r="I85" s="65"/>
    </row>
    <row r="86" spans="1:9" x14ac:dyDescent="0.3">
      <c r="A86" s="57" t="s">
        <v>13</v>
      </c>
      <c r="B86" s="66"/>
      <c r="C86" s="66"/>
      <c r="D86" s="58"/>
      <c r="F86" s="57" t="str">
        <f>F79</f>
        <v>Periode 1 (Harga yang Berlaku)</v>
      </c>
      <c r="G86" s="66"/>
      <c r="H86" s="66"/>
      <c r="I86" s="58"/>
    </row>
    <row r="87" spans="1:9" ht="15.6" x14ac:dyDescent="0.3">
      <c r="A87" s="1" t="s">
        <v>42</v>
      </c>
      <c r="B87" s="74">
        <f>B59+B66+B73+B80</f>
        <v>20400999.84</v>
      </c>
      <c r="C87" s="75"/>
      <c r="D87" s="76"/>
      <c r="F87" s="1" t="s">
        <v>42</v>
      </c>
      <c r="G87" s="74">
        <f>G59+G66+G73+G80</f>
        <v>22840900</v>
      </c>
      <c r="H87" s="75"/>
      <c r="I87" s="76"/>
    </row>
    <row r="88" spans="1:9" x14ac:dyDescent="0.3">
      <c r="A88" s="57" t="s">
        <v>31</v>
      </c>
      <c r="B88" s="66"/>
      <c r="C88" s="66"/>
      <c r="D88" s="58"/>
      <c r="F88" s="57" t="str">
        <f>F81</f>
        <v>Periode 2(Menggunakan Harga yang berlaku)</v>
      </c>
      <c r="G88" s="66"/>
      <c r="H88" s="66"/>
      <c r="I88" s="58"/>
    </row>
    <row r="89" spans="1:9" ht="15.6" x14ac:dyDescent="0.3">
      <c r="A89" s="1" t="s">
        <v>43</v>
      </c>
      <c r="B89" s="74">
        <f>B61+B68+B75+B82</f>
        <v>20104999.84</v>
      </c>
      <c r="C89" s="75"/>
      <c r="D89" s="76"/>
      <c r="F89" s="1" t="s">
        <v>43</v>
      </c>
      <c r="G89" s="74">
        <f>G61+G68+G75+G82</f>
        <v>22514400</v>
      </c>
      <c r="H89" s="75"/>
      <c r="I89" s="76"/>
    </row>
    <row r="90" spans="1:9" x14ac:dyDescent="0.3">
      <c r="A90" s="54" t="s">
        <v>72</v>
      </c>
      <c r="B90" s="56"/>
      <c r="C90" s="70">
        <f>B89/B87</f>
        <v>0.98549090719467403</v>
      </c>
      <c r="D90" s="71"/>
      <c r="F90" s="54" t="s">
        <v>72</v>
      </c>
      <c r="G90" s="56"/>
      <c r="H90" s="70">
        <v>0.97199999999999998</v>
      </c>
      <c r="I90" s="71"/>
    </row>
    <row r="91" spans="1:9" x14ac:dyDescent="0.3">
      <c r="A91" s="51"/>
      <c r="B91" s="51"/>
      <c r="C91" s="51"/>
      <c r="D91" s="51"/>
      <c r="F91" s="53"/>
      <c r="G91" s="53"/>
      <c r="H91" s="53"/>
      <c r="I91" s="53"/>
    </row>
    <row r="92" spans="1:9" x14ac:dyDescent="0.3">
      <c r="A92" s="47"/>
      <c r="B92" s="47"/>
      <c r="C92" s="47"/>
      <c r="D92" s="47"/>
      <c r="E92" s="47"/>
      <c r="F92" s="47"/>
      <c r="G92" s="47"/>
      <c r="H92" s="47"/>
      <c r="I92" s="47"/>
    </row>
    <row r="93" spans="1:9" x14ac:dyDescent="0.3">
      <c r="A93" s="63" t="s">
        <v>44</v>
      </c>
      <c r="B93" s="64"/>
      <c r="C93" s="64"/>
      <c r="D93" s="65"/>
      <c r="F93" s="63" t="s">
        <v>44</v>
      </c>
      <c r="G93" s="64"/>
      <c r="H93" s="64"/>
      <c r="I93" s="65"/>
    </row>
    <row r="94" spans="1:9" x14ac:dyDescent="0.3">
      <c r="A94" s="57" t="s">
        <v>13</v>
      </c>
      <c r="B94" s="66"/>
      <c r="C94" s="66"/>
      <c r="D94" s="58"/>
      <c r="F94" s="57" t="s">
        <v>13</v>
      </c>
      <c r="G94" s="66"/>
      <c r="H94" s="66"/>
      <c r="I94" s="58"/>
    </row>
    <row r="95" spans="1:9" ht="15.6" x14ac:dyDescent="0.3">
      <c r="A95" s="1" t="s">
        <v>45</v>
      </c>
      <c r="B95" s="67">
        <f>B51/B59</f>
        <v>3.3894230769230771</v>
      </c>
      <c r="C95" s="68"/>
      <c r="D95" s="69"/>
      <c r="F95" s="1" t="s">
        <v>45</v>
      </c>
      <c r="G95" s="67">
        <f>G51/G59</f>
        <v>3.0812937062937062</v>
      </c>
      <c r="H95" s="68"/>
      <c r="I95" s="69"/>
    </row>
    <row r="96" spans="1:9" x14ac:dyDescent="0.3">
      <c r="A96" s="57" t="s">
        <v>31</v>
      </c>
      <c r="B96" s="66"/>
      <c r="C96" s="66"/>
      <c r="D96" s="58"/>
      <c r="F96" s="57" t="s">
        <v>31</v>
      </c>
      <c r="G96" s="66"/>
      <c r="H96" s="66"/>
      <c r="I96" s="58"/>
    </row>
    <row r="97" spans="1:9" ht="15.6" x14ac:dyDescent="0.3">
      <c r="A97" s="1" t="s">
        <v>46</v>
      </c>
      <c r="B97" s="67">
        <f>B53/B61</f>
        <v>2.8808653846153844</v>
      </c>
      <c r="C97" s="68"/>
      <c r="D97" s="69"/>
      <c r="F97" s="1" t="s">
        <v>46</v>
      </c>
      <c r="G97" s="67">
        <f>G53/G61</f>
        <v>2.6189685314685316</v>
      </c>
      <c r="H97" s="68"/>
      <c r="I97" s="69"/>
    </row>
    <row r="98" spans="1:9" x14ac:dyDescent="0.3">
      <c r="A98" s="54" t="s">
        <v>60</v>
      </c>
      <c r="B98" s="56"/>
      <c r="C98" s="70">
        <f>B97/B95*100</f>
        <v>84.995744680851061</v>
      </c>
      <c r="D98" s="71"/>
      <c r="F98" s="54" t="s">
        <v>60</v>
      </c>
      <c r="G98" s="56"/>
      <c r="H98" s="70">
        <f>G97/G95*100</f>
        <v>84.995744680851075</v>
      </c>
      <c r="I98" s="71"/>
    </row>
    <row r="99" spans="1:9" x14ac:dyDescent="0.3">
      <c r="A99" s="51"/>
      <c r="B99" s="51"/>
      <c r="C99" s="51"/>
      <c r="D99" s="51"/>
      <c r="F99" s="53"/>
      <c r="G99" s="53"/>
      <c r="H99" s="53"/>
      <c r="I99" s="53"/>
    </row>
    <row r="100" spans="1:9" x14ac:dyDescent="0.3">
      <c r="A100" s="63" t="s">
        <v>47</v>
      </c>
      <c r="B100" s="64"/>
      <c r="C100" s="64"/>
      <c r="D100" s="65"/>
      <c r="F100" s="63" t="s">
        <v>47</v>
      </c>
      <c r="G100" s="64"/>
      <c r="H100" s="64"/>
      <c r="I100" s="65"/>
    </row>
    <row r="101" spans="1:9" x14ac:dyDescent="0.3">
      <c r="A101" s="57" t="s">
        <v>13</v>
      </c>
      <c r="B101" s="66"/>
      <c r="C101" s="66"/>
      <c r="D101" s="58"/>
      <c r="F101" s="57" t="s">
        <v>13</v>
      </c>
      <c r="G101" s="66"/>
      <c r="H101" s="66"/>
      <c r="I101" s="58"/>
    </row>
    <row r="102" spans="1:9" ht="15.6" x14ac:dyDescent="0.3">
      <c r="A102" s="1" t="s">
        <v>48</v>
      </c>
      <c r="B102" s="67">
        <f>B51/B66</f>
        <v>3.7555934370338804</v>
      </c>
      <c r="C102" s="68"/>
      <c r="D102" s="69"/>
      <c r="F102" s="1" t="s">
        <v>48</v>
      </c>
      <c r="G102" s="67">
        <f>G51/G66</f>
        <v>3.542179570918957</v>
      </c>
      <c r="H102" s="68"/>
      <c r="I102" s="69"/>
    </row>
    <row r="103" spans="1:9" x14ac:dyDescent="0.3">
      <c r="A103" s="57" t="s">
        <v>31</v>
      </c>
      <c r="B103" s="66"/>
      <c r="C103" s="66"/>
      <c r="D103" s="58"/>
      <c r="F103" s="57" t="s">
        <v>31</v>
      </c>
      <c r="G103" s="66"/>
      <c r="H103" s="66"/>
      <c r="I103" s="58"/>
    </row>
    <row r="104" spans="1:9" ht="15.6" x14ac:dyDescent="0.3">
      <c r="A104" s="1" t="s">
        <v>49</v>
      </c>
      <c r="B104" s="67">
        <f>B53/B68</f>
        <v>3.2960396039603959</v>
      </c>
      <c r="C104" s="68"/>
      <c r="D104" s="69"/>
      <c r="F104" s="1" t="s">
        <v>49</v>
      </c>
      <c r="G104" s="67">
        <f>G53/G68</f>
        <v>3.1128311688311689</v>
      </c>
      <c r="H104" s="68"/>
      <c r="I104" s="69"/>
    </row>
    <row r="105" spans="1:9" x14ac:dyDescent="0.3">
      <c r="A105" s="54" t="s">
        <v>61</v>
      </c>
      <c r="B105" s="56"/>
      <c r="C105" s="70">
        <f>B104/B102*100</f>
        <v>87.763482901481623</v>
      </c>
      <c r="D105" s="71"/>
      <c r="F105" s="54" t="s">
        <v>61</v>
      </c>
      <c r="G105" s="56"/>
      <c r="H105" s="70">
        <f>G104/G102*100</f>
        <v>87.878976954959924</v>
      </c>
      <c r="I105" s="71"/>
    </row>
    <row r="106" spans="1:9" x14ac:dyDescent="0.3">
      <c r="A106" s="51"/>
      <c r="B106" s="51"/>
      <c r="C106" s="51"/>
      <c r="D106" s="51"/>
      <c r="F106" s="53"/>
      <c r="G106" s="53"/>
      <c r="H106" s="53"/>
      <c r="I106" s="53"/>
    </row>
    <row r="107" spans="1:9" x14ac:dyDescent="0.3">
      <c r="A107" s="63" t="s">
        <v>50</v>
      </c>
      <c r="B107" s="64"/>
      <c r="C107" s="64"/>
      <c r="D107" s="65"/>
      <c r="F107" s="63" t="s">
        <v>50</v>
      </c>
      <c r="G107" s="64"/>
      <c r="H107" s="64"/>
      <c r="I107" s="65"/>
    </row>
    <row r="108" spans="1:9" x14ac:dyDescent="0.3">
      <c r="A108" s="57" t="s">
        <v>13</v>
      </c>
      <c r="B108" s="66"/>
      <c r="C108" s="66"/>
      <c r="D108" s="58"/>
      <c r="F108" s="57" t="s">
        <v>13</v>
      </c>
      <c r="G108" s="66"/>
      <c r="H108" s="66"/>
      <c r="I108" s="58"/>
    </row>
    <row r="109" spans="1:9" ht="15.6" x14ac:dyDescent="0.3">
      <c r="A109" s="1" t="s">
        <v>51</v>
      </c>
      <c r="B109" s="67">
        <f>B51/B73</f>
        <v>61.84212262235021</v>
      </c>
      <c r="C109" s="68"/>
      <c r="D109" s="69"/>
      <c r="F109" s="1" t="s">
        <v>51</v>
      </c>
      <c r="G109" s="67">
        <f>G51/G73</f>
        <v>50.76324884792627</v>
      </c>
      <c r="H109" s="68"/>
      <c r="I109" s="69"/>
    </row>
    <row r="110" spans="1:9" x14ac:dyDescent="0.3">
      <c r="A110" s="57" t="s">
        <v>31</v>
      </c>
      <c r="B110" s="66"/>
      <c r="C110" s="66"/>
      <c r="D110" s="58"/>
      <c r="F110" s="57" t="s">
        <v>31</v>
      </c>
      <c r="G110" s="66"/>
      <c r="H110" s="66"/>
      <c r="I110" s="58"/>
    </row>
    <row r="111" spans="1:9" ht="15.6" x14ac:dyDescent="0.3">
      <c r="A111" s="1" t="s">
        <v>52</v>
      </c>
      <c r="B111" s="67">
        <f>B53/B75</f>
        <v>52.563172649311625</v>
      </c>
      <c r="C111" s="68"/>
      <c r="D111" s="69"/>
      <c r="F111" s="1" t="s">
        <v>52</v>
      </c>
      <c r="G111" s="67">
        <f>G53/G75</f>
        <v>43.146601382488477</v>
      </c>
      <c r="H111" s="68"/>
      <c r="I111" s="69"/>
    </row>
    <row r="112" spans="1:9" x14ac:dyDescent="0.3">
      <c r="A112" s="54" t="s">
        <v>62</v>
      </c>
      <c r="B112" s="56"/>
      <c r="C112" s="70">
        <f>B111/B109*100</f>
        <v>84.995744680851075</v>
      </c>
      <c r="D112" s="71"/>
      <c r="F112" s="54" t="s">
        <v>62</v>
      </c>
      <c r="G112" s="56"/>
      <c r="H112" s="70">
        <f>G111/G109*100</f>
        <v>84.995744680851047</v>
      </c>
      <c r="I112" s="71"/>
    </row>
    <row r="113" spans="1:9" x14ac:dyDescent="0.3">
      <c r="A113" s="51"/>
      <c r="B113" s="51"/>
      <c r="C113" s="51"/>
      <c r="D113" s="51"/>
      <c r="F113" s="53"/>
      <c r="G113" s="53"/>
      <c r="H113" s="53"/>
      <c r="I113" s="53"/>
    </row>
    <row r="114" spans="1:9" x14ac:dyDescent="0.3">
      <c r="A114" s="63" t="s">
        <v>66</v>
      </c>
      <c r="B114" s="64"/>
      <c r="C114" s="64"/>
      <c r="D114" s="65"/>
      <c r="F114" s="63" t="s">
        <v>66</v>
      </c>
      <c r="G114" s="64"/>
      <c r="H114" s="64"/>
      <c r="I114" s="65"/>
    </row>
    <row r="115" spans="1:9" x14ac:dyDescent="0.3">
      <c r="A115" s="57" t="s">
        <v>13</v>
      </c>
      <c r="B115" s="66"/>
      <c r="C115" s="66"/>
      <c r="D115" s="58"/>
      <c r="F115" s="57" t="s">
        <v>13</v>
      </c>
      <c r="G115" s="66"/>
      <c r="H115" s="66"/>
      <c r="I115" s="58"/>
    </row>
    <row r="116" spans="1:9" ht="15.6" x14ac:dyDescent="0.3">
      <c r="A116" s="1" t="s">
        <v>54</v>
      </c>
      <c r="B116" s="67">
        <f>B51/B80</f>
        <v>783.33333333333337</v>
      </c>
      <c r="C116" s="68"/>
      <c r="D116" s="69"/>
      <c r="F116" s="1" t="s">
        <v>54</v>
      </c>
      <c r="G116" s="67">
        <f>G51/G80</f>
        <v>46.688741721854306</v>
      </c>
      <c r="H116" s="68"/>
      <c r="I116" s="69"/>
    </row>
    <row r="117" spans="1:9" x14ac:dyDescent="0.3">
      <c r="A117" s="57" t="s">
        <v>31</v>
      </c>
      <c r="B117" s="66"/>
      <c r="C117" s="66"/>
      <c r="D117" s="58"/>
      <c r="F117" s="57" t="s">
        <v>31</v>
      </c>
      <c r="G117" s="66"/>
      <c r="H117" s="66"/>
      <c r="I117" s="58"/>
    </row>
    <row r="118" spans="1:9" ht="15.6" x14ac:dyDescent="0.3">
      <c r="A118" s="1" t="s">
        <v>53</v>
      </c>
      <c r="B118" s="67">
        <f>B53/B82</f>
        <v>665.8</v>
      </c>
      <c r="C118" s="68"/>
      <c r="D118" s="69"/>
      <c r="F118" s="1" t="s">
        <v>53</v>
      </c>
      <c r="G118" s="67">
        <f>G53/G82</f>
        <v>39.683443708609275</v>
      </c>
      <c r="H118" s="68"/>
      <c r="I118" s="69"/>
    </row>
    <row r="119" spans="1:9" x14ac:dyDescent="0.3">
      <c r="A119" s="54" t="s">
        <v>63</v>
      </c>
      <c r="B119" s="56"/>
      <c r="C119" s="70">
        <f>B118/B116*100</f>
        <v>84.995744680851047</v>
      </c>
      <c r="D119" s="71"/>
      <c r="F119" s="54" t="s">
        <v>63</v>
      </c>
      <c r="G119" s="56"/>
      <c r="H119" s="70">
        <f>G118/G116*100</f>
        <v>84.995744680851075</v>
      </c>
      <c r="I119" s="71"/>
    </row>
    <row r="120" spans="1:9" x14ac:dyDescent="0.3">
      <c r="A120" s="51"/>
      <c r="B120" s="51"/>
      <c r="C120" s="51"/>
      <c r="D120" s="51"/>
      <c r="F120" s="53"/>
      <c r="G120" s="53"/>
      <c r="H120" s="53"/>
      <c r="I120" s="53"/>
    </row>
    <row r="121" spans="1:9" x14ac:dyDescent="0.3">
      <c r="A121" s="63" t="s">
        <v>59</v>
      </c>
      <c r="B121" s="64"/>
      <c r="C121" s="64"/>
      <c r="D121" s="65"/>
      <c r="F121" s="63" t="s">
        <v>59</v>
      </c>
      <c r="G121" s="64"/>
      <c r="H121" s="64"/>
      <c r="I121" s="65"/>
    </row>
    <row r="122" spans="1:9" x14ac:dyDescent="0.3">
      <c r="A122" s="57" t="s">
        <v>13</v>
      </c>
      <c r="B122" s="66"/>
      <c r="C122" s="66"/>
      <c r="D122" s="58"/>
      <c r="F122" s="57" t="s">
        <v>13</v>
      </c>
      <c r="G122" s="66"/>
      <c r="H122" s="66"/>
      <c r="I122" s="58"/>
    </row>
    <row r="123" spans="1:9" ht="15.6" x14ac:dyDescent="0.3">
      <c r="A123" s="1" t="s">
        <v>57</v>
      </c>
      <c r="B123" s="67">
        <f>B51/B87</f>
        <v>1.7278564911747973</v>
      </c>
      <c r="C123" s="68"/>
      <c r="D123" s="69"/>
      <c r="F123" s="1" t="s">
        <v>57</v>
      </c>
      <c r="G123" s="67">
        <f>G51/G87</f>
        <v>1.5432841963320185</v>
      </c>
      <c r="H123" s="68"/>
      <c r="I123" s="69"/>
    </row>
    <row r="124" spans="1:9" x14ac:dyDescent="0.3">
      <c r="A124" s="57" t="s">
        <v>31</v>
      </c>
      <c r="B124" s="66"/>
      <c r="C124" s="66"/>
      <c r="D124" s="58"/>
      <c r="F124" s="57" t="s">
        <v>31</v>
      </c>
      <c r="G124" s="66"/>
      <c r="H124" s="66"/>
      <c r="I124" s="58"/>
    </row>
    <row r="125" spans="1:9" ht="15.6" x14ac:dyDescent="0.3">
      <c r="A125" s="1" t="s">
        <v>58</v>
      </c>
      <c r="B125" s="67">
        <f>B53/B89</f>
        <v>1.4902263237222686</v>
      </c>
      <c r="C125" s="68"/>
      <c r="D125" s="69"/>
      <c r="F125" s="1" t="s">
        <v>58</v>
      </c>
      <c r="G125" s="67">
        <f>G53/G89</f>
        <v>1.3307483210745124</v>
      </c>
      <c r="H125" s="68"/>
      <c r="I125" s="69"/>
    </row>
    <row r="126" spans="1:9" x14ac:dyDescent="0.3">
      <c r="A126" s="54" t="s">
        <v>64</v>
      </c>
      <c r="B126" s="56"/>
      <c r="C126" s="70">
        <f>B125/B123*100</f>
        <v>86.247112033536993</v>
      </c>
      <c r="D126" s="71"/>
      <c r="F126" s="54" t="s">
        <v>64</v>
      </c>
      <c r="G126" s="56"/>
      <c r="H126" s="70">
        <f>G125/G123*100</f>
        <v>86.228338515832135</v>
      </c>
      <c r="I126" s="71"/>
    </row>
    <row r="127" spans="1:9" x14ac:dyDescent="0.3">
      <c r="A127" s="51"/>
      <c r="B127" s="51"/>
      <c r="C127" s="51"/>
      <c r="D127" s="51"/>
      <c r="F127" s="53"/>
      <c r="G127" s="53"/>
      <c r="H127" s="53"/>
      <c r="I127" s="53"/>
    </row>
    <row r="128" spans="1:9" x14ac:dyDescent="0.3">
      <c r="A128" s="47"/>
      <c r="B128" s="47"/>
      <c r="C128" s="47"/>
      <c r="D128" s="47"/>
      <c r="E128" s="47"/>
      <c r="F128" s="47"/>
      <c r="G128" s="47"/>
      <c r="H128" s="47"/>
      <c r="I128" s="47"/>
    </row>
    <row r="129" spans="1:9" x14ac:dyDescent="0.3">
      <c r="A129" s="54" t="s">
        <v>82</v>
      </c>
      <c r="B129" s="55"/>
      <c r="C129" s="55"/>
      <c r="D129" s="56"/>
      <c r="F129" s="54" t="s">
        <v>77</v>
      </c>
      <c r="G129" s="55"/>
      <c r="H129" s="55"/>
      <c r="I129" s="56"/>
    </row>
    <row r="130" spans="1:9" x14ac:dyDescent="0.3">
      <c r="A130" s="57" t="s">
        <v>32</v>
      </c>
      <c r="B130" s="58"/>
      <c r="C130" s="59">
        <f>C54</f>
        <v>0.8499574468085106</v>
      </c>
      <c r="D130" s="60"/>
      <c r="F130" s="57" t="s">
        <v>32</v>
      </c>
      <c r="G130" s="58"/>
      <c r="H130" s="59">
        <f>H54</f>
        <v>0.8499574468085106</v>
      </c>
      <c r="I130" s="60"/>
    </row>
    <row r="131" spans="1:9" x14ac:dyDescent="0.3">
      <c r="A131" s="57" t="s">
        <v>85</v>
      </c>
      <c r="B131" s="58"/>
      <c r="C131" s="59">
        <f>C62</f>
        <v>1</v>
      </c>
      <c r="D131" s="60"/>
      <c r="F131" s="57" t="s">
        <v>79</v>
      </c>
      <c r="G131" s="58"/>
      <c r="H131" s="59">
        <f>H62</f>
        <v>1</v>
      </c>
      <c r="I131" s="60"/>
    </row>
    <row r="132" spans="1:9" x14ac:dyDescent="0.3">
      <c r="A132" s="61" t="s">
        <v>80</v>
      </c>
      <c r="B132" s="61"/>
      <c r="C132" s="62">
        <f>C130/C131*100</f>
        <v>84.995744680851061</v>
      </c>
      <c r="D132" s="62"/>
      <c r="F132" s="61" t="s">
        <v>78</v>
      </c>
      <c r="G132" s="61"/>
      <c r="H132" s="62">
        <f>H130/H131*100</f>
        <v>84.995744680851061</v>
      </c>
      <c r="I132" s="62"/>
    </row>
    <row r="133" spans="1:9" x14ac:dyDescent="0.3">
      <c r="A133" s="51"/>
      <c r="B133" s="51"/>
      <c r="C133" s="51"/>
      <c r="D133" s="51"/>
      <c r="F133" s="16"/>
      <c r="G133" s="16"/>
      <c r="H133" s="16"/>
      <c r="I133" s="16"/>
    </row>
    <row r="134" spans="1:9" x14ac:dyDescent="0.3">
      <c r="A134" s="54" t="s">
        <v>81</v>
      </c>
      <c r="B134" s="55"/>
      <c r="C134" s="55"/>
      <c r="D134" s="56"/>
      <c r="F134" s="54" t="s">
        <v>81</v>
      </c>
      <c r="G134" s="55"/>
      <c r="H134" s="55"/>
      <c r="I134" s="56"/>
    </row>
    <row r="135" spans="1:9" x14ac:dyDescent="0.3">
      <c r="A135" s="57" t="s">
        <v>32</v>
      </c>
      <c r="B135" s="58"/>
      <c r="C135" s="59">
        <f>C54</f>
        <v>0.8499574468085106</v>
      </c>
      <c r="D135" s="60"/>
      <c r="F135" s="57" t="s">
        <v>32</v>
      </c>
      <c r="G135" s="58"/>
      <c r="H135" s="59">
        <f>H54</f>
        <v>0.8499574468085106</v>
      </c>
      <c r="I135" s="60"/>
    </row>
    <row r="136" spans="1:9" x14ac:dyDescent="0.3">
      <c r="A136" s="57" t="s">
        <v>86</v>
      </c>
      <c r="B136" s="58"/>
      <c r="C136" s="59">
        <f>C69</f>
        <v>0.96846366929469418</v>
      </c>
      <c r="D136" s="60"/>
      <c r="F136" s="57" t="s">
        <v>86</v>
      </c>
      <c r="G136" s="58"/>
      <c r="H136" s="59">
        <f>H69</f>
        <v>0.96719087574737472</v>
      </c>
      <c r="I136" s="60"/>
    </row>
    <row r="137" spans="1:9" x14ac:dyDescent="0.3">
      <c r="A137" s="61" t="s">
        <v>83</v>
      </c>
      <c r="B137" s="61"/>
      <c r="C137" s="62">
        <f>C135/C136*100</f>
        <v>87.763482901481638</v>
      </c>
      <c r="D137" s="62"/>
      <c r="F137" s="61" t="s">
        <v>83</v>
      </c>
      <c r="G137" s="61"/>
      <c r="H137" s="62">
        <f>H135/H136*100</f>
        <v>87.878976954959924</v>
      </c>
      <c r="I137" s="62"/>
    </row>
    <row r="138" spans="1:9" x14ac:dyDescent="0.3">
      <c r="A138" s="51"/>
      <c r="B138" s="51"/>
      <c r="C138" s="51"/>
      <c r="D138" s="51"/>
      <c r="F138" s="16"/>
      <c r="G138" s="16"/>
      <c r="H138" s="16"/>
      <c r="I138" s="16"/>
    </row>
    <row r="139" spans="1:9" x14ac:dyDescent="0.3">
      <c r="A139" s="54" t="s">
        <v>84</v>
      </c>
      <c r="B139" s="55"/>
      <c r="C139" s="55"/>
      <c r="D139" s="56"/>
      <c r="F139" s="54" t="s">
        <v>84</v>
      </c>
      <c r="G139" s="55"/>
      <c r="H139" s="55"/>
      <c r="I139" s="56"/>
    </row>
    <row r="140" spans="1:9" x14ac:dyDescent="0.3">
      <c r="A140" s="57" t="s">
        <v>32</v>
      </c>
      <c r="B140" s="58"/>
      <c r="C140" s="59">
        <f>C54</f>
        <v>0.8499574468085106</v>
      </c>
      <c r="D140" s="60"/>
      <c r="F140" s="57" t="s">
        <v>32</v>
      </c>
      <c r="G140" s="58"/>
      <c r="H140" s="59">
        <f>H54</f>
        <v>0.8499574468085106</v>
      </c>
      <c r="I140" s="60"/>
    </row>
    <row r="141" spans="1:9" x14ac:dyDescent="0.3">
      <c r="A141" s="57" t="s">
        <v>87</v>
      </c>
      <c r="B141" s="58"/>
      <c r="C141" s="59">
        <f>C76</f>
        <v>1</v>
      </c>
      <c r="D141" s="60"/>
      <c r="F141" s="57" t="s">
        <v>87</v>
      </c>
      <c r="G141" s="58"/>
      <c r="H141" s="59">
        <f>H76</f>
        <v>1</v>
      </c>
      <c r="I141" s="60"/>
    </row>
    <row r="142" spans="1:9" x14ac:dyDescent="0.3">
      <c r="A142" s="61" t="s">
        <v>88</v>
      </c>
      <c r="B142" s="61"/>
      <c r="C142" s="62">
        <f>C140/C141*100</f>
        <v>84.995744680851061</v>
      </c>
      <c r="D142" s="62"/>
      <c r="F142" s="61" t="s">
        <v>88</v>
      </c>
      <c r="G142" s="61"/>
      <c r="H142" s="62">
        <f>H140/H141*100</f>
        <v>84.995744680851061</v>
      </c>
      <c r="I142" s="62"/>
    </row>
    <row r="143" spans="1:9" x14ac:dyDescent="0.3">
      <c r="A143" s="51"/>
      <c r="B143" s="51"/>
      <c r="C143" s="51"/>
      <c r="D143" s="51"/>
      <c r="F143" s="53"/>
      <c r="G143" s="53"/>
      <c r="H143" s="53"/>
      <c r="I143" s="53"/>
    </row>
    <row r="144" spans="1:9" x14ac:dyDescent="0.3">
      <c r="A144" s="54" t="s">
        <v>89</v>
      </c>
      <c r="B144" s="55"/>
      <c r="C144" s="55"/>
      <c r="D144" s="56"/>
      <c r="F144" s="54" t="s">
        <v>89</v>
      </c>
      <c r="G144" s="55"/>
      <c r="H144" s="55"/>
      <c r="I144" s="56"/>
    </row>
    <row r="145" spans="1:12" x14ac:dyDescent="0.3">
      <c r="A145" s="57" t="s">
        <v>32</v>
      </c>
      <c r="B145" s="58"/>
      <c r="C145" s="59">
        <f>C54</f>
        <v>0.8499574468085106</v>
      </c>
      <c r="D145" s="60"/>
      <c r="F145" s="57" t="s">
        <v>32</v>
      </c>
      <c r="G145" s="58"/>
      <c r="H145" s="59">
        <f>H54</f>
        <v>0.8499574468085106</v>
      </c>
      <c r="I145" s="60"/>
    </row>
    <row r="146" spans="1:12" x14ac:dyDescent="0.3">
      <c r="A146" s="57" t="s">
        <v>90</v>
      </c>
      <c r="B146" s="58"/>
      <c r="C146" s="59">
        <f>C83</f>
        <v>1</v>
      </c>
      <c r="D146" s="60"/>
      <c r="F146" s="57" t="s">
        <v>90</v>
      </c>
      <c r="G146" s="58"/>
      <c r="H146" s="59">
        <f>H83</f>
        <v>1</v>
      </c>
      <c r="I146" s="60"/>
    </row>
    <row r="147" spans="1:12" x14ac:dyDescent="0.3">
      <c r="A147" s="61" t="s">
        <v>91</v>
      </c>
      <c r="B147" s="61"/>
      <c r="C147" s="62">
        <f>C145/C146*100</f>
        <v>84.995744680851061</v>
      </c>
      <c r="D147" s="62"/>
      <c r="F147" s="61" t="s">
        <v>91</v>
      </c>
      <c r="G147" s="61"/>
      <c r="H147" s="62">
        <f>H145/H146*100</f>
        <v>84.995744680851061</v>
      </c>
      <c r="I147" s="62"/>
    </row>
    <row r="148" spans="1:12" x14ac:dyDescent="0.3">
      <c r="A148" s="51"/>
      <c r="B148" s="51"/>
      <c r="C148" s="51"/>
      <c r="D148" s="51"/>
      <c r="F148" s="53"/>
      <c r="G148" s="53"/>
      <c r="H148" s="53"/>
      <c r="I148" s="53"/>
    </row>
    <row r="149" spans="1:12" x14ac:dyDescent="0.3">
      <c r="A149" s="54" t="s">
        <v>92</v>
      </c>
      <c r="B149" s="55"/>
      <c r="C149" s="55"/>
      <c r="D149" s="56"/>
      <c r="F149" s="54" t="s">
        <v>92</v>
      </c>
      <c r="G149" s="55"/>
      <c r="H149" s="55"/>
      <c r="I149" s="56"/>
    </row>
    <row r="150" spans="1:12" x14ac:dyDescent="0.3">
      <c r="A150" s="57" t="s">
        <v>32</v>
      </c>
      <c r="B150" s="58"/>
      <c r="C150" s="59">
        <f>C54</f>
        <v>0.8499574468085106</v>
      </c>
      <c r="D150" s="60"/>
      <c r="F150" s="57" t="s">
        <v>32</v>
      </c>
      <c r="G150" s="58"/>
      <c r="H150" s="59">
        <f>H54</f>
        <v>0.8499574468085106</v>
      </c>
      <c r="I150" s="60"/>
    </row>
    <row r="151" spans="1:12" x14ac:dyDescent="0.3">
      <c r="A151" s="57" t="s">
        <v>93</v>
      </c>
      <c r="B151" s="58"/>
      <c r="C151" s="59">
        <f>C90</f>
        <v>0.98549090719467403</v>
      </c>
      <c r="D151" s="60"/>
      <c r="F151" s="57" t="s">
        <v>93</v>
      </c>
      <c r="G151" s="58"/>
      <c r="H151" s="59">
        <f>H90</f>
        <v>0.97199999999999998</v>
      </c>
      <c r="I151" s="60"/>
    </row>
    <row r="152" spans="1:12" x14ac:dyDescent="0.3">
      <c r="A152" s="61" t="s">
        <v>78</v>
      </c>
      <c r="B152" s="61"/>
      <c r="C152" s="62">
        <f>C150/C151*100</f>
        <v>86.247112033536993</v>
      </c>
      <c r="D152" s="62"/>
      <c r="F152" s="61" t="s">
        <v>78</v>
      </c>
      <c r="G152" s="61"/>
      <c r="H152" s="62">
        <f>H150/H151*100</f>
        <v>87.444181770422901</v>
      </c>
      <c r="I152" s="62"/>
    </row>
    <row r="153" spans="1:12" x14ac:dyDescent="0.3">
      <c r="A153" s="52"/>
      <c r="B153" s="52"/>
      <c r="C153" s="52"/>
      <c r="D153" s="52"/>
      <c r="F153" s="16"/>
      <c r="G153" s="16"/>
      <c r="H153" s="16"/>
      <c r="I153" s="16"/>
    </row>
    <row r="154" spans="1:12" x14ac:dyDescent="0.3">
      <c r="A154" s="47"/>
      <c r="B154" s="47"/>
      <c r="C154" s="47"/>
      <c r="D154" s="47"/>
      <c r="E154" s="47"/>
      <c r="F154" s="47"/>
      <c r="G154" s="47"/>
      <c r="H154" s="47"/>
      <c r="I154" s="47"/>
    </row>
    <row r="155" spans="1:12" x14ac:dyDescent="0.3">
      <c r="A155" s="108" t="s">
        <v>96</v>
      </c>
      <c r="B155" s="108"/>
      <c r="C155" s="108"/>
      <c r="D155" s="108"/>
      <c r="F155" s="108" t="s">
        <v>96</v>
      </c>
      <c r="G155" s="108"/>
      <c r="H155" s="108"/>
      <c r="I155" s="108"/>
    </row>
    <row r="156" spans="1:12" x14ac:dyDescent="0.3">
      <c r="A156" s="109" t="s">
        <v>80</v>
      </c>
      <c r="B156" s="109"/>
      <c r="C156" s="110">
        <f>C132</f>
        <v>84.995744680851061</v>
      </c>
      <c r="D156" s="111"/>
      <c r="F156" s="109" t="s">
        <v>80</v>
      </c>
      <c r="G156" s="109"/>
      <c r="H156" s="110">
        <f>H132</f>
        <v>84.995744680851061</v>
      </c>
      <c r="I156" s="111"/>
      <c r="L156">
        <f>H156*H157</f>
        <v>84.995744680851061</v>
      </c>
    </row>
    <row r="157" spans="1:12" x14ac:dyDescent="0.3">
      <c r="A157" s="112" t="s">
        <v>94</v>
      </c>
      <c r="B157" s="112"/>
      <c r="C157" s="110">
        <f>C62</f>
        <v>1</v>
      </c>
      <c r="D157" s="111"/>
      <c r="F157" s="112" t="s">
        <v>94</v>
      </c>
      <c r="G157" s="112"/>
      <c r="H157" s="110">
        <f>H62</f>
        <v>1</v>
      </c>
      <c r="I157" s="111"/>
    </row>
    <row r="158" spans="1:12" x14ac:dyDescent="0.3">
      <c r="A158" s="113" t="s">
        <v>95</v>
      </c>
      <c r="B158" s="114"/>
      <c r="C158" s="115">
        <f>C156/C157</f>
        <v>84.995744680851061</v>
      </c>
      <c r="D158" s="116"/>
      <c r="F158" s="113" t="s">
        <v>95</v>
      </c>
      <c r="G158" s="114"/>
      <c r="H158" s="115">
        <f>H156/H157</f>
        <v>84.995744680851061</v>
      </c>
      <c r="I158" s="116"/>
    </row>
    <row r="159" spans="1:12" x14ac:dyDescent="0.3">
      <c r="A159" s="51"/>
      <c r="B159" s="51"/>
      <c r="C159" s="51"/>
      <c r="D159" s="51"/>
      <c r="F159" s="117"/>
      <c r="G159" s="117"/>
      <c r="H159" s="117"/>
      <c r="I159" s="117"/>
    </row>
    <row r="160" spans="1:12" x14ac:dyDescent="0.3">
      <c r="A160" s="108" t="s">
        <v>97</v>
      </c>
      <c r="B160" s="108"/>
      <c r="C160" s="108"/>
      <c r="D160" s="108"/>
      <c r="F160" s="108" t="s">
        <v>97</v>
      </c>
      <c r="G160" s="108"/>
      <c r="H160" s="108"/>
      <c r="I160" s="108"/>
    </row>
    <row r="161" spans="1:12" x14ac:dyDescent="0.3">
      <c r="A161" s="109" t="s">
        <v>83</v>
      </c>
      <c r="B161" s="109"/>
      <c r="C161" s="110">
        <f>C137</f>
        <v>87.763482901481638</v>
      </c>
      <c r="D161" s="111"/>
      <c r="F161" s="109" t="s">
        <v>83</v>
      </c>
      <c r="G161" s="109"/>
      <c r="H161" s="110">
        <f>H137</f>
        <v>87.878976954959924</v>
      </c>
      <c r="I161" s="111"/>
      <c r="L161">
        <f>H161*H162</f>
        <v>84.995744680851047</v>
      </c>
    </row>
    <row r="162" spans="1:12" x14ac:dyDescent="0.3">
      <c r="A162" s="112" t="s">
        <v>98</v>
      </c>
      <c r="B162" s="112"/>
      <c r="C162" s="110">
        <f>C69</f>
        <v>0.96846366929469418</v>
      </c>
      <c r="D162" s="111"/>
      <c r="F162" s="112" t="s">
        <v>98</v>
      </c>
      <c r="G162" s="112"/>
      <c r="H162" s="110">
        <f>H69</f>
        <v>0.96719087574737472</v>
      </c>
      <c r="I162" s="111"/>
    </row>
    <row r="163" spans="1:12" x14ac:dyDescent="0.3">
      <c r="A163" s="113" t="s">
        <v>101</v>
      </c>
      <c r="B163" s="114"/>
      <c r="C163" s="115">
        <f>C161/C162</f>
        <v>90.621347691232856</v>
      </c>
      <c r="D163" s="116"/>
      <c r="F163" s="113" t="s">
        <v>101</v>
      </c>
      <c r="G163" s="114"/>
      <c r="H163" s="115">
        <f>H161/H162</f>
        <v>90.860014458938565</v>
      </c>
      <c r="I163" s="116"/>
    </row>
    <row r="164" spans="1:12" x14ac:dyDescent="0.3">
      <c r="A164" s="51"/>
      <c r="B164" s="51"/>
      <c r="C164" s="51"/>
      <c r="D164" s="51"/>
      <c r="F164" s="117"/>
      <c r="G164" s="117"/>
      <c r="H164" s="117"/>
      <c r="I164" s="117"/>
    </row>
    <row r="165" spans="1:12" x14ac:dyDescent="0.3">
      <c r="A165" s="108" t="s">
        <v>99</v>
      </c>
      <c r="B165" s="108"/>
      <c r="C165" s="108"/>
      <c r="D165" s="108"/>
      <c r="F165" s="108" t="s">
        <v>99</v>
      </c>
      <c r="G165" s="108"/>
      <c r="H165" s="108"/>
      <c r="I165" s="108"/>
    </row>
    <row r="166" spans="1:12" x14ac:dyDescent="0.3">
      <c r="A166" s="109" t="s">
        <v>88</v>
      </c>
      <c r="B166" s="109"/>
      <c r="C166" s="110">
        <f>C142</f>
        <v>84.995744680851061</v>
      </c>
      <c r="D166" s="111"/>
      <c r="F166" s="109" t="s">
        <v>88</v>
      </c>
      <c r="G166" s="109"/>
      <c r="H166" s="110">
        <f>H142</f>
        <v>84.995744680851061</v>
      </c>
      <c r="I166" s="111"/>
      <c r="L166">
        <f>H166*H167</f>
        <v>84.995744680851061</v>
      </c>
    </row>
    <row r="167" spans="1:12" x14ac:dyDescent="0.3">
      <c r="A167" s="112" t="s">
        <v>100</v>
      </c>
      <c r="B167" s="112"/>
      <c r="C167" s="110">
        <f>C76</f>
        <v>1</v>
      </c>
      <c r="D167" s="111"/>
      <c r="F167" s="112" t="s">
        <v>100</v>
      </c>
      <c r="G167" s="112"/>
      <c r="H167" s="110">
        <f>H76</f>
        <v>1</v>
      </c>
      <c r="I167" s="111"/>
    </row>
    <row r="168" spans="1:12" x14ac:dyDescent="0.3">
      <c r="A168" s="113" t="s">
        <v>101</v>
      </c>
      <c r="B168" s="114"/>
      <c r="C168" s="115">
        <f>C166/C167</f>
        <v>84.995744680851061</v>
      </c>
      <c r="D168" s="116"/>
      <c r="F168" s="113" t="s">
        <v>101</v>
      </c>
      <c r="G168" s="114"/>
      <c r="H168" s="115">
        <f>H166/H167</f>
        <v>84.995744680851061</v>
      </c>
      <c r="I168" s="116"/>
    </row>
    <row r="169" spans="1:12" x14ac:dyDescent="0.3">
      <c r="A169" s="51"/>
      <c r="B169" s="51"/>
      <c r="C169" s="51"/>
      <c r="D169" s="51"/>
      <c r="F169" s="117"/>
      <c r="G169" s="117"/>
      <c r="H169" s="117"/>
      <c r="I169" s="117"/>
    </row>
    <row r="170" spans="1:12" x14ac:dyDescent="0.3">
      <c r="A170" s="108" t="s">
        <v>102</v>
      </c>
      <c r="B170" s="108"/>
      <c r="C170" s="108"/>
      <c r="D170" s="108"/>
      <c r="F170" s="108" t="s">
        <v>102</v>
      </c>
      <c r="G170" s="108"/>
      <c r="H170" s="108"/>
      <c r="I170" s="108"/>
    </row>
    <row r="171" spans="1:12" x14ac:dyDescent="0.3">
      <c r="A171" s="109" t="s">
        <v>91</v>
      </c>
      <c r="B171" s="109"/>
      <c r="C171" s="110">
        <f>C147</f>
        <v>84.995744680851061</v>
      </c>
      <c r="D171" s="111"/>
      <c r="F171" s="109" t="s">
        <v>91</v>
      </c>
      <c r="G171" s="109"/>
      <c r="H171" s="110">
        <f>H147</f>
        <v>84.995744680851061</v>
      </c>
      <c r="I171" s="111"/>
      <c r="L171">
        <f>H171*H172</f>
        <v>84.995744680851061</v>
      </c>
    </row>
    <row r="172" spans="1:12" x14ac:dyDescent="0.3">
      <c r="A172" s="112" t="s">
        <v>103</v>
      </c>
      <c r="B172" s="112"/>
      <c r="C172" s="110">
        <f>C83</f>
        <v>1</v>
      </c>
      <c r="D172" s="111"/>
      <c r="F172" s="112" t="s">
        <v>103</v>
      </c>
      <c r="G172" s="112"/>
      <c r="H172" s="110">
        <f>H83</f>
        <v>1</v>
      </c>
      <c r="I172" s="111"/>
    </row>
    <row r="173" spans="1:12" x14ac:dyDescent="0.3">
      <c r="A173" s="113" t="s">
        <v>104</v>
      </c>
      <c r="B173" s="114"/>
      <c r="C173" s="115">
        <f>C171/C172</f>
        <v>84.995744680851061</v>
      </c>
      <c r="D173" s="116"/>
      <c r="F173" s="113" t="s">
        <v>104</v>
      </c>
      <c r="G173" s="114"/>
      <c r="H173" s="115">
        <f>H171/H172</f>
        <v>84.995744680851061</v>
      </c>
      <c r="I173" s="116"/>
    </row>
    <row r="174" spans="1:12" x14ac:dyDescent="0.3">
      <c r="A174" s="51"/>
      <c r="B174" s="51"/>
      <c r="C174" s="51"/>
      <c r="D174" s="51"/>
      <c r="F174" s="117"/>
      <c r="G174" s="117"/>
      <c r="H174" s="117"/>
      <c r="I174" s="117"/>
    </row>
    <row r="175" spans="1:12" x14ac:dyDescent="0.3">
      <c r="A175" s="108" t="s">
        <v>105</v>
      </c>
      <c r="B175" s="108"/>
      <c r="C175" s="108"/>
      <c r="D175" s="108"/>
      <c r="F175" s="108" t="s">
        <v>105</v>
      </c>
      <c r="G175" s="108"/>
      <c r="H175" s="108"/>
      <c r="I175" s="108"/>
    </row>
    <row r="176" spans="1:12" x14ac:dyDescent="0.3">
      <c r="A176" s="109" t="s">
        <v>78</v>
      </c>
      <c r="B176" s="109"/>
      <c r="C176" s="110">
        <f>C152</f>
        <v>86.247112033536993</v>
      </c>
      <c r="D176" s="111"/>
      <c r="F176" s="109" t="s">
        <v>78</v>
      </c>
      <c r="G176" s="109"/>
      <c r="H176" s="110">
        <f>H152</f>
        <v>87.444181770422901</v>
      </c>
      <c r="I176" s="111"/>
      <c r="L176">
        <f>H176*H177</f>
        <v>84.995744680851061</v>
      </c>
    </row>
    <row r="177" spans="1:9" x14ac:dyDescent="0.3">
      <c r="A177" s="112" t="s">
        <v>106</v>
      </c>
      <c r="B177" s="112"/>
      <c r="C177" s="110">
        <f>C90</f>
        <v>0.98549090719467403</v>
      </c>
      <c r="D177" s="111"/>
      <c r="F177" s="112" t="s">
        <v>106</v>
      </c>
      <c r="G177" s="112"/>
      <c r="H177" s="110">
        <f>H90</f>
        <v>0.97199999999999998</v>
      </c>
      <c r="I177" s="111"/>
    </row>
    <row r="178" spans="1:9" x14ac:dyDescent="0.3">
      <c r="A178" s="113" t="s">
        <v>107</v>
      </c>
      <c r="B178" s="114"/>
      <c r="C178" s="115">
        <f>C176/C177</f>
        <v>87.516902899744082</v>
      </c>
      <c r="D178" s="116"/>
      <c r="F178" s="113" t="s">
        <v>107</v>
      </c>
      <c r="G178" s="114"/>
      <c r="H178" s="115">
        <f>H176/H177</f>
        <v>89.963149969570892</v>
      </c>
      <c r="I178" s="116"/>
    </row>
  </sheetData>
  <mergeCells count="400">
    <mergeCell ref="S69:S73"/>
    <mergeCell ref="I36:J36"/>
    <mergeCell ref="I37:J41"/>
    <mergeCell ref="L48:L49"/>
    <mergeCell ref="M48:N48"/>
    <mergeCell ref="O48:P48"/>
    <mergeCell ref="Q48:R48"/>
    <mergeCell ref="K48:K55"/>
    <mergeCell ref="K57:K61"/>
    <mergeCell ref="K63:K67"/>
    <mergeCell ref="Q50:R50"/>
    <mergeCell ref="Q51:R51"/>
    <mergeCell ref="Q52:R52"/>
    <mergeCell ref="Q53:R53"/>
    <mergeCell ref="Q54:R54"/>
    <mergeCell ref="Q55:R55"/>
    <mergeCell ref="Q57:R57"/>
    <mergeCell ref="Q58:R58"/>
    <mergeCell ref="Q59:R59"/>
    <mergeCell ref="Q60:R60"/>
    <mergeCell ref="Q61:R61"/>
    <mergeCell ref="G51:I51"/>
    <mergeCell ref="F52:I52"/>
    <mergeCell ref="G53:I53"/>
    <mergeCell ref="F54:G54"/>
    <mergeCell ref="A174:D174"/>
    <mergeCell ref="F159:I159"/>
    <mergeCell ref="F164:I164"/>
    <mergeCell ref="F169:I169"/>
    <mergeCell ref="F174:I174"/>
    <mergeCell ref="F173:G173"/>
    <mergeCell ref="H173:I173"/>
    <mergeCell ref="F175:I175"/>
    <mergeCell ref="F176:G176"/>
    <mergeCell ref="H176:I176"/>
    <mergeCell ref="A175:D175"/>
    <mergeCell ref="A176:B176"/>
    <mergeCell ref="C176:D176"/>
    <mergeCell ref="A171:B171"/>
    <mergeCell ref="C171:D171"/>
    <mergeCell ref="A172:B172"/>
    <mergeCell ref="C172:D172"/>
    <mergeCell ref="A173:B173"/>
    <mergeCell ref="C173:D173"/>
    <mergeCell ref="A169:D169"/>
    <mergeCell ref="A162:B162"/>
    <mergeCell ref="C162:D162"/>
    <mergeCell ref="A163:B163"/>
    <mergeCell ref="C163:D163"/>
    <mergeCell ref="F177:G177"/>
    <mergeCell ref="H177:I177"/>
    <mergeCell ref="F178:G178"/>
    <mergeCell ref="H178:I178"/>
    <mergeCell ref="F167:G167"/>
    <mergeCell ref="H167:I167"/>
    <mergeCell ref="F168:G168"/>
    <mergeCell ref="H168:I168"/>
    <mergeCell ref="F170:I170"/>
    <mergeCell ref="F171:G171"/>
    <mergeCell ref="H171:I171"/>
    <mergeCell ref="F172:G172"/>
    <mergeCell ref="H172:I172"/>
    <mergeCell ref="A177:B177"/>
    <mergeCell ref="C177:D177"/>
    <mergeCell ref="A178:B178"/>
    <mergeCell ref="C178:D178"/>
    <mergeCell ref="F155:I155"/>
    <mergeCell ref="F156:G156"/>
    <mergeCell ref="H156:I156"/>
    <mergeCell ref="F157:G157"/>
    <mergeCell ref="H157:I157"/>
    <mergeCell ref="F158:G158"/>
    <mergeCell ref="H158:I158"/>
    <mergeCell ref="F160:I160"/>
    <mergeCell ref="F161:G161"/>
    <mergeCell ref="H161:I161"/>
    <mergeCell ref="F162:G162"/>
    <mergeCell ref="H162:I162"/>
    <mergeCell ref="F163:G163"/>
    <mergeCell ref="H163:I163"/>
    <mergeCell ref="F165:I165"/>
    <mergeCell ref="F166:G166"/>
    <mergeCell ref="H166:I166"/>
    <mergeCell ref="A168:B168"/>
    <mergeCell ref="C168:D168"/>
    <mergeCell ref="A170:D170"/>
    <mergeCell ref="A165:D165"/>
    <mergeCell ref="A166:B166"/>
    <mergeCell ref="C166:D166"/>
    <mergeCell ref="A167:B167"/>
    <mergeCell ref="C167:D167"/>
    <mergeCell ref="A164:D164"/>
    <mergeCell ref="A155:D155"/>
    <mergeCell ref="A156:B156"/>
    <mergeCell ref="A157:B157"/>
    <mergeCell ref="C156:D156"/>
    <mergeCell ref="C157:D157"/>
    <mergeCell ref="A158:B158"/>
    <mergeCell ref="C158:D158"/>
    <mergeCell ref="A160:D160"/>
    <mergeCell ref="A161:B161"/>
    <mergeCell ref="C161:D161"/>
    <mergeCell ref="A159:D159"/>
    <mergeCell ref="A16:B16"/>
    <mergeCell ref="A36:C36"/>
    <mergeCell ref="A38:A41"/>
    <mergeCell ref="D36:E36"/>
    <mergeCell ref="D37:E41"/>
    <mergeCell ref="A44:C44"/>
    <mergeCell ref="A45:C45"/>
    <mergeCell ref="A43:E43"/>
    <mergeCell ref="D44:E44"/>
    <mergeCell ref="D45:E45"/>
    <mergeCell ref="A34:B34"/>
    <mergeCell ref="A17:B17"/>
    <mergeCell ref="A18:B18"/>
    <mergeCell ref="A20:B20"/>
    <mergeCell ref="A21:H21"/>
    <mergeCell ref="A22:B22"/>
    <mergeCell ref="A23:B23"/>
    <mergeCell ref="F36:H36"/>
    <mergeCell ref="F38:F41"/>
    <mergeCell ref="C1:E1"/>
    <mergeCell ref="A14:H14"/>
    <mergeCell ref="A15:B15"/>
    <mergeCell ref="A3:B3"/>
    <mergeCell ref="A4:B4"/>
    <mergeCell ref="A5:B5"/>
    <mergeCell ref="A8:H8"/>
    <mergeCell ref="A7:B7"/>
    <mergeCell ref="A10:B10"/>
    <mergeCell ref="A11:B11"/>
    <mergeCell ref="A9:B9"/>
    <mergeCell ref="A13:B13"/>
    <mergeCell ref="A1:B2"/>
    <mergeCell ref="F1:H1"/>
    <mergeCell ref="A67:D67"/>
    <mergeCell ref="A57:D57"/>
    <mergeCell ref="A58:D58"/>
    <mergeCell ref="B59:D59"/>
    <mergeCell ref="A60:D60"/>
    <mergeCell ref="B61:D61"/>
    <mergeCell ref="A54:B54"/>
    <mergeCell ref="C54:D54"/>
    <mergeCell ref="A50:D50"/>
    <mergeCell ref="A52:D52"/>
    <mergeCell ref="B51:D51"/>
    <mergeCell ref="B53:D53"/>
    <mergeCell ref="D46:E46"/>
    <mergeCell ref="A46:C46"/>
    <mergeCell ref="A62:B62"/>
    <mergeCell ref="C62:D62"/>
    <mergeCell ref="A64:D64"/>
    <mergeCell ref="A65:D65"/>
    <mergeCell ref="B66:D66"/>
    <mergeCell ref="A49:D49"/>
    <mergeCell ref="A24:B24"/>
    <mergeCell ref="A26:B26"/>
    <mergeCell ref="A28:B28"/>
    <mergeCell ref="A29:B29"/>
    <mergeCell ref="A30:B30"/>
    <mergeCell ref="A32:B32"/>
    <mergeCell ref="A33:H33"/>
    <mergeCell ref="F57:I57"/>
    <mergeCell ref="F58:I58"/>
    <mergeCell ref="G59:I59"/>
    <mergeCell ref="F60:I60"/>
    <mergeCell ref="G61:I61"/>
    <mergeCell ref="F62:G62"/>
    <mergeCell ref="H62:I62"/>
    <mergeCell ref="F49:I49"/>
    <mergeCell ref="F50:I50"/>
    <mergeCell ref="A71:D71"/>
    <mergeCell ref="A72:D72"/>
    <mergeCell ref="B73:D73"/>
    <mergeCell ref="A74:D74"/>
    <mergeCell ref="B75:D75"/>
    <mergeCell ref="A76:B76"/>
    <mergeCell ref="C76:D76"/>
    <mergeCell ref="B68:D68"/>
    <mergeCell ref="A69:B69"/>
    <mergeCell ref="C69:D69"/>
    <mergeCell ref="A85:D85"/>
    <mergeCell ref="A86:D86"/>
    <mergeCell ref="B87:D87"/>
    <mergeCell ref="A88:D88"/>
    <mergeCell ref="B89:D89"/>
    <mergeCell ref="A90:B90"/>
    <mergeCell ref="C90:D90"/>
    <mergeCell ref="A78:D78"/>
    <mergeCell ref="A79:D79"/>
    <mergeCell ref="B80:D80"/>
    <mergeCell ref="A81:D81"/>
    <mergeCell ref="B82:D82"/>
    <mergeCell ref="A83:B83"/>
    <mergeCell ref="C83:D83"/>
    <mergeCell ref="A100:D100"/>
    <mergeCell ref="A101:D101"/>
    <mergeCell ref="B102:D102"/>
    <mergeCell ref="A103:D103"/>
    <mergeCell ref="B104:D104"/>
    <mergeCell ref="A105:B105"/>
    <mergeCell ref="C105:D105"/>
    <mergeCell ref="A93:D93"/>
    <mergeCell ref="A94:D94"/>
    <mergeCell ref="B95:D95"/>
    <mergeCell ref="A96:D96"/>
    <mergeCell ref="B97:D97"/>
    <mergeCell ref="A98:B98"/>
    <mergeCell ref="C98:D98"/>
    <mergeCell ref="A114:D114"/>
    <mergeCell ref="A115:D115"/>
    <mergeCell ref="B116:D116"/>
    <mergeCell ref="A117:D117"/>
    <mergeCell ref="B118:D118"/>
    <mergeCell ref="A119:B119"/>
    <mergeCell ref="C119:D119"/>
    <mergeCell ref="A107:D107"/>
    <mergeCell ref="A108:D108"/>
    <mergeCell ref="B109:D109"/>
    <mergeCell ref="A110:D110"/>
    <mergeCell ref="B111:D111"/>
    <mergeCell ref="A112:B112"/>
    <mergeCell ref="C112:D112"/>
    <mergeCell ref="A129:D129"/>
    <mergeCell ref="A130:B130"/>
    <mergeCell ref="A131:B131"/>
    <mergeCell ref="C130:D130"/>
    <mergeCell ref="C131:D131"/>
    <mergeCell ref="A132:B132"/>
    <mergeCell ref="C132:D132"/>
    <mergeCell ref="A121:D121"/>
    <mergeCell ref="A122:D122"/>
    <mergeCell ref="B123:D123"/>
    <mergeCell ref="A124:D124"/>
    <mergeCell ref="B125:D125"/>
    <mergeCell ref="A126:B126"/>
    <mergeCell ref="C126:D126"/>
    <mergeCell ref="F100:I100"/>
    <mergeCell ref="F101:I101"/>
    <mergeCell ref="G102:I102"/>
    <mergeCell ref="F103:I103"/>
    <mergeCell ref="G104:I104"/>
    <mergeCell ref="F105:G105"/>
    <mergeCell ref="H105:I105"/>
    <mergeCell ref="H54:I54"/>
    <mergeCell ref="F71:I71"/>
    <mergeCell ref="F72:I72"/>
    <mergeCell ref="G73:I73"/>
    <mergeCell ref="F74:I74"/>
    <mergeCell ref="F76:G76"/>
    <mergeCell ref="H76:I76"/>
    <mergeCell ref="F64:I64"/>
    <mergeCell ref="F65:I65"/>
    <mergeCell ref="G66:I66"/>
    <mergeCell ref="F67:I67"/>
    <mergeCell ref="G68:I68"/>
    <mergeCell ref="F69:G69"/>
    <mergeCell ref="H69:I69"/>
    <mergeCell ref="A48:D48"/>
    <mergeCell ref="A63:D63"/>
    <mergeCell ref="A55:D55"/>
    <mergeCell ref="A70:D70"/>
    <mergeCell ref="A77:D77"/>
    <mergeCell ref="A84:D84"/>
    <mergeCell ref="F93:I93"/>
    <mergeCell ref="F94:I94"/>
    <mergeCell ref="G95:I95"/>
    <mergeCell ref="F85:I85"/>
    <mergeCell ref="F86:I86"/>
    <mergeCell ref="G87:I87"/>
    <mergeCell ref="F88:I88"/>
    <mergeCell ref="G89:I89"/>
    <mergeCell ref="F90:G90"/>
    <mergeCell ref="H90:I90"/>
    <mergeCell ref="F78:I78"/>
    <mergeCell ref="F79:I79"/>
    <mergeCell ref="G80:I80"/>
    <mergeCell ref="F81:I81"/>
    <mergeCell ref="G82:I82"/>
    <mergeCell ref="F83:G83"/>
    <mergeCell ref="H83:I83"/>
    <mergeCell ref="G75:I75"/>
    <mergeCell ref="F131:G131"/>
    <mergeCell ref="H131:I131"/>
    <mergeCell ref="F132:G132"/>
    <mergeCell ref="H132:I132"/>
    <mergeCell ref="F121:I121"/>
    <mergeCell ref="F48:I48"/>
    <mergeCell ref="F55:I55"/>
    <mergeCell ref="F63:I63"/>
    <mergeCell ref="F70:I70"/>
    <mergeCell ref="F77:I77"/>
    <mergeCell ref="F84:I84"/>
    <mergeCell ref="F96:I96"/>
    <mergeCell ref="G97:I97"/>
    <mergeCell ref="F98:G98"/>
    <mergeCell ref="H98:I98"/>
    <mergeCell ref="F122:I122"/>
    <mergeCell ref="G123:I123"/>
    <mergeCell ref="F124:I124"/>
    <mergeCell ref="G125:I125"/>
    <mergeCell ref="F126:G126"/>
    <mergeCell ref="H126:I126"/>
    <mergeCell ref="G111:I111"/>
    <mergeCell ref="F112:G112"/>
    <mergeCell ref="H112:I112"/>
    <mergeCell ref="F119:G119"/>
    <mergeCell ref="H119:I119"/>
    <mergeCell ref="F107:I107"/>
    <mergeCell ref="F108:I108"/>
    <mergeCell ref="G109:I109"/>
    <mergeCell ref="F110:I110"/>
    <mergeCell ref="F129:I129"/>
    <mergeCell ref="F130:G130"/>
    <mergeCell ref="H130:I130"/>
    <mergeCell ref="A134:D134"/>
    <mergeCell ref="A135:B135"/>
    <mergeCell ref="C135:D135"/>
    <mergeCell ref="A136:B136"/>
    <mergeCell ref="C136:D136"/>
    <mergeCell ref="A137:B137"/>
    <mergeCell ref="F91:I91"/>
    <mergeCell ref="F99:I99"/>
    <mergeCell ref="F106:I106"/>
    <mergeCell ref="F113:I113"/>
    <mergeCell ref="F120:I120"/>
    <mergeCell ref="F127:I127"/>
    <mergeCell ref="A92:I92"/>
    <mergeCell ref="A113:D113"/>
    <mergeCell ref="A120:D120"/>
    <mergeCell ref="A127:D127"/>
    <mergeCell ref="A91:D91"/>
    <mergeCell ref="A99:D99"/>
    <mergeCell ref="A106:D106"/>
    <mergeCell ref="F114:I114"/>
    <mergeCell ref="F115:I115"/>
    <mergeCell ref="G116:I116"/>
    <mergeCell ref="F117:I117"/>
    <mergeCell ref="G118:I118"/>
    <mergeCell ref="C142:D142"/>
    <mergeCell ref="A144:D144"/>
    <mergeCell ref="A145:B145"/>
    <mergeCell ref="C145:D145"/>
    <mergeCell ref="A146:B146"/>
    <mergeCell ref="C146:D146"/>
    <mergeCell ref="C137:D137"/>
    <mergeCell ref="A139:D139"/>
    <mergeCell ref="A140:B140"/>
    <mergeCell ref="C140:D140"/>
    <mergeCell ref="A141:B141"/>
    <mergeCell ref="C141:D141"/>
    <mergeCell ref="F140:G140"/>
    <mergeCell ref="H140:I140"/>
    <mergeCell ref="F141:G141"/>
    <mergeCell ref="H141:I141"/>
    <mergeCell ref="F142:G142"/>
    <mergeCell ref="H142:I142"/>
    <mergeCell ref="A152:B152"/>
    <mergeCell ref="C152:D152"/>
    <mergeCell ref="F134:I134"/>
    <mergeCell ref="F135:G135"/>
    <mergeCell ref="H135:I135"/>
    <mergeCell ref="F136:G136"/>
    <mergeCell ref="H136:I136"/>
    <mergeCell ref="F137:G137"/>
    <mergeCell ref="H137:I137"/>
    <mergeCell ref="F139:I139"/>
    <mergeCell ref="A147:B147"/>
    <mergeCell ref="C147:D147"/>
    <mergeCell ref="A149:D149"/>
    <mergeCell ref="A150:B150"/>
    <mergeCell ref="C150:D150"/>
    <mergeCell ref="A151:B151"/>
    <mergeCell ref="C151:D151"/>
    <mergeCell ref="A142:B142"/>
    <mergeCell ref="A154:I154"/>
    <mergeCell ref="A27:H27"/>
    <mergeCell ref="A128:I128"/>
    <mergeCell ref="A133:D133"/>
    <mergeCell ref="A138:D138"/>
    <mergeCell ref="A143:D143"/>
    <mergeCell ref="A148:D148"/>
    <mergeCell ref="A153:D153"/>
    <mergeCell ref="F143:I143"/>
    <mergeCell ref="F148:I148"/>
    <mergeCell ref="F149:I149"/>
    <mergeCell ref="F150:G150"/>
    <mergeCell ref="H150:I150"/>
    <mergeCell ref="F151:G151"/>
    <mergeCell ref="H151:I151"/>
    <mergeCell ref="F152:G152"/>
    <mergeCell ref="H152:I152"/>
    <mergeCell ref="F144:I144"/>
    <mergeCell ref="F145:G145"/>
    <mergeCell ref="H145:I145"/>
    <mergeCell ref="F146:G146"/>
    <mergeCell ref="H146:I146"/>
    <mergeCell ref="F147:G147"/>
    <mergeCell ref="H147:I14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1DD12-2B6E-42A1-AEBA-843EE2BAAB3C}">
  <dimension ref="A1:Q107"/>
  <sheetViews>
    <sheetView topLeftCell="C1" zoomScale="90" zoomScaleNormal="90" workbookViewId="0">
      <selection activeCell="K111" sqref="K111"/>
    </sheetView>
  </sheetViews>
  <sheetFormatPr defaultRowHeight="14.4" x14ac:dyDescent="0.3"/>
  <cols>
    <col min="3" max="3" width="15.109375" customWidth="1"/>
    <col min="4" max="4" width="13.5546875" customWidth="1"/>
    <col min="5" max="5" width="12.44140625" customWidth="1"/>
    <col min="6" max="7" width="18.44140625" bestFit="1" customWidth="1"/>
    <col min="8" max="8" width="9.33203125" bestFit="1" customWidth="1"/>
    <col min="9" max="9" width="12.44140625" bestFit="1" customWidth="1"/>
    <col min="10" max="10" width="15.88671875" customWidth="1"/>
    <col min="11" max="11" width="33" customWidth="1"/>
    <col min="12" max="12" width="10.5546875" customWidth="1"/>
  </cols>
  <sheetData>
    <row r="1" spans="1:17" x14ac:dyDescent="0.3">
      <c r="A1" s="20"/>
      <c r="B1" s="20"/>
      <c r="C1" s="20"/>
      <c r="D1" s="20"/>
      <c r="E1" s="20"/>
      <c r="F1" s="20"/>
      <c r="G1" s="20"/>
      <c r="H1" s="20"/>
      <c r="I1" s="20"/>
      <c r="J1" s="20"/>
    </row>
    <row r="2" spans="1:17" ht="15" customHeigh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7" x14ac:dyDescent="0.3">
      <c r="A3" s="20"/>
      <c r="B3" s="20"/>
    </row>
    <row r="4" spans="1:17" ht="15" customHeight="1" x14ac:dyDescent="0.3">
      <c r="A4" s="20"/>
      <c r="B4" s="20"/>
      <c r="C4" s="21"/>
      <c r="D4" s="21"/>
      <c r="E4" s="20"/>
      <c r="F4" s="20"/>
      <c r="G4" s="20"/>
      <c r="H4" s="20"/>
      <c r="I4" s="20"/>
      <c r="J4" s="20"/>
      <c r="K4" s="20"/>
    </row>
    <row r="5" spans="1:17" ht="15.6" x14ac:dyDescent="0.3">
      <c r="A5" s="20"/>
      <c r="B5" s="20"/>
      <c r="C5" s="22" t="s">
        <v>110</v>
      </c>
      <c r="D5" s="23"/>
      <c r="E5" s="22"/>
      <c r="F5" s="22"/>
      <c r="G5" s="22"/>
      <c r="H5" s="22"/>
      <c r="I5" s="22"/>
      <c r="J5" s="22"/>
      <c r="K5" s="22"/>
      <c r="L5" s="22"/>
    </row>
    <row r="6" spans="1:17" ht="62.4" x14ac:dyDescent="0.3">
      <c r="A6" s="20"/>
      <c r="B6" s="20"/>
      <c r="C6" s="132" t="s">
        <v>128</v>
      </c>
      <c r="D6" s="132"/>
      <c r="E6" s="3" t="s">
        <v>117</v>
      </c>
      <c r="F6" s="3" t="s">
        <v>118</v>
      </c>
      <c r="G6" s="3" t="s">
        <v>120</v>
      </c>
      <c r="H6" s="3" t="s">
        <v>119</v>
      </c>
      <c r="I6" s="3" t="s">
        <v>121</v>
      </c>
      <c r="J6" s="3" t="s">
        <v>122</v>
      </c>
      <c r="K6" s="3" t="s">
        <v>123</v>
      </c>
      <c r="L6" s="3" t="s">
        <v>124</v>
      </c>
    </row>
    <row r="7" spans="1:17" ht="15.6" x14ac:dyDescent="0.3">
      <c r="A7" s="20"/>
      <c r="B7" s="20"/>
      <c r="C7" s="88" t="s">
        <v>125</v>
      </c>
      <c r="D7" s="88"/>
      <c r="E7" s="24">
        <v>12000</v>
      </c>
      <c r="F7" s="24">
        <v>11600</v>
      </c>
      <c r="G7" s="2">
        <v>400</v>
      </c>
      <c r="H7" s="2">
        <v>400</v>
      </c>
      <c r="I7" s="24">
        <v>120000000</v>
      </c>
      <c r="J7" s="2">
        <v>250</v>
      </c>
      <c r="K7" s="2">
        <v>7</v>
      </c>
      <c r="L7" s="2">
        <v>580</v>
      </c>
    </row>
    <row r="8" spans="1:17" ht="15.6" x14ac:dyDescent="0.3">
      <c r="A8" s="20"/>
      <c r="B8" s="20"/>
      <c r="C8" s="88" t="s">
        <v>126</v>
      </c>
      <c r="D8" s="88"/>
      <c r="E8" s="24">
        <v>12400</v>
      </c>
      <c r="F8" s="24">
        <v>12283</v>
      </c>
      <c r="G8" s="2">
        <v>117</v>
      </c>
      <c r="H8" s="2">
        <v>400</v>
      </c>
      <c r="I8" s="24">
        <v>123000000</v>
      </c>
      <c r="J8" s="2">
        <v>250</v>
      </c>
      <c r="K8" s="2">
        <v>9</v>
      </c>
      <c r="L8" s="2">
        <v>600</v>
      </c>
    </row>
    <row r="9" spans="1:17" ht="15.6" x14ac:dyDescent="0.3">
      <c r="A9" s="20"/>
      <c r="B9" s="20"/>
      <c r="C9" s="88" t="s">
        <v>127</v>
      </c>
      <c r="D9" s="88"/>
      <c r="E9" s="24">
        <v>13100</v>
      </c>
      <c r="F9" s="24">
        <v>12511</v>
      </c>
      <c r="G9" s="2">
        <v>589</v>
      </c>
      <c r="H9" s="2">
        <v>420</v>
      </c>
      <c r="I9" s="24">
        <v>125000000</v>
      </c>
      <c r="J9" s="2">
        <v>290</v>
      </c>
      <c r="K9" s="2">
        <v>9</v>
      </c>
      <c r="L9" s="2">
        <v>540</v>
      </c>
    </row>
    <row r="10" spans="1:17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0"/>
    </row>
    <row r="11" spans="1:17" ht="15.6" x14ac:dyDescent="0.3">
      <c r="A11" s="20"/>
      <c r="B11" s="20"/>
      <c r="C11" s="133" t="s">
        <v>111</v>
      </c>
      <c r="D11" s="133"/>
      <c r="E11" s="20"/>
      <c r="F11" s="20"/>
      <c r="G11" s="20"/>
      <c r="H11" s="20"/>
      <c r="I11" s="20"/>
      <c r="J11" s="20"/>
    </row>
    <row r="12" spans="1:17" x14ac:dyDescent="0.3">
      <c r="A12" s="20"/>
      <c r="B12" s="20"/>
      <c r="C12" s="132" t="s">
        <v>109</v>
      </c>
      <c r="D12" s="134"/>
      <c r="E12" s="88" t="s">
        <v>112</v>
      </c>
      <c r="F12" s="88" t="s">
        <v>113</v>
      </c>
      <c r="G12" s="88" t="s">
        <v>114</v>
      </c>
      <c r="H12" s="88" t="s">
        <v>115</v>
      </c>
      <c r="I12" s="88" t="s">
        <v>116</v>
      </c>
      <c r="J12" s="88" t="s">
        <v>129</v>
      </c>
    </row>
    <row r="13" spans="1:17" x14ac:dyDescent="0.3">
      <c r="A13" s="20"/>
      <c r="B13" s="20"/>
      <c r="C13" s="134"/>
      <c r="D13" s="134"/>
      <c r="E13" s="88"/>
      <c r="F13" s="88"/>
      <c r="G13" s="88"/>
      <c r="H13" s="88"/>
      <c r="I13" s="88"/>
      <c r="J13" s="88"/>
      <c r="K13" s="20"/>
      <c r="L13" s="20"/>
      <c r="M13" s="20"/>
      <c r="N13" s="20"/>
      <c r="O13" s="20"/>
      <c r="P13" s="20"/>
      <c r="Q13" s="20"/>
    </row>
    <row r="14" spans="1:17" ht="15.6" x14ac:dyDescent="0.3">
      <c r="A14" s="20"/>
      <c r="B14" s="20"/>
      <c r="C14" s="88" t="s">
        <v>125</v>
      </c>
      <c r="D14" s="88"/>
      <c r="E14" s="2">
        <f>E7/J7</f>
        <v>48</v>
      </c>
      <c r="F14" s="2">
        <f>E7/I7*100</f>
        <v>0.01</v>
      </c>
      <c r="G14" s="2">
        <f>E7/H7</f>
        <v>30</v>
      </c>
      <c r="H14" s="13">
        <f>G7/E7*100</f>
        <v>3.3333333333333335</v>
      </c>
      <c r="I14" s="13">
        <f>G7/F7*100</f>
        <v>3.4482758620689653</v>
      </c>
      <c r="J14" s="13">
        <f>K7/L7*100</f>
        <v>1.2068965517241379</v>
      </c>
      <c r="K14" s="20"/>
      <c r="L14" s="20"/>
      <c r="M14" s="20"/>
      <c r="N14" s="20"/>
      <c r="O14" s="20"/>
      <c r="P14" s="20"/>
      <c r="Q14" s="20"/>
    </row>
    <row r="15" spans="1:17" ht="15.6" x14ac:dyDescent="0.3">
      <c r="A15" s="20"/>
      <c r="B15" s="20"/>
      <c r="C15" s="88" t="s">
        <v>126</v>
      </c>
      <c r="D15" s="88"/>
      <c r="E15" s="26">
        <f t="shared" ref="E15:E16" si="0">E8/J8</f>
        <v>49.6</v>
      </c>
      <c r="F15" s="27">
        <f t="shared" ref="F15:F16" si="1">E8/I8*100</f>
        <v>1.0081300813008129E-2</v>
      </c>
      <c r="G15" s="2">
        <f t="shared" ref="G15:G16" si="2">E8/H8</f>
        <v>31</v>
      </c>
      <c r="H15" s="35">
        <f>G8/E8*100</f>
        <v>0.94354838709677424</v>
      </c>
      <c r="I15" s="35">
        <f t="shared" ref="I15:I16" si="3">G8/F8*100</f>
        <v>0.95253602540096072</v>
      </c>
      <c r="J15" s="13">
        <f t="shared" ref="J15:J16" si="4">K8/L8*100</f>
        <v>1.5</v>
      </c>
      <c r="K15" s="20"/>
      <c r="L15" s="20"/>
      <c r="M15" s="20"/>
      <c r="N15" s="20"/>
      <c r="O15" s="20"/>
      <c r="P15" s="20"/>
      <c r="Q15" s="20"/>
    </row>
    <row r="16" spans="1:17" ht="15.6" x14ac:dyDescent="0.3">
      <c r="A16" s="20"/>
      <c r="B16" s="20"/>
      <c r="C16" s="88" t="s">
        <v>127</v>
      </c>
      <c r="D16" s="88"/>
      <c r="E16" s="26">
        <f t="shared" si="0"/>
        <v>45.172413793103445</v>
      </c>
      <c r="F16" s="27">
        <f t="shared" si="1"/>
        <v>1.048E-2</v>
      </c>
      <c r="G16" s="26">
        <f t="shared" si="2"/>
        <v>31.19047619047619</v>
      </c>
      <c r="H16" s="13">
        <f t="shared" ref="H16" si="5">G9/E9*100</f>
        <v>4.4961832061068696</v>
      </c>
      <c r="I16" s="13">
        <f t="shared" si="3"/>
        <v>4.7078570857645277</v>
      </c>
      <c r="J16" s="13">
        <f t="shared" si="4"/>
        <v>1.6666666666666667</v>
      </c>
      <c r="K16" s="20"/>
      <c r="L16" s="20"/>
      <c r="M16" s="20"/>
      <c r="N16" s="20"/>
      <c r="O16" s="20"/>
      <c r="P16" s="20"/>
      <c r="Q16" s="20"/>
    </row>
    <row r="17" spans="1:17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spans="1:17" ht="15.6" x14ac:dyDescent="0.3">
      <c r="A18" s="20"/>
      <c r="B18" s="20"/>
      <c r="C18" s="131" t="s">
        <v>130</v>
      </c>
      <c r="D18" s="131"/>
      <c r="E18" s="28"/>
      <c r="F18" s="28"/>
      <c r="G18" s="28"/>
      <c r="H18" s="28"/>
      <c r="I18" s="28"/>
      <c r="J18" s="28"/>
      <c r="K18" s="20"/>
      <c r="L18" s="20"/>
      <c r="M18" s="20"/>
      <c r="N18" s="20"/>
      <c r="O18" s="20"/>
      <c r="P18" s="20"/>
      <c r="Q18" s="20"/>
    </row>
    <row r="19" spans="1:17" ht="15.6" x14ac:dyDescent="0.3">
      <c r="A19" s="20"/>
      <c r="B19" s="20"/>
      <c r="C19" s="2" t="s">
        <v>108</v>
      </c>
      <c r="D19" s="88" t="s">
        <v>131</v>
      </c>
      <c r="E19" s="88"/>
      <c r="F19" s="88"/>
      <c r="G19" s="88" t="s">
        <v>132</v>
      </c>
      <c r="H19" s="88"/>
      <c r="I19" s="88"/>
      <c r="J19" s="88" t="s">
        <v>133</v>
      </c>
      <c r="K19" s="20"/>
      <c r="L19" s="20"/>
      <c r="M19" s="20"/>
      <c r="N19" s="20"/>
      <c r="O19" s="20"/>
      <c r="P19" s="20"/>
      <c r="Q19" s="20"/>
    </row>
    <row r="20" spans="1:17" ht="15.6" x14ac:dyDescent="0.3">
      <c r="A20" s="20"/>
      <c r="B20" s="20"/>
      <c r="C20" s="2" t="s">
        <v>134</v>
      </c>
      <c r="D20" s="2" t="s">
        <v>112</v>
      </c>
      <c r="E20" s="2" t="s">
        <v>113</v>
      </c>
      <c r="F20" s="2" t="s">
        <v>114</v>
      </c>
      <c r="G20" s="2" t="s">
        <v>115</v>
      </c>
      <c r="H20" s="2" t="s">
        <v>116</v>
      </c>
      <c r="I20" s="2" t="s">
        <v>129</v>
      </c>
      <c r="J20" s="88"/>
      <c r="K20" s="20"/>
      <c r="L20" s="20"/>
      <c r="M20" s="20"/>
      <c r="N20" s="20"/>
      <c r="O20" s="20"/>
      <c r="P20" s="20"/>
      <c r="Q20" s="20"/>
    </row>
    <row r="21" spans="1:17" ht="15.6" x14ac:dyDescent="0.3">
      <c r="A21" s="20"/>
      <c r="B21" s="20"/>
      <c r="C21" s="2" t="s">
        <v>135</v>
      </c>
      <c r="D21" s="2">
        <f t="shared" ref="D21:I21" si="6">E14</f>
        <v>48</v>
      </c>
      <c r="E21" s="2">
        <f t="shared" si="6"/>
        <v>0.01</v>
      </c>
      <c r="F21" s="2">
        <f t="shared" si="6"/>
        <v>30</v>
      </c>
      <c r="G21" s="13">
        <f t="shared" si="6"/>
        <v>3.3333333333333335</v>
      </c>
      <c r="H21" s="13">
        <f t="shared" si="6"/>
        <v>3.4482758620689653</v>
      </c>
      <c r="I21" s="13">
        <f t="shared" si="6"/>
        <v>1.2068965517241379</v>
      </c>
      <c r="J21" s="88"/>
      <c r="K21" s="20"/>
      <c r="L21" s="20"/>
      <c r="M21" s="20"/>
      <c r="N21" s="20"/>
      <c r="O21" s="20"/>
      <c r="P21" s="20"/>
      <c r="Q21" s="20"/>
    </row>
    <row r="22" spans="1:17" ht="15.6" x14ac:dyDescent="0.3">
      <c r="A22" s="20"/>
      <c r="B22" s="20"/>
      <c r="C22" s="2" t="s">
        <v>136</v>
      </c>
      <c r="D22" s="2">
        <v>74.41</v>
      </c>
      <c r="E22" s="2">
        <v>1.6899999999999998E-2</v>
      </c>
      <c r="F22" s="2">
        <v>50.65</v>
      </c>
      <c r="G22" s="2">
        <v>10.16</v>
      </c>
      <c r="H22" s="2">
        <v>0.16</v>
      </c>
      <c r="I22" s="2">
        <v>0.61</v>
      </c>
      <c r="J22" s="2">
        <v>10</v>
      </c>
    </row>
    <row r="23" spans="1:17" ht="15.6" x14ac:dyDescent="0.3">
      <c r="A23" s="20"/>
      <c r="B23" s="20"/>
      <c r="C23" s="129"/>
      <c r="D23" s="13">
        <f t="shared" ref="D23:D28" si="7">($D$22-$D$29)/(10-3)+D24</f>
        <v>70.277142857142849</v>
      </c>
      <c r="E23" s="29">
        <f>($E$22-$E$29)/(10-3)+E24</f>
        <v>1.602857142857143E-2</v>
      </c>
      <c r="F23" s="13">
        <f>($F$22-$F$29)/(10-3)+F24</f>
        <v>48.175714285714278</v>
      </c>
      <c r="G23" s="13">
        <f>($G$22-$G$29)/(10-3)+G24</f>
        <v>8.9371428571428559</v>
      </c>
      <c r="H23" s="13">
        <f>($H$22-$H$29)/(10-3)+H24</f>
        <v>0.37000000000000011</v>
      </c>
      <c r="I23" s="13">
        <f>($I$22-$I$29)/(10-3)+I24</f>
        <v>0.72285714285714298</v>
      </c>
      <c r="J23" s="2">
        <v>9</v>
      </c>
    </row>
    <row r="24" spans="1:17" ht="15.6" x14ac:dyDescent="0.3">
      <c r="A24" s="20"/>
      <c r="B24" s="20"/>
      <c r="C24" s="129"/>
      <c r="D24" s="13">
        <f t="shared" si="7"/>
        <v>66.144285714285701</v>
      </c>
      <c r="E24" s="27">
        <f t="shared" ref="E24:E28" si="8">($E$22-$E$29)/(10-3)+E25</f>
        <v>1.5157142857142859E-2</v>
      </c>
      <c r="F24" s="26">
        <f t="shared" ref="F24:F28" si="9">($F$22-$F$29)/(10-3)+F25</f>
        <v>45.701428571428565</v>
      </c>
      <c r="G24" s="13">
        <f t="shared" ref="G24:G28" si="10">($G$22-$G$29)/(10-3)+G25</f>
        <v>7.7142857142857135</v>
      </c>
      <c r="H24" s="13">
        <f t="shared" ref="H24:H28" si="11">($H$22-$H$29)/(10-3)+H25</f>
        <v>0.58000000000000007</v>
      </c>
      <c r="I24" s="13">
        <f t="shared" ref="I24:I28" si="12">($I$22-$I$29)/(10-3)+I25</f>
        <v>0.83571428571428585</v>
      </c>
      <c r="J24" s="2">
        <v>8</v>
      </c>
    </row>
    <row r="25" spans="1:17" ht="15.6" x14ac:dyDescent="0.3">
      <c r="A25" s="125"/>
      <c r="B25" s="125"/>
      <c r="C25" s="129"/>
      <c r="D25" s="13">
        <f t="shared" si="7"/>
        <v>62.01142857142856</v>
      </c>
      <c r="E25" s="27">
        <f t="shared" si="8"/>
        <v>1.4285714285714287E-2</v>
      </c>
      <c r="F25" s="13">
        <f t="shared" si="9"/>
        <v>43.227142857142852</v>
      </c>
      <c r="G25" s="13">
        <f t="shared" si="10"/>
        <v>6.4914285714285711</v>
      </c>
      <c r="H25" s="26">
        <f t="shared" si="11"/>
        <v>0.79</v>
      </c>
      <c r="I25" s="13">
        <f t="shared" si="12"/>
        <v>0.94857142857142873</v>
      </c>
      <c r="J25" s="2">
        <v>7</v>
      </c>
    </row>
    <row r="26" spans="1:17" ht="15.6" x14ac:dyDescent="0.3">
      <c r="C26" s="129"/>
      <c r="D26" s="13">
        <f t="shared" si="7"/>
        <v>57.878571428571419</v>
      </c>
      <c r="E26" s="27">
        <f t="shared" si="8"/>
        <v>1.3414285714285715E-2</v>
      </c>
      <c r="F26" s="13">
        <f t="shared" si="9"/>
        <v>40.752857142857138</v>
      </c>
      <c r="G26" s="13">
        <f t="shared" si="10"/>
        <v>5.2685714285714287</v>
      </c>
      <c r="H26" s="13">
        <f t="shared" si="11"/>
        <v>1</v>
      </c>
      <c r="I26" s="13">
        <f t="shared" si="12"/>
        <v>1.0614285714285716</v>
      </c>
      <c r="J26" s="2">
        <v>6</v>
      </c>
    </row>
    <row r="27" spans="1:17" ht="15.6" x14ac:dyDescent="0.3">
      <c r="C27" s="129"/>
      <c r="D27" s="13">
        <f t="shared" si="7"/>
        <v>53.745714285714278</v>
      </c>
      <c r="E27" s="27">
        <f t="shared" si="8"/>
        <v>1.2542857142857144E-2</v>
      </c>
      <c r="F27" s="13">
        <f t="shared" si="9"/>
        <v>38.278571428571425</v>
      </c>
      <c r="G27" s="13">
        <f t="shared" si="10"/>
        <v>4.0457142857142863</v>
      </c>
      <c r="H27" s="13">
        <f t="shared" si="11"/>
        <v>1.21</v>
      </c>
      <c r="I27" s="30">
        <f t="shared" si="12"/>
        <v>1.1742857142857144</v>
      </c>
      <c r="J27" s="2">
        <v>5</v>
      </c>
    </row>
    <row r="28" spans="1:17" ht="15.6" x14ac:dyDescent="0.3">
      <c r="C28" s="129"/>
      <c r="D28" s="30">
        <f t="shared" si="7"/>
        <v>49.612857142857138</v>
      </c>
      <c r="E28" s="27">
        <f t="shared" si="8"/>
        <v>1.1671428571428572E-2</v>
      </c>
      <c r="F28" s="13">
        <f t="shared" si="9"/>
        <v>35.804285714285712</v>
      </c>
      <c r="G28" s="13">
        <f t="shared" si="10"/>
        <v>2.822857142857143</v>
      </c>
      <c r="H28" s="13">
        <f t="shared" si="11"/>
        <v>1.42</v>
      </c>
      <c r="I28" s="13">
        <f t="shared" si="12"/>
        <v>1.2871428571428571</v>
      </c>
      <c r="J28" s="2">
        <v>4</v>
      </c>
    </row>
    <row r="29" spans="1:17" ht="15.6" x14ac:dyDescent="0.3">
      <c r="C29" s="129"/>
      <c r="D29" s="13">
        <v>45.48</v>
      </c>
      <c r="E29" s="2">
        <v>1.0800000000000001E-2</v>
      </c>
      <c r="F29" s="2">
        <v>33.33</v>
      </c>
      <c r="G29" s="2">
        <v>1.6</v>
      </c>
      <c r="H29" s="2">
        <v>1.63</v>
      </c>
      <c r="I29" s="2">
        <v>1.4</v>
      </c>
      <c r="J29" s="2">
        <v>3</v>
      </c>
      <c r="N29" s="25"/>
    </row>
    <row r="30" spans="1:17" ht="15.6" x14ac:dyDescent="0.3">
      <c r="C30" s="129"/>
      <c r="D30" s="13">
        <f>($D$29-$D$32)/(3-0)+D31</f>
        <v>44.986666666666665</v>
      </c>
      <c r="E30" s="27">
        <f>($E$29-$E$32)/(3-0)+E31</f>
        <v>1.0466666666666666E-2</v>
      </c>
      <c r="F30" s="13">
        <f>($F$29-$F$32)/(3-0)+F31</f>
        <v>31.916666666666668</v>
      </c>
      <c r="G30" s="30">
        <f>($G$29-$G$32)/(3-0)+G31</f>
        <v>3.0566666666666675</v>
      </c>
      <c r="H30" s="30">
        <f>($H$29-$H$32)/(3-0)+H31</f>
        <v>3.2033333333333331</v>
      </c>
      <c r="I30" s="31">
        <f>($I$29-$I$32)/(3-0)+I31</f>
        <v>1.7666666666666666</v>
      </c>
      <c r="J30" s="2">
        <v>2</v>
      </c>
    </row>
    <row r="31" spans="1:17" ht="15.6" x14ac:dyDescent="0.3">
      <c r="C31" s="129"/>
      <c r="D31" s="13">
        <f>($D$29-$D$32)/(3-0)+D32</f>
        <v>44.493333333333332</v>
      </c>
      <c r="E31" s="32">
        <f>($E$29-$E$32)/(3-0)+E32</f>
        <v>1.0133333333333333E-2</v>
      </c>
      <c r="F31" s="33">
        <f>($F$29-$F$32)/(3-0)+F32</f>
        <v>30.503333333333334</v>
      </c>
      <c r="G31" s="13">
        <f>($G$29-$G$32)/(3-0)+G32</f>
        <v>4.5133333333333336</v>
      </c>
      <c r="H31" s="31">
        <f>($H$29-$H$32)/(3-0)+H32</f>
        <v>4.7766666666666664</v>
      </c>
      <c r="I31" s="31">
        <f>($I$29-$I$32)/(3-0)+I32</f>
        <v>2.1333333333333333</v>
      </c>
      <c r="J31" s="2">
        <v>1</v>
      </c>
    </row>
    <row r="32" spans="1:17" ht="15.6" x14ac:dyDescent="0.3">
      <c r="C32" s="129"/>
      <c r="D32" s="2">
        <v>44</v>
      </c>
      <c r="E32" s="2">
        <v>9.7999999999999997E-3</v>
      </c>
      <c r="F32" s="2">
        <v>29.09</v>
      </c>
      <c r="G32" s="2">
        <v>5.97</v>
      </c>
      <c r="H32" s="2">
        <v>6.35</v>
      </c>
      <c r="I32" s="2">
        <v>2.5</v>
      </c>
      <c r="J32" s="2">
        <v>0</v>
      </c>
    </row>
    <row r="33" spans="3:10" ht="15.6" x14ac:dyDescent="0.3">
      <c r="C33" s="34" t="s">
        <v>137</v>
      </c>
      <c r="D33" s="2">
        <v>4</v>
      </c>
      <c r="E33" s="2">
        <v>1</v>
      </c>
      <c r="F33" s="2">
        <v>1</v>
      </c>
      <c r="G33" s="2">
        <v>2</v>
      </c>
      <c r="H33" s="2">
        <v>2</v>
      </c>
      <c r="I33" s="2">
        <v>5</v>
      </c>
      <c r="J33" s="2"/>
    </row>
    <row r="34" spans="3:10" ht="15.6" x14ac:dyDescent="0.3">
      <c r="C34" s="34" t="s">
        <v>138</v>
      </c>
      <c r="D34" s="35">
        <v>25</v>
      </c>
      <c r="E34" s="2">
        <v>20</v>
      </c>
      <c r="F34" s="2">
        <v>20</v>
      </c>
      <c r="G34" s="2">
        <v>15</v>
      </c>
      <c r="H34" s="2">
        <v>10</v>
      </c>
      <c r="I34" s="2">
        <v>10</v>
      </c>
      <c r="J34" s="2"/>
    </row>
    <row r="35" spans="3:10" ht="15.6" x14ac:dyDescent="0.3">
      <c r="C35" s="34" t="s">
        <v>139</v>
      </c>
      <c r="D35" s="2">
        <f>D34*D33</f>
        <v>100</v>
      </c>
      <c r="E35" s="2">
        <f t="shared" ref="E35:I35" si="13">E34*E33</f>
        <v>20</v>
      </c>
      <c r="F35" s="2">
        <f t="shared" si="13"/>
        <v>20</v>
      </c>
      <c r="G35" s="2">
        <f t="shared" si="13"/>
        <v>30</v>
      </c>
      <c r="H35" s="2">
        <f t="shared" si="13"/>
        <v>20</v>
      </c>
      <c r="I35" s="2">
        <f t="shared" si="13"/>
        <v>50</v>
      </c>
      <c r="J35" s="2"/>
    </row>
    <row r="36" spans="3:10" ht="15.6" x14ac:dyDescent="0.3">
      <c r="C36" s="88" t="s">
        <v>140</v>
      </c>
      <c r="D36" s="88"/>
      <c r="E36" s="88"/>
      <c r="F36" s="88"/>
      <c r="G36" s="88"/>
      <c r="H36" s="88"/>
      <c r="I36" s="88">
        <f>SUM(D35:I35)</f>
        <v>240</v>
      </c>
      <c r="J36" s="88"/>
    </row>
    <row r="39" spans="3:10" ht="15.6" x14ac:dyDescent="0.3">
      <c r="C39" s="131" t="s">
        <v>141</v>
      </c>
      <c r="D39" s="131"/>
      <c r="E39" s="28"/>
      <c r="F39" s="28"/>
      <c r="G39" s="28"/>
      <c r="H39" s="28"/>
      <c r="I39" s="28"/>
      <c r="J39" s="28"/>
    </row>
    <row r="40" spans="3:10" ht="15.6" x14ac:dyDescent="0.3">
      <c r="C40" s="2" t="s">
        <v>108</v>
      </c>
      <c r="D40" s="88" t="s">
        <v>131</v>
      </c>
      <c r="E40" s="88"/>
      <c r="F40" s="88"/>
      <c r="G40" s="88" t="s">
        <v>132</v>
      </c>
      <c r="H40" s="88"/>
      <c r="I40" s="88"/>
      <c r="J40" s="88" t="s">
        <v>133</v>
      </c>
    </row>
    <row r="41" spans="3:10" ht="15.6" x14ac:dyDescent="0.3">
      <c r="C41" s="2" t="s">
        <v>134</v>
      </c>
      <c r="D41" s="2" t="s">
        <v>112</v>
      </c>
      <c r="E41" s="2" t="s">
        <v>113</v>
      </c>
      <c r="F41" s="2" t="s">
        <v>114</v>
      </c>
      <c r="G41" s="2" t="s">
        <v>115</v>
      </c>
      <c r="H41" s="2" t="s">
        <v>116</v>
      </c>
      <c r="I41" s="2" t="s">
        <v>129</v>
      </c>
      <c r="J41" s="88"/>
    </row>
    <row r="42" spans="3:10" ht="15.6" x14ac:dyDescent="0.3">
      <c r="C42" s="2" t="s">
        <v>135</v>
      </c>
      <c r="D42" s="26">
        <f>E15</f>
        <v>49.6</v>
      </c>
      <c r="E42" s="27">
        <f>F15</f>
        <v>1.0081300813008129E-2</v>
      </c>
      <c r="F42" s="26">
        <f t="shared" ref="F42:I42" si="14">G15</f>
        <v>31</v>
      </c>
      <c r="G42" s="35">
        <f>H15</f>
        <v>0.94354838709677424</v>
      </c>
      <c r="H42" s="35">
        <f t="shared" si="14"/>
        <v>0.95253602540096072</v>
      </c>
      <c r="I42" s="26">
        <f t="shared" si="14"/>
        <v>1.5</v>
      </c>
      <c r="J42" s="88"/>
    </row>
    <row r="43" spans="3:10" ht="15.6" x14ac:dyDescent="0.3">
      <c r="C43" s="2" t="s">
        <v>136</v>
      </c>
      <c r="D43" s="2">
        <v>74.41</v>
      </c>
      <c r="E43" s="2">
        <v>0.1168</v>
      </c>
      <c r="F43" s="2">
        <v>50.73</v>
      </c>
      <c r="G43" s="2">
        <v>0.26</v>
      </c>
      <c r="H43" s="2">
        <v>0.26</v>
      </c>
      <c r="I43" s="2">
        <v>0.7</v>
      </c>
      <c r="J43" s="2">
        <v>10</v>
      </c>
    </row>
    <row r="44" spans="3:10" ht="15.6" x14ac:dyDescent="0.3">
      <c r="C44" s="129"/>
      <c r="D44" s="13">
        <f>($D$43-$D$50)/(10-3)+D45</f>
        <v>70.291428571428568</v>
      </c>
      <c r="E44" s="27">
        <f>($E$43-$E$50)/(10-3)+E45</f>
        <v>0.11594285714285717</v>
      </c>
      <c r="F44" s="13">
        <f>($F$43-$F$50)/(10-3)+F45</f>
        <v>48.258571428571408</v>
      </c>
      <c r="G44" s="13">
        <f>($G$43-$G$50)/(10-3)+G45</f>
        <v>0.46571428571428553</v>
      </c>
      <c r="H44" s="13">
        <f>($H$43-$H$50)/(10-3)+H45</f>
        <v>0.4700000000000002</v>
      </c>
      <c r="I44" s="13">
        <f>($I$43-$I$50)/(10-3)+I45</f>
        <v>0.81428571428571406</v>
      </c>
      <c r="J44" s="2">
        <v>9</v>
      </c>
    </row>
    <row r="45" spans="3:10" ht="15.6" x14ac:dyDescent="0.3">
      <c r="C45" s="129"/>
      <c r="D45" s="13">
        <f t="shared" ref="D45:D49" si="15">($D$43-$D$50)/(10-3)+D46</f>
        <v>66.17285714285714</v>
      </c>
      <c r="E45" s="27">
        <f t="shared" ref="E45:E49" si="16">($E$43-$E$50)/(10-3)+E46</f>
        <v>0.11508571428571431</v>
      </c>
      <c r="F45" s="13">
        <f t="shared" ref="F45:F49" si="17">($F$43-$F$50)/(10-3)+F46</f>
        <v>45.78714285714284</v>
      </c>
      <c r="G45" s="13">
        <f t="shared" ref="G45:G49" si="18">($G$43-$G$50)/(10-3)+G46</f>
        <v>0.67142857142857126</v>
      </c>
      <c r="H45" s="13">
        <f t="shared" ref="H45:H49" si="19">($H$43-$H$50)/(10-3)+H46</f>
        <v>0.68000000000000016</v>
      </c>
      <c r="I45" s="13">
        <f t="shared" ref="I45:I49" si="20">($I$43-$I$50)/(10-3)+I46</f>
        <v>0.92857142857142838</v>
      </c>
      <c r="J45" s="2">
        <v>8</v>
      </c>
    </row>
    <row r="46" spans="3:10" ht="15.6" x14ac:dyDescent="0.3">
      <c r="C46" s="129"/>
      <c r="D46" s="13">
        <f t="shared" si="15"/>
        <v>62.054285714285712</v>
      </c>
      <c r="E46" s="27">
        <f t="shared" si="16"/>
        <v>0.11422857142857144</v>
      </c>
      <c r="F46" s="13">
        <f t="shared" si="17"/>
        <v>43.315714285714272</v>
      </c>
      <c r="G46" s="13">
        <f t="shared" si="18"/>
        <v>0.877142857142857</v>
      </c>
      <c r="H46" s="13">
        <f t="shared" si="19"/>
        <v>0.89000000000000012</v>
      </c>
      <c r="I46" s="13">
        <f t="shared" si="20"/>
        <v>1.0428571428571427</v>
      </c>
      <c r="J46" s="2">
        <v>7</v>
      </c>
    </row>
    <row r="47" spans="3:10" ht="15.6" x14ac:dyDescent="0.3">
      <c r="C47" s="129"/>
      <c r="D47" s="13">
        <f t="shared" si="15"/>
        <v>57.935714285714283</v>
      </c>
      <c r="E47" s="27">
        <f t="shared" si="16"/>
        <v>0.11337142857142858</v>
      </c>
      <c r="F47" s="13">
        <f t="shared" si="17"/>
        <v>40.844285714285704</v>
      </c>
      <c r="G47" s="30">
        <f t="shared" si="18"/>
        <v>1.0828571428571427</v>
      </c>
      <c r="H47" s="30">
        <f t="shared" si="19"/>
        <v>1.1000000000000001</v>
      </c>
      <c r="I47" s="13">
        <f t="shared" si="20"/>
        <v>1.157142857142857</v>
      </c>
      <c r="J47" s="2">
        <v>6</v>
      </c>
    </row>
    <row r="48" spans="3:10" ht="15.6" x14ac:dyDescent="0.3">
      <c r="C48" s="129"/>
      <c r="D48" s="13">
        <f t="shared" si="15"/>
        <v>53.817142857142855</v>
      </c>
      <c r="E48" s="27">
        <f t="shared" si="16"/>
        <v>0.11251428571428572</v>
      </c>
      <c r="F48" s="13">
        <f t="shared" si="17"/>
        <v>38.372857142857136</v>
      </c>
      <c r="G48" s="13">
        <f t="shared" si="18"/>
        <v>1.2885714285714285</v>
      </c>
      <c r="H48" s="13">
        <f t="shared" si="19"/>
        <v>1.31</v>
      </c>
      <c r="I48" s="13">
        <f t="shared" si="20"/>
        <v>1.2714285714285714</v>
      </c>
      <c r="J48" s="2">
        <v>5</v>
      </c>
    </row>
    <row r="49" spans="3:10" ht="15.6" x14ac:dyDescent="0.3">
      <c r="C49" s="129"/>
      <c r="D49" s="30">
        <f t="shared" si="15"/>
        <v>49.698571428571427</v>
      </c>
      <c r="E49" s="27">
        <f t="shared" si="16"/>
        <v>0.11165714285714286</v>
      </c>
      <c r="F49" s="13">
        <f t="shared" si="17"/>
        <v>35.901428571428568</v>
      </c>
      <c r="G49" s="13">
        <f t="shared" si="18"/>
        <v>1.4942857142857142</v>
      </c>
      <c r="H49" s="13">
        <f t="shared" si="19"/>
        <v>1.52</v>
      </c>
      <c r="I49" s="13">
        <f t="shared" si="20"/>
        <v>1.3857142857142857</v>
      </c>
      <c r="J49" s="2">
        <v>4</v>
      </c>
    </row>
    <row r="50" spans="3:10" ht="15.6" x14ac:dyDescent="0.3">
      <c r="C50" s="129"/>
      <c r="D50" s="13">
        <v>45.58</v>
      </c>
      <c r="E50" s="2">
        <v>0.1108</v>
      </c>
      <c r="F50" s="2">
        <v>33.43</v>
      </c>
      <c r="G50" s="2">
        <v>1.7</v>
      </c>
      <c r="H50" s="2">
        <v>1.73</v>
      </c>
      <c r="I50" s="19">
        <v>1.5</v>
      </c>
      <c r="J50" s="2">
        <v>3</v>
      </c>
    </row>
    <row r="51" spans="3:10" ht="15.6" x14ac:dyDescent="0.3">
      <c r="C51" s="129"/>
      <c r="D51" s="13">
        <f>($D$50-$D$53)/(3-0)+D52</f>
        <v>45.086666666666666</v>
      </c>
      <c r="E51" s="27">
        <f>($E$50-$E$53)/(3-0)+E52</f>
        <v>0.11046666666666667</v>
      </c>
      <c r="F51" s="13">
        <f>($F$50-$F$53)/(3-0)+F52</f>
        <v>32.016666666666666</v>
      </c>
      <c r="G51" s="31">
        <f>($G$50-$G$53)/(3-0)+G52</f>
        <v>3.1566666666666663</v>
      </c>
      <c r="H51" s="31">
        <f>($H$50-$H$53)/(3-0)+H52</f>
        <v>3.3033333333333337</v>
      </c>
      <c r="I51" s="31">
        <f>($I$50-$I$53)/(3-0)+I52</f>
        <v>1.8666666666666667</v>
      </c>
      <c r="J51" s="2">
        <v>2</v>
      </c>
    </row>
    <row r="52" spans="3:10" ht="15.6" x14ac:dyDescent="0.3">
      <c r="C52" s="129"/>
      <c r="D52" s="13">
        <f>($D$50-$D$53)/(3-0)+D53</f>
        <v>44.593333333333334</v>
      </c>
      <c r="E52" s="32">
        <f>($E$50-$E$53)/(3-0)+E53</f>
        <v>0.11013333333333333</v>
      </c>
      <c r="F52" s="30">
        <f>($F$50-$F$53)/(3-0)+F53</f>
        <v>30.603333333333335</v>
      </c>
      <c r="G52" s="31">
        <f>($G$50-$G$53)/(3-0)+G53</f>
        <v>4.6133333333333333</v>
      </c>
      <c r="H52" s="31">
        <f>($H$50-$H$53)/(3-0)+H53</f>
        <v>4.8766666666666669</v>
      </c>
      <c r="I52" s="31">
        <f>($I$50-$I$53)/(3-0)+I53</f>
        <v>2.2333333333333334</v>
      </c>
      <c r="J52" s="2">
        <v>1</v>
      </c>
    </row>
    <row r="53" spans="3:10" ht="15.6" x14ac:dyDescent="0.3">
      <c r="C53" s="129"/>
      <c r="D53" s="2">
        <v>44.1</v>
      </c>
      <c r="E53" s="2">
        <v>0.10979999999999999</v>
      </c>
      <c r="F53" s="2">
        <v>29.19</v>
      </c>
      <c r="G53" s="2">
        <v>6.07</v>
      </c>
      <c r="H53" s="2">
        <v>6.45</v>
      </c>
      <c r="I53" s="2">
        <v>2.6</v>
      </c>
      <c r="J53" s="2">
        <v>0</v>
      </c>
    </row>
    <row r="54" spans="3:10" ht="15.6" x14ac:dyDescent="0.3">
      <c r="C54" s="34" t="s">
        <v>137</v>
      </c>
      <c r="D54" s="2">
        <v>4</v>
      </c>
      <c r="E54" s="2">
        <v>1</v>
      </c>
      <c r="F54" s="2">
        <v>1</v>
      </c>
      <c r="G54" s="2">
        <v>6</v>
      </c>
      <c r="H54" s="2">
        <v>6</v>
      </c>
      <c r="I54" s="2">
        <v>3</v>
      </c>
      <c r="J54" s="2"/>
    </row>
    <row r="55" spans="3:10" ht="15.6" x14ac:dyDescent="0.3">
      <c r="C55" s="34" t="s">
        <v>138</v>
      </c>
      <c r="D55" s="35">
        <v>25</v>
      </c>
      <c r="E55" s="2">
        <v>20</v>
      </c>
      <c r="F55" s="2">
        <v>20</v>
      </c>
      <c r="G55" s="2">
        <v>15</v>
      </c>
      <c r="H55" s="2">
        <v>10</v>
      </c>
      <c r="I55" s="2">
        <v>10</v>
      </c>
      <c r="J55" s="2"/>
    </row>
    <row r="56" spans="3:10" ht="15.6" x14ac:dyDescent="0.3">
      <c r="C56" s="34" t="s">
        <v>139</v>
      </c>
      <c r="D56" s="2">
        <f>D55*D54</f>
        <v>100</v>
      </c>
      <c r="E56" s="2">
        <f t="shared" ref="E56" si="21">E55*E54</f>
        <v>20</v>
      </c>
      <c r="F56" s="2">
        <f t="shared" ref="F56" si="22">F55*F54</f>
        <v>20</v>
      </c>
      <c r="G56" s="2">
        <f t="shared" ref="G56" si="23">G55*G54</f>
        <v>90</v>
      </c>
      <c r="H56" s="2">
        <f t="shared" ref="H56" si="24">H55*H54</f>
        <v>60</v>
      </c>
      <c r="I56" s="2">
        <f t="shared" ref="I56" si="25">I55*I54</f>
        <v>30</v>
      </c>
      <c r="J56" s="2"/>
    </row>
    <row r="57" spans="3:10" ht="15.6" x14ac:dyDescent="0.3">
      <c r="C57" s="88" t="s">
        <v>140</v>
      </c>
      <c r="D57" s="88"/>
      <c r="E57" s="88"/>
      <c r="F57" s="88"/>
      <c r="G57" s="88"/>
      <c r="H57" s="88"/>
      <c r="I57" s="88">
        <f>SUM(D56:I56)</f>
        <v>320</v>
      </c>
      <c r="J57" s="88"/>
    </row>
    <row r="60" spans="3:10" ht="15.6" x14ac:dyDescent="0.3">
      <c r="C60" s="131" t="s">
        <v>149</v>
      </c>
      <c r="D60" s="131"/>
      <c r="E60" s="28"/>
      <c r="F60" s="28"/>
      <c r="G60" s="28"/>
      <c r="H60" s="28"/>
      <c r="I60" s="28"/>
      <c r="J60" s="28"/>
    </row>
    <row r="61" spans="3:10" ht="15.6" x14ac:dyDescent="0.3">
      <c r="C61" s="2" t="s">
        <v>108</v>
      </c>
      <c r="D61" s="88" t="s">
        <v>131</v>
      </c>
      <c r="E61" s="88"/>
      <c r="F61" s="88"/>
      <c r="G61" s="88" t="s">
        <v>132</v>
      </c>
      <c r="H61" s="88"/>
      <c r="I61" s="88"/>
      <c r="J61" s="88" t="s">
        <v>133</v>
      </c>
    </row>
    <row r="62" spans="3:10" ht="15.6" x14ac:dyDescent="0.3">
      <c r="C62" s="2" t="s">
        <v>134</v>
      </c>
      <c r="D62" s="2" t="s">
        <v>112</v>
      </c>
      <c r="E62" s="2" t="s">
        <v>113</v>
      </c>
      <c r="F62" s="2" t="s">
        <v>114</v>
      </c>
      <c r="G62" s="2" t="s">
        <v>115</v>
      </c>
      <c r="H62" s="2" t="s">
        <v>116</v>
      </c>
      <c r="I62" s="2" t="s">
        <v>129</v>
      </c>
      <c r="J62" s="88"/>
    </row>
    <row r="63" spans="3:10" ht="15.6" x14ac:dyDescent="0.3">
      <c r="C63" s="2" t="s">
        <v>135</v>
      </c>
      <c r="D63" s="13">
        <f>E16</f>
        <v>45.172413793103445</v>
      </c>
      <c r="E63" s="27">
        <f t="shared" ref="E63:I63" si="26">F16</f>
        <v>1.048E-2</v>
      </c>
      <c r="F63" s="26">
        <f t="shared" si="26"/>
        <v>31.19047619047619</v>
      </c>
      <c r="G63" s="26">
        <f t="shared" si="26"/>
        <v>4.4961832061068696</v>
      </c>
      <c r="H63" s="26">
        <f t="shared" si="26"/>
        <v>4.7078570857645277</v>
      </c>
      <c r="I63" s="13">
        <f t="shared" si="26"/>
        <v>1.6666666666666667</v>
      </c>
      <c r="J63" s="88"/>
    </row>
    <row r="64" spans="3:10" ht="15.6" x14ac:dyDescent="0.3">
      <c r="C64" s="2" t="s">
        <v>136</v>
      </c>
      <c r="D64" s="2">
        <v>74.5</v>
      </c>
      <c r="E64" s="2">
        <v>0.1168</v>
      </c>
      <c r="F64" s="2">
        <v>50.73</v>
      </c>
      <c r="G64" s="2">
        <v>0.26</v>
      </c>
      <c r="H64" s="2">
        <v>0.26</v>
      </c>
      <c r="I64" s="2">
        <v>0.7</v>
      </c>
      <c r="J64" s="2">
        <v>10</v>
      </c>
    </row>
    <row r="65" spans="3:10" ht="15.6" x14ac:dyDescent="0.3">
      <c r="C65" s="129"/>
      <c r="D65" s="13">
        <f>($D$64-$D$71)/(10-3)+D66</f>
        <v>70.354285714285709</v>
      </c>
      <c r="E65" s="29">
        <f>($E$64-$E$71)/(10-3)+E66</f>
        <v>0.11594285714285717</v>
      </c>
      <c r="F65" s="13">
        <f>($F$64-$F$71)/(10-3)+F66</f>
        <v>48.258571428571408</v>
      </c>
      <c r="G65" s="13">
        <f>($G$64-$G$71)/(10-3)+G66</f>
        <v>0.46571428571428553</v>
      </c>
      <c r="H65" s="13">
        <f>($H$64-$H$71)/(10-3)+H66</f>
        <v>0.4700000000000002</v>
      </c>
      <c r="I65" s="13">
        <f>($I$64-$I$71)/(10-3)+I66</f>
        <v>0.81428571428571406</v>
      </c>
      <c r="J65" s="2">
        <v>9</v>
      </c>
    </row>
    <row r="66" spans="3:10" ht="15.6" x14ac:dyDescent="0.3">
      <c r="C66" s="129"/>
      <c r="D66" s="13">
        <f t="shared" ref="D66:D70" si="27">($D$64-$D$71)/(10-3)+D67</f>
        <v>66.208571428571418</v>
      </c>
      <c r="E66" s="29">
        <f t="shared" ref="E66:E70" si="28">($E$64-$E$71)/(10-3)+E67</f>
        <v>0.11508571428571431</v>
      </c>
      <c r="F66" s="13">
        <f t="shared" ref="F66:F70" si="29">($F$64-$F$71)/(10-3)+F67</f>
        <v>45.78714285714284</v>
      </c>
      <c r="G66" s="13">
        <f t="shared" ref="G66:G70" si="30">($G$64-$G$71)/(10-3)+G67</f>
        <v>0.67142857142857126</v>
      </c>
      <c r="H66" s="13">
        <f t="shared" ref="H66:H70" si="31">($H$64-$H$71)/(10-3)+H67</f>
        <v>0.68000000000000016</v>
      </c>
      <c r="I66" s="13">
        <f t="shared" ref="I66:I70" si="32">($I$64-$I$71)/(10-3)+I67</f>
        <v>0.92857142857142838</v>
      </c>
      <c r="J66" s="2">
        <v>8</v>
      </c>
    </row>
    <row r="67" spans="3:10" ht="15.6" x14ac:dyDescent="0.3">
      <c r="C67" s="129"/>
      <c r="D67" s="13">
        <f t="shared" si="27"/>
        <v>62.062857142857133</v>
      </c>
      <c r="E67" s="29">
        <f t="shared" si="28"/>
        <v>0.11422857142857144</v>
      </c>
      <c r="F67" s="13">
        <f t="shared" si="29"/>
        <v>43.315714285714272</v>
      </c>
      <c r="G67" s="13">
        <f t="shared" si="30"/>
        <v>0.877142857142857</v>
      </c>
      <c r="H67" s="13">
        <f t="shared" si="31"/>
        <v>0.89000000000000012</v>
      </c>
      <c r="I67" s="13">
        <f t="shared" si="32"/>
        <v>1.0428571428571427</v>
      </c>
      <c r="J67" s="2">
        <v>7</v>
      </c>
    </row>
    <row r="68" spans="3:10" ht="15.6" x14ac:dyDescent="0.3">
      <c r="C68" s="129"/>
      <c r="D68" s="13">
        <f t="shared" si="27"/>
        <v>57.917142857142849</v>
      </c>
      <c r="E68" s="29">
        <f t="shared" si="28"/>
        <v>0.11337142857142858</v>
      </c>
      <c r="F68" s="13">
        <f t="shared" si="29"/>
        <v>40.844285714285704</v>
      </c>
      <c r="G68" s="13">
        <f t="shared" si="30"/>
        <v>1.0828571428571427</v>
      </c>
      <c r="H68" s="13">
        <f t="shared" si="31"/>
        <v>1.1000000000000001</v>
      </c>
      <c r="I68" s="13">
        <f t="shared" si="32"/>
        <v>1.157142857142857</v>
      </c>
      <c r="J68" s="2">
        <v>6</v>
      </c>
    </row>
    <row r="69" spans="3:10" ht="15.6" x14ac:dyDescent="0.3">
      <c r="C69" s="129"/>
      <c r="D69" s="13">
        <f t="shared" si="27"/>
        <v>53.771428571428565</v>
      </c>
      <c r="E69" s="29">
        <f t="shared" si="28"/>
        <v>0.11251428571428572</v>
      </c>
      <c r="F69" s="13">
        <f t="shared" si="29"/>
        <v>38.372857142857136</v>
      </c>
      <c r="G69" s="13">
        <f t="shared" si="30"/>
        <v>1.2885714285714285</v>
      </c>
      <c r="H69" s="13">
        <f t="shared" si="31"/>
        <v>1.31</v>
      </c>
      <c r="I69" s="13">
        <f t="shared" si="32"/>
        <v>1.2714285714285714</v>
      </c>
      <c r="J69" s="2">
        <v>5</v>
      </c>
    </row>
    <row r="70" spans="3:10" ht="15.6" x14ac:dyDescent="0.3">
      <c r="C70" s="129"/>
      <c r="D70" s="13">
        <f t="shared" si="27"/>
        <v>49.625714285714281</v>
      </c>
      <c r="E70" s="29">
        <f t="shared" si="28"/>
        <v>0.11165714285714286</v>
      </c>
      <c r="F70" s="13">
        <f t="shared" si="29"/>
        <v>35.901428571428568</v>
      </c>
      <c r="G70" s="13">
        <f t="shared" si="30"/>
        <v>1.4942857142857142</v>
      </c>
      <c r="H70" s="13">
        <f t="shared" si="31"/>
        <v>1.52</v>
      </c>
      <c r="I70" s="13">
        <f t="shared" si="32"/>
        <v>1.3857142857142857</v>
      </c>
      <c r="J70" s="2">
        <v>4</v>
      </c>
    </row>
    <row r="71" spans="3:10" ht="15.6" x14ac:dyDescent="0.3">
      <c r="C71" s="129"/>
      <c r="D71" s="33">
        <v>45.48</v>
      </c>
      <c r="E71" s="2">
        <v>0.1108</v>
      </c>
      <c r="F71" s="2">
        <v>33.43</v>
      </c>
      <c r="G71" s="2">
        <v>1.7</v>
      </c>
      <c r="H71" s="2">
        <v>1.73</v>
      </c>
      <c r="I71" s="13">
        <v>1.5</v>
      </c>
      <c r="J71" s="2">
        <v>3</v>
      </c>
    </row>
    <row r="72" spans="3:10" ht="15.6" x14ac:dyDescent="0.3">
      <c r="C72" s="129"/>
      <c r="D72" s="31">
        <f>($D$71-$D$74)/(3-0)+D73</f>
        <v>45.02</v>
      </c>
      <c r="E72" s="32">
        <f>($E$71-$E$74)/(3-0)+E73</f>
        <v>0.11046666666666667</v>
      </c>
      <c r="F72" s="13">
        <f>($F$71-$F$74)/(3-0)+F73</f>
        <v>32.016666666666666</v>
      </c>
      <c r="G72" s="31">
        <f>($G$71-$G$74)/(3-0)+G73</f>
        <v>3.1566666666666663</v>
      </c>
      <c r="H72" s="31">
        <f>($H$71-$H$74)/(3-0)+H73</f>
        <v>3.3033333333333337</v>
      </c>
      <c r="I72" s="30">
        <f>($I$71-$I$74)/(3-0)+I73</f>
        <v>1.8666666666666667</v>
      </c>
      <c r="J72" s="2">
        <v>2</v>
      </c>
    </row>
    <row r="73" spans="3:10" ht="15.6" x14ac:dyDescent="0.3">
      <c r="C73" s="129"/>
      <c r="D73" s="13">
        <f>($D$71-$D$74)/(3-0)+D74</f>
        <v>44.56</v>
      </c>
      <c r="E73" s="27">
        <f>($E$71-$E$74)/(3-0)+E74</f>
        <v>0.11013333333333333</v>
      </c>
      <c r="F73" s="30">
        <f>($F$71-$F$74)/(3-0)+F74</f>
        <v>30.603333333333335</v>
      </c>
      <c r="G73" s="30">
        <f>($G$71-$G$74)/(3-0)+G74</f>
        <v>4.6133333333333333</v>
      </c>
      <c r="H73" s="30">
        <f>($H$71-$H$74)/(3-0)+H74</f>
        <v>4.8766666666666669</v>
      </c>
      <c r="I73" s="31">
        <f>($I$71-$I$74)/(3-0)+I74</f>
        <v>2.2333333333333334</v>
      </c>
      <c r="J73" s="2">
        <v>1</v>
      </c>
    </row>
    <row r="74" spans="3:10" ht="15.6" x14ac:dyDescent="0.3">
      <c r="C74" s="129"/>
      <c r="D74" s="2">
        <v>44.1</v>
      </c>
      <c r="E74" s="2">
        <v>0.10979999999999999</v>
      </c>
      <c r="F74" s="2">
        <v>29.19</v>
      </c>
      <c r="G74" s="2">
        <v>6.07</v>
      </c>
      <c r="H74" s="2">
        <v>6.45</v>
      </c>
      <c r="I74" s="2">
        <v>2.6</v>
      </c>
      <c r="J74" s="2">
        <v>0</v>
      </c>
    </row>
    <row r="75" spans="3:10" ht="15.6" x14ac:dyDescent="0.3">
      <c r="C75" s="34" t="s">
        <v>137</v>
      </c>
      <c r="D75" s="2">
        <v>3</v>
      </c>
      <c r="E75" s="2">
        <v>2</v>
      </c>
      <c r="F75" s="2">
        <v>1</v>
      </c>
      <c r="G75" s="2">
        <v>1</v>
      </c>
      <c r="H75" s="2">
        <v>1</v>
      </c>
      <c r="I75" s="2">
        <v>2</v>
      </c>
      <c r="J75" s="2"/>
    </row>
    <row r="76" spans="3:10" ht="15.6" x14ac:dyDescent="0.3">
      <c r="C76" s="34" t="s">
        <v>138</v>
      </c>
      <c r="D76" s="35">
        <v>25</v>
      </c>
      <c r="E76" s="2">
        <v>20</v>
      </c>
      <c r="F76" s="2">
        <v>20</v>
      </c>
      <c r="G76" s="2">
        <v>15</v>
      </c>
      <c r="H76" s="2">
        <v>10</v>
      </c>
      <c r="I76" s="2">
        <v>10</v>
      </c>
      <c r="J76" s="2"/>
    </row>
    <row r="77" spans="3:10" ht="15.6" x14ac:dyDescent="0.3">
      <c r="C77" s="34" t="s">
        <v>139</v>
      </c>
      <c r="D77" s="2">
        <f>D76*D75</f>
        <v>75</v>
      </c>
      <c r="E77" s="2">
        <f t="shared" ref="E77" si="33">E76*E75</f>
        <v>40</v>
      </c>
      <c r="F77" s="2">
        <f t="shared" ref="F77" si="34">F76*F75</f>
        <v>20</v>
      </c>
      <c r="G77" s="2">
        <f t="shared" ref="G77" si="35">G76*G75</f>
        <v>15</v>
      </c>
      <c r="H77" s="2">
        <f t="shared" ref="H77" si="36">H76*H75</f>
        <v>10</v>
      </c>
      <c r="I77" s="2">
        <f t="shared" ref="I77" si="37">I76*I75</f>
        <v>20</v>
      </c>
      <c r="J77" s="2"/>
    </row>
    <row r="78" spans="3:10" ht="15.6" x14ac:dyDescent="0.3">
      <c r="C78" s="88" t="s">
        <v>140</v>
      </c>
      <c r="D78" s="88"/>
      <c r="E78" s="88"/>
      <c r="F78" s="88"/>
      <c r="G78" s="88"/>
      <c r="H78" s="88"/>
      <c r="I78" s="88">
        <f>SUM(D77:I77)</f>
        <v>180</v>
      </c>
      <c r="J78" s="88"/>
    </row>
    <row r="80" spans="3:10" ht="15.6" x14ac:dyDescent="0.3">
      <c r="C80" s="34" t="s">
        <v>143</v>
      </c>
      <c r="D80" s="2" t="s">
        <v>134</v>
      </c>
      <c r="E80" s="2" t="s">
        <v>147</v>
      </c>
      <c r="F80" s="2" t="s">
        <v>142</v>
      </c>
      <c r="G80" s="2" t="s">
        <v>148</v>
      </c>
    </row>
    <row r="81" spans="3:7" ht="15.6" x14ac:dyDescent="0.3">
      <c r="C81" s="128" t="s">
        <v>125</v>
      </c>
      <c r="D81" s="37">
        <v>1</v>
      </c>
      <c r="E81" s="37">
        <f>D33</f>
        <v>4</v>
      </c>
      <c r="F81" s="38">
        <f>D34</f>
        <v>25</v>
      </c>
      <c r="G81" s="37">
        <f>D35</f>
        <v>100</v>
      </c>
    </row>
    <row r="82" spans="3:7" ht="15.6" x14ac:dyDescent="0.3">
      <c r="C82" s="128"/>
      <c r="D82" s="37">
        <v>2</v>
      </c>
      <c r="E82" s="37">
        <f>E33</f>
        <v>1</v>
      </c>
      <c r="F82" s="37">
        <f>E34</f>
        <v>20</v>
      </c>
      <c r="G82" s="37">
        <f>E35</f>
        <v>20</v>
      </c>
    </row>
    <row r="83" spans="3:7" ht="15.6" x14ac:dyDescent="0.3">
      <c r="C83" s="128"/>
      <c r="D83" s="37">
        <v>3</v>
      </c>
      <c r="E83" s="37">
        <f>F33</f>
        <v>1</v>
      </c>
      <c r="F83" s="37">
        <f>F34</f>
        <v>20</v>
      </c>
      <c r="G83" s="37">
        <f>F35</f>
        <v>20</v>
      </c>
    </row>
    <row r="84" spans="3:7" ht="15.6" x14ac:dyDescent="0.3">
      <c r="C84" s="128"/>
      <c r="D84" s="37">
        <v>4</v>
      </c>
      <c r="E84" s="37">
        <f>G33</f>
        <v>2</v>
      </c>
      <c r="F84" s="37">
        <f>G34</f>
        <v>15</v>
      </c>
      <c r="G84" s="37">
        <f>G35</f>
        <v>30</v>
      </c>
    </row>
    <row r="85" spans="3:7" ht="15.6" x14ac:dyDescent="0.3">
      <c r="C85" s="128"/>
      <c r="D85" s="37">
        <v>5</v>
      </c>
      <c r="E85" s="37">
        <f>H33</f>
        <v>2</v>
      </c>
      <c r="F85" s="37">
        <f>H34</f>
        <v>10</v>
      </c>
      <c r="G85" s="37">
        <f>H35</f>
        <v>20</v>
      </c>
    </row>
    <row r="86" spans="3:7" ht="15.6" x14ac:dyDescent="0.3">
      <c r="C86" s="128"/>
      <c r="D86" s="37">
        <v>6</v>
      </c>
      <c r="E86" s="37">
        <f>I33</f>
        <v>5</v>
      </c>
      <c r="F86" s="37">
        <f>I34</f>
        <v>10</v>
      </c>
      <c r="G86" s="37">
        <f>I35</f>
        <v>50</v>
      </c>
    </row>
    <row r="87" spans="3:7" ht="15.6" x14ac:dyDescent="0.3">
      <c r="C87" s="88" t="s">
        <v>126</v>
      </c>
      <c r="D87" s="2">
        <v>1</v>
      </c>
      <c r="E87" s="2">
        <f>D54</f>
        <v>4</v>
      </c>
      <c r="F87" s="35">
        <f>D55</f>
        <v>25</v>
      </c>
      <c r="G87" s="2">
        <f>D56</f>
        <v>100</v>
      </c>
    </row>
    <row r="88" spans="3:7" ht="15.6" x14ac:dyDescent="0.3">
      <c r="C88" s="88"/>
      <c r="D88" s="2">
        <v>2</v>
      </c>
      <c r="E88" s="2">
        <f>E54</f>
        <v>1</v>
      </c>
      <c r="F88" s="2">
        <f>E55</f>
        <v>20</v>
      </c>
      <c r="G88" s="2">
        <f>E56</f>
        <v>20</v>
      </c>
    </row>
    <row r="89" spans="3:7" ht="15.6" x14ac:dyDescent="0.3">
      <c r="C89" s="88"/>
      <c r="D89" s="2">
        <v>3</v>
      </c>
      <c r="E89" s="2">
        <f>F54</f>
        <v>1</v>
      </c>
      <c r="F89" s="2">
        <f>F55</f>
        <v>20</v>
      </c>
      <c r="G89" s="2">
        <f>F56</f>
        <v>20</v>
      </c>
    </row>
    <row r="90" spans="3:7" ht="15.6" x14ac:dyDescent="0.3">
      <c r="C90" s="88"/>
      <c r="D90" s="2">
        <v>4</v>
      </c>
      <c r="E90" s="2">
        <f>G54</f>
        <v>6</v>
      </c>
      <c r="F90" s="2">
        <f>G55</f>
        <v>15</v>
      </c>
      <c r="G90" s="2">
        <f>G56</f>
        <v>90</v>
      </c>
    </row>
    <row r="91" spans="3:7" ht="15.6" x14ac:dyDescent="0.3">
      <c r="C91" s="88"/>
      <c r="D91" s="2">
        <v>5</v>
      </c>
      <c r="E91" s="2">
        <f>H54</f>
        <v>6</v>
      </c>
      <c r="F91" s="2">
        <f>H55</f>
        <v>10</v>
      </c>
      <c r="G91" s="2">
        <f>H56</f>
        <v>60</v>
      </c>
    </row>
    <row r="92" spans="3:7" ht="15.6" x14ac:dyDescent="0.3">
      <c r="C92" s="88"/>
      <c r="D92" s="2">
        <v>6</v>
      </c>
      <c r="E92" s="2">
        <f>I54</f>
        <v>3</v>
      </c>
      <c r="F92" s="2">
        <f>I55</f>
        <v>10</v>
      </c>
      <c r="G92" s="2">
        <f>I56</f>
        <v>30</v>
      </c>
    </row>
    <row r="93" spans="3:7" ht="15.6" x14ac:dyDescent="0.3">
      <c r="C93" s="128" t="s">
        <v>127</v>
      </c>
      <c r="D93" s="38">
        <v>1</v>
      </c>
      <c r="E93" s="37">
        <f>D75</f>
        <v>3</v>
      </c>
      <c r="F93" s="38">
        <f>D76</f>
        <v>25</v>
      </c>
      <c r="G93" s="37">
        <f>D77</f>
        <v>75</v>
      </c>
    </row>
    <row r="94" spans="3:7" ht="15.6" x14ac:dyDescent="0.3">
      <c r="C94" s="128"/>
      <c r="D94" s="37">
        <v>2</v>
      </c>
      <c r="E94" s="37">
        <f>E75</f>
        <v>2</v>
      </c>
      <c r="F94" s="37">
        <f>E76</f>
        <v>20</v>
      </c>
      <c r="G94" s="37">
        <f>E77</f>
        <v>40</v>
      </c>
    </row>
    <row r="95" spans="3:7" ht="15.6" x14ac:dyDescent="0.3">
      <c r="C95" s="128"/>
      <c r="D95" s="37">
        <v>3</v>
      </c>
      <c r="E95" s="37">
        <f>F75</f>
        <v>1</v>
      </c>
      <c r="F95" s="37">
        <f>F76</f>
        <v>20</v>
      </c>
      <c r="G95" s="37">
        <f>F77</f>
        <v>20</v>
      </c>
    </row>
    <row r="96" spans="3:7" ht="15.6" x14ac:dyDescent="0.3">
      <c r="C96" s="128"/>
      <c r="D96" s="37">
        <v>4</v>
      </c>
      <c r="E96" s="37">
        <f>G75</f>
        <v>1</v>
      </c>
      <c r="F96" s="37">
        <f>G76</f>
        <v>15</v>
      </c>
      <c r="G96" s="37">
        <f>G77</f>
        <v>15</v>
      </c>
    </row>
    <row r="97" spans="3:11" ht="15.6" x14ac:dyDescent="0.3">
      <c r="C97" s="128"/>
      <c r="D97" s="37">
        <v>5</v>
      </c>
      <c r="E97" s="37">
        <f>H75</f>
        <v>1</v>
      </c>
      <c r="F97" s="37">
        <f>H76</f>
        <v>10</v>
      </c>
      <c r="G97" s="37">
        <f>H77</f>
        <v>10</v>
      </c>
    </row>
    <row r="98" spans="3:11" ht="15.6" x14ac:dyDescent="0.3">
      <c r="C98" s="128"/>
      <c r="D98" s="37">
        <v>6</v>
      </c>
      <c r="E98" s="37">
        <f>I75</f>
        <v>2</v>
      </c>
      <c r="F98" s="37">
        <f>I76</f>
        <v>10</v>
      </c>
      <c r="G98" s="37">
        <f>I77</f>
        <v>20</v>
      </c>
    </row>
    <row r="99" spans="3:11" ht="15" customHeight="1" x14ac:dyDescent="0.3">
      <c r="C99" s="36"/>
    </row>
    <row r="101" spans="3:11" ht="15.6" x14ac:dyDescent="0.3">
      <c r="C101" s="130" t="s">
        <v>140</v>
      </c>
      <c r="D101" s="130"/>
    </row>
    <row r="102" spans="3:11" ht="15.6" x14ac:dyDescent="0.3">
      <c r="C102" s="88" t="s">
        <v>143</v>
      </c>
      <c r="D102" s="88" t="s">
        <v>145</v>
      </c>
      <c r="E102" s="88"/>
      <c r="F102" s="88"/>
      <c r="G102" s="88"/>
      <c r="H102" s="88"/>
      <c r="I102" s="88"/>
      <c r="J102" s="127" t="s">
        <v>146</v>
      </c>
      <c r="K102" s="127" t="s">
        <v>150</v>
      </c>
    </row>
    <row r="103" spans="3:11" ht="15.6" x14ac:dyDescent="0.3">
      <c r="C103" s="88"/>
      <c r="D103" s="2" t="s">
        <v>112</v>
      </c>
      <c r="E103" s="2" t="s">
        <v>113</v>
      </c>
      <c r="F103" s="2" t="s">
        <v>114</v>
      </c>
      <c r="G103" s="2" t="s">
        <v>115</v>
      </c>
      <c r="H103" s="2" t="s">
        <v>116</v>
      </c>
      <c r="I103" s="2" t="s">
        <v>129</v>
      </c>
      <c r="J103" s="88"/>
      <c r="K103" s="88"/>
    </row>
    <row r="104" spans="3:11" ht="15.6" x14ac:dyDescent="0.3">
      <c r="C104" s="2" t="s">
        <v>125</v>
      </c>
      <c r="D104" s="2">
        <f>D35</f>
        <v>100</v>
      </c>
      <c r="E104" s="2">
        <f t="shared" ref="E104:I104" si="38">E35</f>
        <v>20</v>
      </c>
      <c r="F104" s="2">
        <f t="shared" si="38"/>
        <v>20</v>
      </c>
      <c r="G104" s="2">
        <f t="shared" si="38"/>
        <v>30</v>
      </c>
      <c r="H104" s="2">
        <f t="shared" si="38"/>
        <v>20</v>
      </c>
      <c r="I104" s="2">
        <f t="shared" si="38"/>
        <v>50</v>
      </c>
      <c r="J104" s="2">
        <f>SUM(D104:I104)</f>
        <v>240</v>
      </c>
      <c r="K104" s="2">
        <v>0</v>
      </c>
    </row>
    <row r="105" spans="3:11" ht="15.6" x14ac:dyDescent="0.3">
      <c r="C105" s="2" t="s">
        <v>126</v>
      </c>
      <c r="D105" s="2">
        <f>D56</f>
        <v>100</v>
      </c>
      <c r="E105" s="2">
        <f t="shared" ref="E105:I105" si="39">E56</f>
        <v>20</v>
      </c>
      <c r="F105" s="2">
        <f t="shared" si="39"/>
        <v>20</v>
      </c>
      <c r="G105" s="2">
        <f t="shared" si="39"/>
        <v>90</v>
      </c>
      <c r="H105" s="2">
        <f t="shared" si="39"/>
        <v>60</v>
      </c>
      <c r="I105" s="2">
        <f t="shared" si="39"/>
        <v>30</v>
      </c>
      <c r="J105" s="2">
        <f t="shared" ref="J105:J106" si="40">SUM(D105:I105)</f>
        <v>320</v>
      </c>
      <c r="K105" s="26">
        <f>((J105-J104)/J104)*100</f>
        <v>33.333333333333329</v>
      </c>
    </row>
    <row r="106" spans="3:11" ht="15.6" x14ac:dyDescent="0.3">
      <c r="C106" s="2" t="s">
        <v>127</v>
      </c>
      <c r="D106" s="2">
        <f>D77</f>
        <v>75</v>
      </c>
      <c r="E106" s="2">
        <f t="shared" ref="E106:I106" si="41">E77</f>
        <v>40</v>
      </c>
      <c r="F106" s="2">
        <f t="shared" si="41"/>
        <v>20</v>
      </c>
      <c r="G106" s="2">
        <f t="shared" si="41"/>
        <v>15</v>
      </c>
      <c r="H106" s="2">
        <f t="shared" si="41"/>
        <v>10</v>
      </c>
      <c r="I106" s="2">
        <f t="shared" si="41"/>
        <v>20</v>
      </c>
      <c r="J106" s="2">
        <f t="shared" si="40"/>
        <v>180</v>
      </c>
      <c r="K106" s="26">
        <f>((J106-J105)/J105)*100</f>
        <v>-43.75</v>
      </c>
    </row>
    <row r="107" spans="3:11" ht="15.6" x14ac:dyDescent="0.3">
      <c r="C107" s="2" t="s">
        <v>144</v>
      </c>
      <c r="D107" s="26">
        <f>AVERAGE(D104:D106)</f>
        <v>91.666666666666671</v>
      </c>
      <c r="E107" s="26">
        <f t="shared" ref="E107:J107" si="42">AVERAGE(E104:E106)</f>
        <v>26.666666666666668</v>
      </c>
      <c r="F107" s="26">
        <f t="shared" si="42"/>
        <v>20</v>
      </c>
      <c r="G107" s="26">
        <f t="shared" si="42"/>
        <v>45</v>
      </c>
      <c r="H107" s="26">
        <f t="shared" si="42"/>
        <v>30</v>
      </c>
      <c r="I107" s="26">
        <f t="shared" si="42"/>
        <v>33.333333333333336</v>
      </c>
      <c r="J107" s="26">
        <f t="shared" si="42"/>
        <v>246.66666666666666</v>
      </c>
      <c r="K107" s="2"/>
    </row>
  </sheetData>
  <mergeCells count="45">
    <mergeCell ref="C8:D8"/>
    <mergeCell ref="C9:D9"/>
    <mergeCell ref="C6:D6"/>
    <mergeCell ref="C11:D11"/>
    <mergeCell ref="A25:B25"/>
    <mergeCell ref="C12:D13"/>
    <mergeCell ref="C14:D14"/>
    <mergeCell ref="C15:D15"/>
    <mergeCell ref="C7:D7"/>
    <mergeCell ref="C23:C32"/>
    <mergeCell ref="C16:D16"/>
    <mergeCell ref="D19:F19"/>
    <mergeCell ref="G19:I19"/>
    <mergeCell ref="J19:J21"/>
    <mergeCell ref="H12:H13"/>
    <mergeCell ref="I12:I13"/>
    <mergeCell ref="I36:J36"/>
    <mergeCell ref="C36:H36"/>
    <mergeCell ref="E12:E13"/>
    <mergeCell ref="F12:F13"/>
    <mergeCell ref="G12:G13"/>
    <mergeCell ref="J12:J13"/>
    <mergeCell ref="C18:D18"/>
    <mergeCell ref="C39:D39"/>
    <mergeCell ref="D40:F40"/>
    <mergeCell ref="G40:I40"/>
    <mergeCell ref="J40:J42"/>
    <mergeCell ref="C44:C53"/>
    <mergeCell ref="C57:H57"/>
    <mergeCell ref="I57:J57"/>
    <mergeCell ref="C60:D60"/>
    <mergeCell ref="D61:F61"/>
    <mergeCell ref="G61:I61"/>
    <mergeCell ref="J61:J63"/>
    <mergeCell ref="K102:K103"/>
    <mergeCell ref="C81:C86"/>
    <mergeCell ref="C87:C92"/>
    <mergeCell ref="C93:C98"/>
    <mergeCell ref="C65:C74"/>
    <mergeCell ref="C78:H78"/>
    <mergeCell ref="I78:J78"/>
    <mergeCell ref="C101:D101"/>
    <mergeCell ref="C102:C103"/>
    <mergeCell ref="D102:I102"/>
    <mergeCell ref="J102:J103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APC</vt:lpstr>
      <vt:lpstr>OMAX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Kiki</dc:creator>
  <cp:lastModifiedBy>acer aspire</cp:lastModifiedBy>
  <dcterms:created xsi:type="dcterms:W3CDTF">2023-10-24T03:19:24Z</dcterms:created>
  <dcterms:modified xsi:type="dcterms:W3CDTF">2024-01-28T06:32:56Z</dcterms:modified>
</cp:coreProperties>
</file>