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ONI\"/>
    </mc:Choice>
  </mc:AlternateContent>
  <xr:revisionPtr revIDLastSave="0" documentId="13_ncr:1_{6DD999D8-209B-4181-9654-ECF3D6A88598}" xr6:coauthVersionLast="47" xr6:coauthVersionMax="47" xr10:uidLastSave="{00000000-0000-0000-0000-000000000000}"/>
  <bookViews>
    <workbookView xWindow="2412" yWindow="2940" windowWidth="17280" windowHeight="8880" xr2:uid="{8B345388-B8F7-4721-8A16-42841FF20B6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1" i="1" l="1"/>
  <c r="M60" i="1"/>
  <c r="Q51" i="1"/>
  <c r="H53" i="1"/>
  <c r="G42" i="1"/>
  <c r="E42" i="1"/>
  <c r="C42" i="1"/>
  <c r="G41" i="1"/>
  <c r="E41" i="1"/>
  <c r="C41" i="1"/>
  <c r="G40" i="1"/>
  <c r="E40" i="1"/>
  <c r="C40" i="1"/>
  <c r="G39" i="1"/>
  <c r="E39" i="1"/>
  <c r="C39" i="1"/>
  <c r="G38" i="1"/>
  <c r="E38" i="1"/>
  <c r="C38" i="1"/>
  <c r="AO25" i="1"/>
  <c r="AL25" i="1"/>
  <c r="AN25" i="1" s="1"/>
  <c r="AM24" i="1"/>
  <c r="AM23" i="1"/>
  <c r="AM25" i="1" s="1"/>
  <c r="AM22" i="1"/>
  <c r="AM21" i="1"/>
  <c r="AR20" i="1"/>
  <c r="AM20" i="1"/>
  <c r="AR19" i="1"/>
  <c r="AM19" i="1"/>
  <c r="AM18" i="1"/>
  <c r="AM17" i="1"/>
  <c r="AM16" i="1"/>
  <c r="AM15" i="1"/>
  <c r="AF25" i="1"/>
  <c r="AD25" i="1"/>
  <c r="AC25" i="1"/>
  <c r="AD31" i="1" s="1"/>
  <c r="AD32" i="1" s="1"/>
  <c r="AD33" i="1" s="1"/>
  <c r="AE33" i="1" s="1"/>
  <c r="AD34" i="1" s="1"/>
  <c r="AD24" i="1"/>
  <c r="AD23" i="1"/>
  <c r="AD22" i="1"/>
  <c r="AD21" i="1"/>
  <c r="AI20" i="1"/>
  <c r="AD20" i="1"/>
  <c r="AI19" i="1"/>
  <c r="AD19" i="1"/>
  <c r="AD18" i="1"/>
  <c r="AD17" i="1"/>
  <c r="AD16" i="1"/>
  <c r="AD15" i="1"/>
  <c r="W25" i="1"/>
  <c r="U28" i="1" s="1"/>
  <c r="T25" i="1"/>
  <c r="U31" i="1" s="1"/>
  <c r="U32" i="1" s="1"/>
  <c r="U33" i="1" s="1"/>
  <c r="V33" i="1" s="1"/>
  <c r="U34" i="1" s="1"/>
  <c r="U24" i="1"/>
  <c r="U25" i="1" s="1"/>
  <c r="U23" i="1"/>
  <c r="U22" i="1"/>
  <c r="U21" i="1"/>
  <c r="Z20" i="1"/>
  <c r="U20" i="1"/>
  <c r="Z19" i="1"/>
  <c r="U19" i="1"/>
  <c r="U18" i="1"/>
  <c r="U17" i="1"/>
  <c r="U16" i="1"/>
  <c r="U15" i="1"/>
  <c r="N25" i="1"/>
  <c r="K25" i="1"/>
  <c r="L31" i="1" s="1"/>
  <c r="L32" i="1" s="1"/>
  <c r="L33" i="1" s="1"/>
  <c r="M33" i="1" s="1"/>
  <c r="L34" i="1" s="1"/>
  <c r="L24" i="1"/>
  <c r="L25" i="1" s="1"/>
  <c r="L23" i="1"/>
  <c r="L22" i="1"/>
  <c r="L21" i="1"/>
  <c r="Q20" i="1"/>
  <c r="L20" i="1"/>
  <c r="Q19" i="1"/>
  <c r="L19" i="1"/>
  <c r="L18" i="1"/>
  <c r="L17" i="1"/>
  <c r="L16" i="1"/>
  <c r="L15" i="1"/>
  <c r="E25" i="1"/>
  <c r="B25" i="1"/>
  <c r="C31" i="1" s="1"/>
  <c r="C32" i="1" s="1"/>
  <c r="C33" i="1" s="1"/>
  <c r="D33" i="1" s="1"/>
  <c r="C34" i="1" s="1"/>
  <c r="C24" i="1"/>
  <c r="C23" i="1"/>
  <c r="C22" i="1"/>
  <c r="C25" i="1" s="1"/>
  <c r="C21" i="1"/>
  <c r="H20" i="1"/>
  <c r="C20" i="1"/>
  <c r="H19" i="1"/>
  <c r="C19" i="1"/>
  <c r="C18" i="1"/>
  <c r="C17" i="1"/>
  <c r="C16" i="1"/>
  <c r="C15" i="1"/>
  <c r="O107" i="2"/>
  <c r="G119" i="2"/>
  <c r="G109" i="2"/>
  <c r="E112" i="2" s="1"/>
  <c r="D109" i="2"/>
  <c r="F109" i="2" s="1"/>
  <c r="E108" i="2"/>
  <c r="E107" i="2"/>
  <c r="E106" i="2"/>
  <c r="E105" i="2"/>
  <c r="J104" i="2"/>
  <c r="E104" i="2"/>
  <c r="J103" i="2"/>
  <c r="E103" i="2"/>
  <c r="E102" i="2"/>
  <c r="E101" i="2"/>
  <c r="E100" i="2"/>
  <c r="E99" i="2"/>
  <c r="E109" i="2" s="1"/>
  <c r="G86" i="2"/>
  <c r="D86" i="2"/>
  <c r="F86" i="2" s="1"/>
  <c r="E85" i="2"/>
  <c r="E84" i="2"/>
  <c r="E83" i="2"/>
  <c r="E82" i="2"/>
  <c r="J81" i="2"/>
  <c r="E81" i="2"/>
  <c r="J80" i="2"/>
  <c r="E80" i="2"/>
  <c r="E79" i="2"/>
  <c r="E78" i="2"/>
  <c r="E77" i="2"/>
  <c r="E76" i="2"/>
  <c r="G63" i="2"/>
  <c r="D63" i="2"/>
  <c r="E69" i="2" s="1"/>
  <c r="E70" i="2" s="1"/>
  <c r="E71" i="2" s="1"/>
  <c r="F71" i="2" s="1"/>
  <c r="E72" i="2" s="1"/>
  <c r="E62" i="2"/>
  <c r="E61" i="2"/>
  <c r="E60" i="2"/>
  <c r="E59" i="2"/>
  <c r="J58" i="2"/>
  <c r="E58" i="2"/>
  <c r="J57" i="2"/>
  <c r="E57" i="2"/>
  <c r="E56" i="2"/>
  <c r="E55" i="2"/>
  <c r="E54" i="2"/>
  <c r="E53" i="2"/>
  <c r="H43" i="2"/>
  <c r="D40" i="2"/>
  <c r="E46" i="2" s="1"/>
  <c r="E47" i="2" s="1"/>
  <c r="E48" i="2" s="1"/>
  <c r="F48" i="2" s="1"/>
  <c r="E49" i="2" s="1"/>
  <c r="E39" i="2"/>
  <c r="E36" i="2"/>
  <c r="E30" i="2"/>
  <c r="G40" i="2"/>
  <c r="E38" i="2"/>
  <c r="E37" i="2"/>
  <c r="J35" i="2"/>
  <c r="E35" i="2"/>
  <c r="J34" i="2"/>
  <c r="E34" i="2"/>
  <c r="E33" i="2"/>
  <c r="E32" i="2"/>
  <c r="E31" i="2"/>
  <c r="E25" i="2"/>
  <c r="J12" i="2"/>
  <c r="J11" i="2"/>
  <c r="H20" i="2"/>
  <c r="E20" i="2"/>
  <c r="AN27" i="1" l="1"/>
  <c r="AM27" i="1"/>
  <c r="AM28" i="1"/>
  <c r="AM30" i="1" s="1"/>
  <c r="AP28" i="1"/>
  <c r="AM31" i="1"/>
  <c r="AM32" i="1" s="1"/>
  <c r="AM33" i="1" s="1"/>
  <c r="AN33" i="1" s="1"/>
  <c r="AM34" i="1" s="1"/>
  <c r="AE25" i="1"/>
  <c r="AD27" i="1" s="1"/>
  <c r="AD28" i="1"/>
  <c r="AD30" i="1" s="1"/>
  <c r="AG28" i="1"/>
  <c r="AD29" i="1"/>
  <c r="U27" i="1"/>
  <c r="V25" i="1"/>
  <c r="V27" i="1" s="1"/>
  <c r="U29" i="1"/>
  <c r="U30" i="1"/>
  <c r="X28" i="1"/>
  <c r="O28" i="1"/>
  <c r="M25" i="1"/>
  <c r="L27" i="1" s="1"/>
  <c r="L28" i="1"/>
  <c r="L29" i="1" s="1"/>
  <c r="C30" i="1"/>
  <c r="D25" i="1"/>
  <c r="D27" i="1" s="1"/>
  <c r="C28" i="1"/>
  <c r="F28" i="1"/>
  <c r="C29" i="1"/>
  <c r="E115" i="2"/>
  <c r="E116" i="2" s="1"/>
  <c r="E117" i="2" s="1"/>
  <c r="F117" i="2" s="1"/>
  <c r="E118" i="2" s="1"/>
  <c r="F111" i="2"/>
  <c r="E111" i="2"/>
  <c r="H112" i="2"/>
  <c r="E113" i="2"/>
  <c r="E114" i="2"/>
  <c r="E86" i="2"/>
  <c r="E92" i="2"/>
  <c r="E93" i="2" s="1"/>
  <c r="E94" i="2" s="1"/>
  <c r="F94" i="2" s="1"/>
  <c r="E95" i="2" s="1"/>
  <c r="F88" i="2"/>
  <c r="E88" i="2"/>
  <c r="E89" i="2"/>
  <c r="E91" i="2" s="1"/>
  <c r="H89" i="2"/>
  <c r="E63" i="2"/>
  <c r="F63" i="2"/>
  <c r="E66" i="2"/>
  <c r="E67" i="2" s="1"/>
  <c r="H66" i="2"/>
  <c r="E40" i="2"/>
  <c r="F40" i="2"/>
  <c r="E43" i="2"/>
  <c r="E45" i="2" s="1"/>
  <c r="E23" i="2"/>
  <c r="F19" i="2"/>
  <c r="E19" i="2"/>
  <c r="G17" i="2"/>
  <c r="E17" i="2"/>
  <c r="E8" i="2"/>
  <c r="E9" i="2"/>
  <c r="E10" i="2"/>
  <c r="E11" i="2"/>
  <c r="E12" i="2"/>
  <c r="E13" i="2"/>
  <c r="E14" i="2"/>
  <c r="E15" i="2"/>
  <c r="E16" i="2"/>
  <c r="D17" i="2"/>
  <c r="E7" i="2"/>
  <c r="AM29" i="1" l="1"/>
  <c r="AE27" i="1"/>
  <c r="M27" i="1"/>
  <c r="L30" i="1"/>
  <c r="C27" i="1"/>
  <c r="E90" i="2"/>
  <c r="F65" i="2"/>
  <c r="E68" i="2"/>
  <c r="E65" i="2"/>
  <c r="E42" i="2"/>
  <c r="F42" i="2"/>
  <c r="E44" i="2"/>
  <c r="F17" i="2"/>
  <c r="E22" i="2"/>
  <c r="E24" i="2" l="1"/>
  <c r="F25" i="2" s="1"/>
  <c r="E26" i="2" s="1"/>
  <c r="E21" i="2"/>
  <c r="K12" i="1" l="1"/>
  <c r="J12" i="1"/>
  <c r="I12" i="1"/>
  <c r="H12" i="1"/>
  <c r="G12" i="1"/>
  <c r="C12" i="1"/>
  <c r="D12" i="1"/>
  <c r="E12" i="1"/>
  <c r="F12" i="1"/>
  <c r="B12" i="1"/>
  <c r="Q56" i="1"/>
  <c r="P56" i="1"/>
  <c r="P49" i="1"/>
  <c r="P50" i="1"/>
  <c r="P51" i="1"/>
  <c r="P52" i="1"/>
  <c r="O49" i="1"/>
  <c r="O50" i="1"/>
  <c r="O51" i="1"/>
  <c r="O52" i="1"/>
  <c r="P48" i="1"/>
  <c r="O48" i="1"/>
  <c r="Q52" i="1"/>
  <c r="Q50" i="1"/>
  <c r="Q49" i="1"/>
  <c r="Q48" i="1"/>
  <c r="X12" i="1"/>
  <c r="AB3" i="1" s="1"/>
  <c r="AB4" i="1" s="1"/>
  <c r="AB6" i="1" s="1"/>
  <c r="S7" i="1"/>
  <c r="F40" i="1" s="1"/>
  <c r="L6" i="1"/>
  <c r="J8" i="1" s="1"/>
  <c r="R49" i="1" l="1"/>
  <c r="R50" i="1"/>
  <c r="R56" i="1"/>
  <c r="D42" i="1"/>
  <c r="D39" i="1"/>
  <c r="D38" i="1"/>
  <c r="D40" i="1"/>
  <c r="D41" i="1"/>
  <c r="G50" i="1"/>
  <c r="G51" i="1"/>
  <c r="G52" i="1"/>
  <c r="G49" i="1"/>
  <c r="G48" i="1"/>
  <c r="R51" i="1"/>
  <c r="F38" i="1"/>
  <c r="F39" i="1"/>
  <c r="R48" i="1"/>
  <c r="F42" i="1"/>
  <c r="F41" i="1"/>
  <c r="R52" i="1"/>
  <c r="E48" i="1" l="1"/>
  <c r="F48" i="1" s="1"/>
  <c r="H48" i="1" s="1"/>
  <c r="E52" i="1"/>
  <c r="F52" i="1" s="1"/>
  <c r="H52" i="1" s="1"/>
  <c r="E51" i="1"/>
  <c r="F51" i="1" s="1"/>
  <c r="H51" i="1" s="1"/>
  <c r="E50" i="1" l="1"/>
  <c r="F50" i="1" s="1"/>
  <c r="H50" i="1" s="1"/>
  <c r="E49" i="1"/>
  <c r="F49" i="1" s="1"/>
  <c r="H49" i="1" s="1"/>
  <c r="G43" i="1" l="1"/>
</calcChain>
</file>

<file path=xl/sharedStrings.xml><?xml version="1.0" encoding="utf-8"?>
<sst xmlns="http://schemas.openxmlformats.org/spreadsheetml/2006/main" count="316" uniqueCount="117">
  <si>
    <t>no</t>
  </si>
  <si>
    <t>BKA</t>
  </si>
  <si>
    <t>BKB</t>
  </si>
  <si>
    <t>k</t>
  </si>
  <si>
    <t>pemotongan</t>
  </si>
  <si>
    <t>jahit</t>
  </si>
  <si>
    <t>penempelan</t>
  </si>
  <si>
    <t>finishing</t>
  </si>
  <si>
    <t>packing</t>
  </si>
  <si>
    <t>Pengukuran ke-</t>
  </si>
  <si>
    <t>WS</t>
  </si>
  <si>
    <t>Faktor</t>
  </si>
  <si>
    <t>Kelas</t>
  </si>
  <si>
    <t>Simbol</t>
  </si>
  <si>
    <t>Penyesuaian</t>
  </si>
  <si>
    <t>Keterampilan</t>
  </si>
  <si>
    <t>Baik</t>
  </si>
  <si>
    <t>C1</t>
  </si>
  <si>
    <t>Usaha</t>
  </si>
  <si>
    <t>Kondisi Kerja</t>
  </si>
  <si>
    <t>C</t>
  </si>
  <si>
    <t>Konsistensi</t>
  </si>
  <si>
    <t>total</t>
  </si>
  <si>
    <t>performance rating=</t>
  </si>
  <si>
    <t>No</t>
  </si>
  <si>
    <t>Faktor-Faktor Yang Berpengaruh</t>
  </si>
  <si>
    <t>Kelonggaran</t>
  </si>
  <si>
    <t>Sholat</t>
  </si>
  <si>
    <t>Buang Air Kecil</t>
  </si>
  <si>
    <t>Buang Air Besar</t>
  </si>
  <si>
    <t>Makan dan Minum Ringan</t>
  </si>
  <si>
    <t>Komunikasi dengan Atasan</t>
  </si>
  <si>
    <t>Pemotongan</t>
  </si>
  <si>
    <t>rekapitulasi data</t>
  </si>
  <si>
    <t>Proses produksi</t>
  </si>
  <si>
    <t>Ws (menit)</t>
  </si>
  <si>
    <t>PR (Perfomance Rating)</t>
  </si>
  <si>
    <t>Wn (menit)</t>
  </si>
  <si>
    <t>Allowance</t>
  </si>
  <si>
    <t>Wb (menit)</t>
  </si>
  <si>
    <t>Total</t>
  </si>
  <si>
    <t>jumlah hari kerja dan libur perusahaan tahun 2022</t>
  </si>
  <si>
    <t>perhitungan</t>
  </si>
  <si>
    <t>jumlah</t>
  </si>
  <si>
    <t>satuan</t>
  </si>
  <si>
    <t>1 hari</t>
  </si>
  <si>
    <t>jam</t>
  </si>
  <si>
    <t>1 minggu</t>
  </si>
  <si>
    <t>hari</t>
  </si>
  <si>
    <t>1 bulan</t>
  </si>
  <si>
    <t>1 tahun</t>
  </si>
  <si>
    <t>overtime</t>
  </si>
  <si>
    <t>hari libur</t>
  </si>
  <si>
    <t>libur nasional</t>
  </si>
  <si>
    <t>libur akhir minggu</t>
  </si>
  <si>
    <t>cuti tahunan</t>
  </si>
  <si>
    <t>total hari libur</t>
  </si>
  <si>
    <t>hari kerja 2022</t>
  </si>
  <si>
    <t>jam kerja/tahun</t>
  </si>
  <si>
    <t>efektivitas kerja</t>
  </si>
  <si>
    <t>%</t>
  </si>
  <si>
    <t>kelonggaran</t>
  </si>
  <si>
    <t>total jam efektif/tahun</t>
  </si>
  <si>
    <t>pengukuran beban kerja dengan metode FTE</t>
  </si>
  <si>
    <t>nama kegiatan</t>
  </si>
  <si>
    <t>intensitas</t>
  </si>
  <si>
    <t>frekuensi</t>
  </si>
  <si>
    <t>waktu normal (wn)</t>
  </si>
  <si>
    <t>total jam/tahun</t>
  </si>
  <si>
    <t>FTE</t>
  </si>
  <si>
    <t>jam efektif/tahun</t>
  </si>
  <si>
    <t>harian</t>
  </si>
  <si>
    <t>semua proses masih di bawah ketetapan full time equivalent sebesar 1,28 jadi tidak perlu melakukan perbaikan penurunan beban kerja</t>
  </si>
  <si>
    <t>data denyut jantung</t>
  </si>
  <si>
    <t>nama</t>
  </si>
  <si>
    <t xml:space="preserve">Jenis kelamin </t>
  </si>
  <si>
    <t>Usia (tahun)</t>
  </si>
  <si>
    <t>Denyut nadi kerja</t>
  </si>
  <si>
    <t>Denyut nadi istirahat</t>
  </si>
  <si>
    <t>Putri</t>
  </si>
  <si>
    <t>Perempuan</t>
  </si>
  <si>
    <t>Adven</t>
  </si>
  <si>
    <t>Laki-laki</t>
  </si>
  <si>
    <t>Retno</t>
  </si>
  <si>
    <t>perempuan</t>
  </si>
  <si>
    <t>Ryan</t>
  </si>
  <si>
    <t>Lestari</t>
  </si>
  <si>
    <t>MEAD</t>
  </si>
  <si>
    <t>denyut nadi max</t>
  </si>
  <si>
    <t>%CVL</t>
  </si>
  <si>
    <t>kelelahan terindikasi terjadi pada narasumber/pekerja 5 dimana nilai cvlnya lebih dari 30%</t>
  </si>
  <si>
    <t>penentuan konsumsi energi</t>
  </si>
  <si>
    <t>Nama</t>
  </si>
  <si>
    <t>Jenis Kelamin</t>
  </si>
  <si>
    <t>kkal/menit</t>
  </si>
  <si>
    <t>Et (energi kerja)</t>
  </si>
  <si>
    <t>Ei (energi istirahat</t>
  </si>
  <si>
    <t>Xt (denyut nadi kerja)</t>
  </si>
  <si>
    <t>Xi (denyut nadi istirahat)</t>
  </si>
  <si>
    <t>waktu kebutuhan istirahat</t>
  </si>
  <si>
    <t>S wanita</t>
  </si>
  <si>
    <t>R (kebutuhan waktu istirahat)</t>
  </si>
  <si>
    <t>menit</t>
  </si>
  <si>
    <t>K (konsumsi energi)</t>
  </si>
  <si>
    <t>penambahan waktu istirahat</t>
  </si>
  <si>
    <t>di bagian packing</t>
  </si>
  <si>
    <t>X^2</t>
  </si>
  <si>
    <r>
      <t>(</t>
    </r>
    <r>
      <rPr>
        <sz val="11"/>
        <color theme="1"/>
        <rFont val="Calibri"/>
        <family val="2"/>
      </rPr>
      <t>∑x)^2</t>
    </r>
  </si>
  <si>
    <t>PR</t>
  </si>
  <si>
    <t>s</t>
  </si>
  <si>
    <t>allowance</t>
  </si>
  <si>
    <t>kecukupan data</t>
  </si>
  <si>
    <t>standar deviasi</t>
  </si>
  <si>
    <t>WN</t>
  </si>
  <si>
    <t>WB</t>
  </si>
  <si>
    <t>OS</t>
  </si>
  <si>
    <t xml:space="preserve">jahit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</si>
</sst>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ill="1" applyBorder="1"/>
    <xf numFmtId="0" fontId="0" fillId="0" borderId="1" xfId="0" applyBorder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2" fontId="0" fillId="0" borderId="0" xfId="0" applyNumberFormat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9" fontId="0" fillId="0" borderId="0" xfId="0" applyNumberFormat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" fontId="0" fillId="0" borderId="1" xfId="0" applyNumberFormat="1" applyBorder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/>
    <xf numFmtId="165" fontId="3" fillId="0" borderId="1" xfId="0" applyNumberFormat="1" applyFont="1" applyBorder="1"/>
    <xf numFmtId="165" fontId="0" fillId="0" borderId="1" xfId="0" applyNumberFormat="1" applyBorder="1"/>
    <xf numFmtId="0" fontId="4" fillId="0" borderId="1" xfId="0" applyFont="1" applyBorder="1"/>
    <xf numFmtId="165" fontId="0" fillId="0" borderId="0" xfId="0" applyNumberFormat="1"/>
    <xf numFmtId="166" fontId="0" fillId="0" borderId="0" xfId="0" applyNumberFormat="1"/>
    <xf numFmtId="2" fontId="3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Border="1"/>
    <xf numFmtId="2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wrapText="1"/>
    </xf>
    <xf numFmtId="2" fontId="0" fillId="2" borderId="1" xfId="0" applyNumberFormat="1" applyFill="1" applyBorder="1"/>
    <xf numFmtId="2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252412</xdr:colOff>
      <xdr:row>13</xdr:row>
      <xdr:rowOff>28575</xdr:rowOff>
    </xdr:from>
    <xdr:ext cx="112467" cy="1751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82E472C-F92C-45F3-B46D-AB332378DE41}"/>
                </a:ext>
              </a:extLst>
            </xdr:cNvPr>
            <xdr:cNvSpPr txBox="1"/>
          </xdr:nvSpPr>
          <xdr:spPr>
            <a:xfrm>
              <a:off x="5243512" y="94297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82E472C-F92C-45F3-B46D-AB332378DE41}"/>
                </a:ext>
              </a:extLst>
            </xdr:cNvPr>
            <xdr:cNvSpPr txBox="1"/>
          </xdr:nvSpPr>
          <xdr:spPr>
            <a:xfrm>
              <a:off x="5243512" y="94297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252412</xdr:colOff>
      <xdr:row>13</xdr:row>
      <xdr:rowOff>28575</xdr:rowOff>
    </xdr:from>
    <xdr:ext cx="112467" cy="1751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96C1D4DE-6AC7-40A9-A1D8-2BEF4562E915}"/>
                </a:ext>
              </a:extLst>
            </xdr:cNvPr>
            <xdr:cNvSpPr txBox="1"/>
          </xdr:nvSpPr>
          <xdr:spPr>
            <a:xfrm>
              <a:off x="5243512" y="514921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96C1D4DE-6AC7-40A9-A1D8-2BEF4562E915}"/>
                </a:ext>
              </a:extLst>
            </xdr:cNvPr>
            <xdr:cNvSpPr txBox="1"/>
          </xdr:nvSpPr>
          <xdr:spPr>
            <a:xfrm>
              <a:off x="5243512" y="514921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22</xdr:col>
      <xdr:colOff>252412</xdr:colOff>
      <xdr:row>13</xdr:row>
      <xdr:rowOff>28575</xdr:rowOff>
    </xdr:from>
    <xdr:ext cx="112467" cy="1751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70BBA2F2-B1CD-4703-BE7A-A037994D7365}"/>
                </a:ext>
              </a:extLst>
            </xdr:cNvPr>
            <xdr:cNvSpPr txBox="1"/>
          </xdr:nvSpPr>
          <xdr:spPr>
            <a:xfrm>
              <a:off x="5243512" y="935545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70BBA2F2-B1CD-4703-BE7A-A037994D7365}"/>
                </a:ext>
              </a:extLst>
            </xdr:cNvPr>
            <xdr:cNvSpPr txBox="1"/>
          </xdr:nvSpPr>
          <xdr:spPr>
            <a:xfrm>
              <a:off x="5243512" y="935545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31</xdr:col>
      <xdr:colOff>252412</xdr:colOff>
      <xdr:row>13</xdr:row>
      <xdr:rowOff>28575</xdr:rowOff>
    </xdr:from>
    <xdr:ext cx="112467" cy="1751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C0BEBAF2-1168-4FFB-926B-FE45B57CADF4}"/>
                </a:ext>
              </a:extLst>
            </xdr:cNvPr>
            <xdr:cNvSpPr txBox="1"/>
          </xdr:nvSpPr>
          <xdr:spPr>
            <a:xfrm>
              <a:off x="5243512" y="1356169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C0BEBAF2-1168-4FFB-926B-FE45B57CADF4}"/>
                </a:ext>
              </a:extLst>
            </xdr:cNvPr>
            <xdr:cNvSpPr txBox="1"/>
          </xdr:nvSpPr>
          <xdr:spPr>
            <a:xfrm>
              <a:off x="5243512" y="1356169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40</xdr:col>
      <xdr:colOff>252412</xdr:colOff>
      <xdr:row>13</xdr:row>
      <xdr:rowOff>28575</xdr:rowOff>
    </xdr:from>
    <xdr:ext cx="112467" cy="1751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2C0D4D8F-A278-4B8E-BEA3-831BF6031737}"/>
                </a:ext>
              </a:extLst>
            </xdr:cNvPr>
            <xdr:cNvSpPr txBox="1"/>
          </xdr:nvSpPr>
          <xdr:spPr>
            <a:xfrm>
              <a:off x="5243512" y="177679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2C0D4D8F-A278-4B8E-BEA3-831BF6031737}"/>
                </a:ext>
              </a:extLst>
            </xdr:cNvPr>
            <xdr:cNvSpPr txBox="1"/>
          </xdr:nvSpPr>
          <xdr:spPr>
            <a:xfrm>
              <a:off x="5243512" y="1776793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252412</xdr:colOff>
      <xdr:row>5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80C2C18-3577-4CFE-BB39-FF1B64EB50E6}"/>
                </a:ext>
              </a:extLst>
            </xdr:cNvPr>
            <xdr:cNvSpPr txBox="1"/>
          </xdr:nvSpPr>
          <xdr:spPr>
            <a:xfrm>
              <a:off x="5058727" y="388620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80C2C18-3577-4CFE-BB39-FF1B64EB50E6}"/>
                </a:ext>
              </a:extLst>
            </xdr:cNvPr>
            <xdr:cNvSpPr txBox="1"/>
          </xdr:nvSpPr>
          <xdr:spPr>
            <a:xfrm>
              <a:off x="5058727" y="388620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252412</xdr:colOff>
      <xdr:row>28</xdr:row>
      <xdr:rowOff>28575</xdr:rowOff>
    </xdr:from>
    <xdr:ext cx="112467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7D0A3702-1EAE-4305-994D-622E5D465C1C}"/>
                </a:ext>
              </a:extLst>
            </xdr:cNvPr>
            <xdr:cNvSpPr txBox="1"/>
          </xdr:nvSpPr>
          <xdr:spPr>
            <a:xfrm>
              <a:off x="5240048" y="98107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7D0A3702-1EAE-4305-994D-622E5D465C1C}"/>
                </a:ext>
              </a:extLst>
            </xdr:cNvPr>
            <xdr:cNvSpPr txBox="1"/>
          </xdr:nvSpPr>
          <xdr:spPr>
            <a:xfrm>
              <a:off x="5240048" y="981075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252412</xdr:colOff>
      <xdr:row>51</xdr:row>
      <xdr:rowOff>28575</xdr:rowOff>
    </xdr:from>
    <xdr:ext cx="112467" cy="1751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FE816467-06AA-421E-9024-A31B76F80407}"/>
                </a:ext>
              </a:extLst>
            </xdr:cNvPr>
            <xdr:cNvSpPr txBox="1"/>
          </xdr:nvSpPr>
          <xdr:spPr>
            <a:xfrm>
              <a:off x="5243940" y="5062912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FE816467-06AA-421E-9024-A31B76F80407}"/>
                </a:ext>
              </a:extLst>
            </xdr:cNvPr>
            <xdr:cNvSpPr txBox="1"/>
          </xdr:nvSpPr>
          <xdr:spPr>
            <a:xfrm>
              <a:off x="5243940" y="5062912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252412</xdr:colOff>
      <xdr:row>74</xdr:row>
      <xdr:rowOff>28575</xdr:rowOff>
    </xdr:from>
    <xdr:ext cx="112467" cy="1751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D8B39881-C59E-42EC-A612-DA664AD2D907}"/>
                </a:ext>
              </a:extLst>
            </xdr:cNvPr>
            <xdr:cNvSpPr txBox="1"/>
          </xdr:nvSpPr>
          <xdr:spPr>
            <a:xfrm>
              <a:off x="5243940" y="9198260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D8B39881-C59E-42EC-A612-DA664AD2D907}"/>
                </a:ext>
              </a:extLst>
            </xdr:cNvPr>
            <xdr:cNvSpPr txBox="1"/>
          </xdr:nvSpPr>
          <xdr:spPr>
            <a:xfrm>
              <a:off x="5243940" y="9198260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252412</xdr:colOff>
      <xdr:row>97</xdr:row>
      <xdr:rowOff>28575</xdr:rowOff>
    </xdr:from>
    <xdr:ext cx="112467" cy="1751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FE25C2B9-8635-417D-B081-2739A2990E81}"/>
                </a:ext>
              </a:extLst>
            </xdr:cNvPr>
            <xdr:cNvSpPr txBox="1"/>
          </xdr:nvSpPr>
          <xdr:spPr>
            <a:xfrm>
              <a:off x="5243940" y="13333609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FE25C2B9-8635-417D-B081-2739A2990E81}"/>
                </a:ext>
              </a:extLst>
            </xdr:cNvPr>
            <xdr:cNvSpPr txBox="1"/>
          </xdr:nvSpPr>
          <xdr:spPr>
            <a:xfrm>
              <a:off x="5243940" y="13333609"/>
              <a:ext cx="112467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X ̅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D7493-0300-4EF0-BA92-6BFDBFBBC515}">
  <dimension ref="A1:AR63"/>
  <sheetViews>
    <sheetView tabSelected="1" topLeftCell="K49" zoomScale="72" zoomScaleNormal="140" workbookViewId="0">
      <selection activeCell="M61" sqref="M61"/>
    </sheetView>
  </sheetViews>
  <sheetFormatPr defaultRowHeight="14.4" x14ac:dyDescent="0.3"/>
  <cols>
    <col min="1" max="1" width="6.109375" customWidth="1"/>
    <col min="2" max="2" width="14.6640625" bestFit="1" customWidth="1"/>
    <col min="3" max="3" width="10.109375" bestFit="1" customWidth="1"/>
    <col min="4" max="4" width="11.6640625" bestFit="1" customWidth="1"/>
    <col min="5" max="5" width="8.5546875" bestFit="1" customWidth="1"/>
    <col min="6" max="7" width="10" bestFit="1" customWidth="1"/>
    <col min="8" max="8" width="14.6640625" bestFit="1" customWidth="1"/>
    <col min="9" max="9" width="40.5546875" bestFit="1" customWidth="1"/>
    <col min="10" max="10" width="7.5546875" bestFit="1" customWidth="1"/>
    <col min="11" max="11" width="14.6640625" bestFit="1" customWidth="1"/>
    <col min="12" max="12" width="23.88671875" bestFit="1" customWidth="1"/>
    <col min="13" max="13" width="12.88671875" bestFit="1" customWidth="1"/>
    <col min="14" max="14" width="10.109375" bestFit="1" customWidth="1"/>
    <col min="15" max="15" width="9.33203125" bestFit="1" customWidth="1"/>
    <col min="16" max="17" width="12.88671875" bestFit="1" customWidth="1"/>
    <col min="18" max="18" width="25" bestFit="1" customWidth="1"/>
    <col min="19" max="19" width="30.6640625" bestFit="1" customWidth="1"/>
    <col min="20" max="20" width="14.6640625" bestFit="1" customWidth="1"/>
    <col min="21" max="21" width="10.109375" bestFit="1" customWidth="1"/>
    <col min="22" max="22" width="11.21875" bestFit="1" customWidth="1"/>
    <col min="23" max="23" width="46.21875" bestFit="1" customWidth="1"/>
    <col min="24" max="24" width="8" bestFit="1" customWidth="1"/>
    <col min="25" max="25" width="10" bestFit="1" customWidth="1"/>
    <col min="26" max="26" width="12.88671875" bestFit="1" customWidth="1"/>
    <col min="27" max="27" width="20.44140625" bestFit="1" customWidth="1"/>
    <col min="28" max="28" width="7.109375" bestFit="1" customWidth="1"/>
    <col min="29" max="29" width="14.6640625" bestFit="1" customWidth="1"/>
    <col min="30" max="30" width="11.5546875" bestFit="1" customWidth="1"/>
    <col min="31" max="31" width="11.21875" bestFit="1" customWidth="1"/>
    <col min="32" max="32" width="5.77734375" bestFit="1" customWidth="1"/>
    <col min="33" max="33" width="8" bestFit="1" customWidth="1"/>
    <col min="34" max="34" width="18.21875" bestFit="1" customWidth="1"/>
    <col min="35" max="35" width="12.88671875" bestFit="1" customWidth="1"/>
    <col min="36" max="36" width="11.6640625" bestFit="1" customWidth="1"/>
    <col min="37" max="37" width="16.44140625" bestFit="1" customWidth="1"/>
    <col min="38" max="38" width="19.21875" bestFit="1" customWidth="1"/>
    <col min="39" max="39" width="10.109375" bestFit="1" customWidth="1"/>
    <col min="40" max="40" width="11.21875" bestFit="1" customWidth="1"/>
    <col min="41" max="41" width="5.77734375" bestFit="1" customWidth="1"/>
    <col min="42" max="42" width="8" bestFit="1" customWidth="1"/>
    <col min="43" max="43" width="10" bestFit="1" customWidth="1"/>
    <col min="44" max="44" width="12.88671875" bestFit="1" customWidth="1"/>
  </cols>
  <sheetData>
    <row r="1" spans="1:44" ht="39" customHeight="1" x14ac:dyDescent="0.3">
      <c r="A1" s="1" t="s">
        <v>9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H1" s="2"/>
      <c r="I1" s="5" t="s">
        <v>11</v>
      </c>
      <c r="J1" s="6" t="s">
        <v>12</v>
      </c>
      <c r="K1" s="6" t="s">
        <v>13</v>
      </c>
      <c r="L1" s="6" t="s">
        <v>14</v>
      </c>
      <c r="M1" s="7"/>
      <c r="O1" s="2"/>
      <c r="P1" s="7"/>
      <c r="Q1" s="6" t="s">
        <v>24</v>
      </c>
      <c r="R1" s="5" t="s">
        <v>25</v>
      </c>
      <c r="S1" s="6" t="s">
        <v>26</v>
      </c>
      <c r="T1" s="7"/>
      <c r="U1" s="4"/>
      <c r="W1" t="s">
        <v>41</v>
      </c>
      <c r="AD1" t="s">
        <v>61</v>
      </c>
      <c r="AE1" s="13">
        <v>0.2</v>
      </c>
      <c r="AH1" t="s">
        <v>73</v>
      </c>
    </row>
    <row r="2" spans="1:44" ht="31.5" customHeight="1" x14ac:dyDescent="0.3">
      <c r="A2" s="2">
        <v>1</v>
      </c>
      <c r="B2" s="2">
        <v>15.67</v>
      </c>
      <c r="C2" s="2">
        <v>26.45</v>
      </c>
      <c r="D2" s="2">
        <v>15.78</v>
      </c>
      <c r="E2" s="2">
        <v>15.04</v>
      </c>
      <c r="F2" s="2">
        <v>14.32</v>
      </c>
      <c r="H2" s="2"/>
      <c r="I2" s="5" t="s">
        <v>15</v>
      </c>
      <c r="J2" s="6" t="s">
        <v>16</v>
      </c>
      <c r="K2" s="6" t="s">
        <v>17</v>
      </c>
      <c r="L2" s="6">
        <v>0.06</v>
      </c>
      <c r="M2" s="7"/>
      <c r="O2" s="2"/>
      <c r="P2" s="7"/>
      <c r="Q2" s="6">
        <v>1</v>
      </c>
      <c r="R2" s="5" t="s">
        <v>27</v>
      </c>
      <c r="S2" s="6">
        <v>3.125</v>
      </c>
      <c r="T2" s="7"/>
      <c r="U2" s="4"/>
      <c r="W2" s="2" t="s">
        <v>42</v>
      </c>
      <c r="X2" s="2" t="s">
        <v>43</v>
      </c>
      <c r="Y2" s="2" t="s">
        <v>44</v>
      </c>
      <c r="AA2" s="2" t="s">
        <v>42</v>
      </c>
      <c r="AB2" s="2" t="s">
        <v>43</v>
      </c>
      <c r="AC2" s="2" t="s">
        <v>44</v>
      </c>
      <c r="AH2" s="15" t="s">
        <v>74</v>
      </c>
      <c r="AI2" s="15" t="s">
        <v>75</v>
      </c>
      <c r="AJ2" s="15" t="s">
        <v>76</v>
      </c>
      <c r="AK2" s="15" t="s">
        <v>77</v>
      </c>
      <c r="AL2" s="15" t="s">
        <v>78</v>
      </c>
    </row>
    <row r="3" spans="1:44" ht="31.2" x14ac:dyDescent="0.3">
      <c r="A3" s="2">
        <v>2</v>
      </c>
      <c r="B3" s="2">
        <v>15.45</v>
      </c>
      <c r="C3" s="2">
        <v>27.82</v>
      </c>
      <c r="D3" s="2">
        <v>14.7</v>
      </c>
      <c r="E3" s="2">
        <v>14.72</v>
      </c>
      <c r="F3" s="2">
        <v>14.28</v>
      </c>
      <c r="H3" s="2"/>
      <c r="I3" s="5" t="s">
        <v>18</v>
      </c>
      <c r="J3" s="6" t="s">
        <v>16</v>
      </c>
      <c r="K3" s="6" t="s">
        <v>17</v>
      </c>
      <c r="L3" s="6">
        <v>0.05</v>
      </c>
      <c r="M3" s="7"/>
      <c r="O3" s="2"/>
      <c r="P3" s="7"/>
      <c r="Q3" s="6">
        <v>2</v>
      </c>
      <c r="R3" s="5" t="s">
        <v>28</v>
      </c>
      <c r="S3" s="6">
        <v>2.0830000000000002</v>
      </c>
      <c r="T3" s="7"/>
      <c r="U3" s="4"/>
      <c r="W3" s="2" t="s">
        <v>45</v>
      </c>
      <c r="X3" s="2">
        <v>7</v>
      </c>
      <c r="Y3" s="2" t="s">
        <v>46</v>
      </c>
      <c r="AA3" s="2" t="s">
        <v>57</v>
      </c>
      <c r="AB3" s="2">
        <f>X6-X12</f>
        <v>286</v>
      </c>
      <c r="AC3" s="2" t="s">
        <v>48</v>
      </c>
      <c r="AH3" s="15" t="s">
        <v>79</v>
      </c>
      <c r="AI3" s="15" t="s">
        <v>80</v>
      </c>
      <c r="AJ3" s="15">
        <v>20</v>
      </c>
      <c r="AK3" s="15">
        <v>108</v>
      </c>
      <c r="AL3" s="15">
        <v>82</v>
      </c>
    </row>
    <row r="4" spans="1:44" ht="31.5" customHeight="1" x14ac:dyDescent="0.3">
      <c r="A4" s="2">
        <v>3</v>
      </c>
      <c r="B4" s="2">
        <v>15.36</v>
      </c>
      <c r="C4" s="2">
        <v>28.36</v>
      </c>
      <c r="D4" s="2">
        <v>15.58</v>
      </c>
      <c r="E4" s="2">
        <v>15.23</v>
      </c>
      <c r="F4" s="2">
        <v>14.05</v>
      </c>
      <c r="H4" s="2"/>
      <c r="I4" s="5" t="s">
        <v>19</v>
      </c>
      <c r="J4" s="6" t="s">
        <v>16</v>
      </c>
      <c r="K4" s="6" t="s">
        <v>20</v>
      </c>
      <c r="L4" s="6">
        <v>0.02</v>
      </c>
      <c r="M4" s="7"/>
      <c r="O4" s="2"/>
      <c r="P4" s="7"/>
      <c r="Q4" s="6">
        <v>3</v>
      </c>
      <c r="R4" s="5" t="s">
        <v>29</v>
      </c>
      <c r="S4" s="6">
        <v>2.0830000000000002</v>
      </c>
      <c r="T4" s="7"/>
      <c r="U4" s="4"/>
      <c r="W4" s="2" t="s">
        <v>47</v>
      </c>
      <c r="X4" s="2">
        <v>6</v>
      </c>
      <c r="Y4" s="2" t="s">
        <v>48</v>
      </c>
      <c r="AA4" s="2" t="s">
        <v>58</v>
      </c>
      <c r="AB4" s="2">
        <f>AB3*X3</f>
        <v>2002</v>
      </c>
      <c r="AC4" s="2" t="s">
        <v>46</v>
      </c>
      <c r="AH4" s="15" t="s">
        <v>81</v>
      </c>
      <c r="AI4" s="15" t="s">
        <v>82</v>
      </c>
      <c r="AJ4" s="15">
        <v>33</v>
      </c>
      <c r="AK4" s="15">
        <v>97</v>
      </c>
      <c r="AL4" s="15">
        <v>92</v>
      </c>
    </row>
    <row r="5" spans="1:44" ht="31.5" customHeight="1" x14ac:dyDescent="0.3">
      <c r="A5" s="2">
        <v>4</v>
      </c>
      <c r="B5" s="2">
        <v>15.77</v>
      </c>
      <c r="C5" s="2">
        <v>26.74</v>
      </c>
      <c r="D5" s="2">
        <v>15.72</v>
      </c>
      <c r="E5" s="2">
        <v>14.66</v>
      </c>
      <c r="F5" s="2">
        <v>13.49</v>
      </c>
      <c r="H5" s="2"/>
      <c r="I5" s="5" t="s">
        <v>21</v>
      </c>
      <c r="J5" s="6" t="s">
        <v>16</v>
      </c>
      <c r="K5" s="6" t="s">
        <v>20</v>
      </c>
      <c r="L5" s="6">
        <v>0.01</v>
      </c>
      <c r="M5" s="7"/>
      <c r="O5" s="2"/>
      <c r="P5" s="7"/>
      <c r="Q5" s="6">
        <v>4</v>
      </c>
      <c r="R5" s="5" t="s">
        <v>30</v>
      </c>
      <c r="S5" s="6">
        <v>3.125</v>
      </c>
      <c r="T5" s="7"/>
      <c r="U5" s="4"/>
      <c r="W5" s="2" t="s">
        <v>49</v>
      </c>
      <c r="X5" s="2">
        <v>30</v>
      </c>
      <c r="Y5" s="2" t="s">
        <v>48</v>
      </c>
      <c r="AA5" s="2" t="s">
        <v>59</v>
      </c>
      <c r="AB5" s="2">
        <v>80</v>
      </c>
      <c r="AC5" s="2" t="s">
        <v>60</v>
      </c>
      <c r="AH5" s="15" t="s">
        <v>83</v>
      </c>
      <c r="AI5" s="15" t="s">
        <v>84</v>
      </c>
      <c r="AJ5" s="15">
        <v>21</v>
      </c>
      <c r="AK5" s="15">
        <v>99</v>
      </c>
      <c r="AL5" s="15">
        <v>87</v>
      </c>
    </row>
    <row r="6" spans="1:44" ht="31.2" x14ac:dyDescent="0.3">
      <c r="A6" s="2">
        <v>5</v>
      </c>
      <c r="B6" s="2">
        <v>15.74</v>
      </c>
      <c r="C6" s="2">
        <v>28.69</v>
      </c>
      <c r="D6" s="2">
        <v>15.08</v>
      </c>
      <c r="E6" s="2">
        <v>15.16</v>
      </c>
      <c r="F6" s="2">
        <v>14.47</v>
      </c>
      <c r="H6" s="2"/>
      <c r="I6" s="5" t="s">
        <v>22</v>
      </c>
      <c r="J6" s="7"/>
      <c r="K6" s="7"/>
      <c r="L6" s="7">
        <f>SUM(L2:L5)</f>
        <v>0.14000000000000001</v>
      </c>
      <c r="M6" s="7"/>
      <c r="O6" s="2"/>
      <c r="P6" s="7"/>
      <c r="Q6" s="6">
        <v>5</v>
      </c>
      <c r="R6" s="5" t="s">
        <v>31</v>
      </c>
      <c r="S6" s="6">
        <v>2.0830000000000002</v>
      </c>
      <c r="T6" s="7"/>
      <c r="U6" s="4"/>
      <c r="W6" s="2" t="s">
        <v>50</v>
      </c>
      <c r="X6" s="2">
        <v>365</v>
      </c>
      <c r="Y6" s="2" t="s">
        <v>48</v>
      </c>
      <c r="AA6" s="2" t="s">
        <v>62</v>
      </c>
      <c r="AB6" s="23">
        <f>(80*AB4)/100</f>
        <v>1601.6</v>
      </c>
      <c r="AC6" s="2" t="s">
        <v>46</v>
      </c>
      <c r="AH6" s="15" t="s">
        <v>85</v>
      </c>
      <c r="AI6" s="15" t="s">
        <v>82</v>
      </c>
      <c r="AJ6" s="15">
        <v>21</v>
      </c>
      <c r="AK6" s="15">
        <v>110</v>
      </c>
      <c r="AL6" s="15">
        <v>96</v>
      </c>
    </row>
    <row r="7" spans="1:44" ht="31.2" x14ac:dyDescent="0.3">
      <c r="A7" s="2">
        <v>6</v>
      </c>
      <c r="B7" s="2">
        <v>15.25</v>
      </c>
      <c r="C7" s="2">
        <v>26.38</v>
      </c>
      <c r="D7" s="2">
        <v>14.72</v>
      </c>
      <c r="E7" s="2">
        <v>15.28</v>
      </c>
      <c r="F7" s="2">
        <v>13.98</v>
      </c>
      <c r="R7" s="8" t="s">
        <v>22</v>
      </c>
      <c r="S7" s="9">
        <f>SUM(S2:S6)</f>
        <v>12.499000000000001</v>
      </c>
      <c r="W7" s="2" t="s">
        <v>51</v>
      </c>
      <c r="X7" s="2">
        <v>1</v>
      </c>
      <c r="Y7" s="2" t="s">
        <v>46</v>
      </c>
      <c r="AH7" s="15" t="s">
        <v>86</v>
      </c>
      <c r="AI7" s="15" t="s">
        <v>84</v>
      </c>
      <c r="AJ7" s="15">
        <v>50</v>
      </c>
      <c r="AK7" s="15">
        <v>106</v>
      </c>
      <c r="AL7" s="15">
        <v>85</v>
      </c>
    </row>
    <row r="8" spans="1:44" ht="15.6" x14ac:dyDescent="0.3">
      <c r="A8" s="2">
        <v>7</v>
      </c>
      <c r="B8" s="2">
        <v>15.43</v>
      </c>
      <c r="C8" s="2">
        <v>29.44</v>
      </c>
      <c r="D8" s="2">
        <v>15.67</v>
      </c>
      <c r="E8" s="2">
        <v>15.48</v>
      </c>
      <c r="F8" s="2">
        <v>14.69</v>
      </c>
      <c r="I8" s="3" t="s">
        <v>23</v>
      </c>
      <c r="J8">
        <f>1+L6</f>
        <v>1.1400000000000001</v>
      </c>
      <c r="W8" s="35" t="s">
        <v>52</v>
      </c>
      <c r="X8" s="36"/>
      <c r="Y8" s="37"/>
    </row>
    <row r="9" spans="1:44" x14ac:dyDescent="0.3">
      <c r="A9" s="2">
        <v>8</v>
      </c>
      <c r="B9" s="2">
        <v>15.28</v>
      </c>
      <c r="C9" s="2">
        <v>25.78</v>
      </c>
      <c r="D9" s="2">
        <v>14.99</v>
      </c>
      <c r="E9" s="2">
        <v>14.98</v>
      </c>
      <c r="F9" s="2">
        <v>14.01</v>
      </c>
      <c r="W9" s="2" t="s">
        <v>53</v>
      </c>
      <c r="X9" s="2">
        <v>15</v>
      </c>
      <c r="Y9" s="2" t="s">
        <v>48</v>
      </c>
    </row>
    <row r="10" spans="1:44" x14ac:dyDescent="0.3">
      <c r="A10" s="2">
        <v>9</v>
      </c>
      <c r="B10" s="2">
        <v>15.51</v>
      </c>
      <c r="C10" s="2">
        <v>29.34</v>
      </c>
      <c r="D10" s="2">
        <v>14.75</v>
      </c>
      <c r="E10" s="2">
        <v>15.16</v>
      </c>
      <c r="F10" s="2">
        <v>13.75</v>
      </c>
      <c r="W10" s="2" t="s">
        <v>54</v>
      </c>
      <c r="X10" s="2">
        <v>52</v>
      </c>
      <c r="Y10" s="2" t="s">
        <v>48</v>
      </c>
    </row>
    <row r="11" spans="1:44" x14ac:dyDescent="0.3">
      <c r="A11" s="2">
        <v>10</v>
      </c>
      <c r="B11" s="2">
        <v>15.47</v>
      </c>
      <c r="C11" s="2">
        <v>28.49</v>
      </c>
      <c r="D11" s="2">
        <v>15.86</v>
      </c>
      <c r="E11" s="2">
        <v>15.37</v>
      </c>
      <c r="F11" s="2">
        <v>14.42</v>
      </c>
      <c r="W11" s="2" t="s">
        <v>55</v>
      </c>
      <c r="X11" s="2">
        <v>12</v>
      </c>
      <c r="Y11" s="2" t="s">
        <v>48</v>
      </c>
    </row>
    <row r="12" spans="1:44" x14ac:dyDescent="0.3">
      <c r="B12">
        <f>MAX(B2:B11)</f>
        <v>15.77</v>
      </c>
      <c r="C12">
        <f t="shared" ref="C12:F12" si="0">MAX(C2:C11)</f>
        <v>29.44</v>
      </c>
      <c r="D12">
        <f t="shared" si="0"/>
        <v>15.86</v>
      </c>
      <c r="E12">
        <f t="shared" si="0"/>
        <v>15.48</v>
      </c>
      <c r="F12">
        <f t="shared" si="0"/>
        <v>14.69</v>
      </c>
      <c r="G12">
        <f>AVERAGE(B2:B11)</f>
        <v>15.492999999999999</v>
      </c>
      <c r="H12">
        <f t="shared" ref="H12:K12" si="1">AVERAGE(C2:C11)</f>
        <v>27.749000000000002</v>
      </c>
      <c r="I12">
        <f t="shared" si="1"/>
        <v>15.285000000000002</v>
      </c>
      <c r="J12">
        <f t="shared" si="1"/>
        <v>15.108000000000001</v>
      </c>
      <c r="K12">
        <f t="shared" si="1"/>
        <v>14.146000000000001</v>
      </c>
      <c r="W12" s="2" t="s">
        <v>56</v>
      </c>
      <c r="X12" s="2">
        <f>SUM(X9:X11)</f>
        <v>79</v>
      </c>
      <c r="Y12" s="2" t="s">
        <v>48</v>
      </c>
    </row>
    <row r="13" spans="1:44" x14ac:dyDescent="0.3">
      <c r="W13" s="41"/>
      <c r="X13" s="41"/>
      <c r="Y13" s="41"/>
    </row>
    <row r="14" spans="1:44" x14ac:dyDescent="0.3">
      <c r="A14" s="16"/>
      <c r="B14" s="16" t="s">
        <v>32</v>
      </c>
      <c r="C14" s="16" t="s">
        <v>106</v>
      </c>
      <c r="D14" s="16" t="s">
        <v>107</v>
      </c>
      <c r="E14" s="2"/>
      <c r="J14" s="16"/>
      <c r="K14" s="16" t="s">
        <v>116</v>
      </c>
      <c r="L14" s="16" t="s">
        <v>106</v>
      </c>
      <c r="M14" s="16" t="s">
        <v>107</v>
      </c>
      <c r="N14" s="2"/>
      <c r="S14" s="16"/>
      <c r="T14" s="16" t="s">
        <v>6</v>
      </c>
      <c r="U14" s="16" t="s">
        <v>106</v>
      </c>
      <c r="V14" s="16" t="s">
        <v>107</v>
      </c>
      <c r="W14" s="2"/>
      <c r="AB14" s="16"/>
      <c r="AC14" s="16" t="s">
        <v>7</v>
      </c>
      <c r="AD14" s="16" t="s">
        <v>106</v>
      </c>
      <c r="AE14" s="16" t="s">
        <v>107</v>
      </c>
      <c r="AF14" s="2"/>
      <c r="AK14" s="16"/>
      <c r="AL14" s="16" t="s">
        <v>8</v>
      </c>
      <c r="AM14" s="16" t="s">
        <v>106</v>
      </c>
      <c r="AN14" s="16" t="s">
        <v>107</v>
      </c>
      <c r="AO14" s="2"/>
    </row>
    <row r="15" spans="1:44" x14ac:dyDescent="0.3">
      <c r="A15" s="16">
        <v>1</v>
      </c>
      <c r="B15" s="16">
        <v>15.67</v>
      </c>
      <c r="C15" s="25">
        <f>B15^2</f>
        <v>245.5489</v>
      </c>
      <c r="D15" s="16"/>
      <c r="E15" s="2"/>
      <c r="G15" s="2" t="s">
        <v>108</v>
      </c>
      <c r="H15" s="26">
        <v>1.1399999999999999</v>
      </c>
      <c r="J15" s="16">
        <v>1</v>
      </c>
      <c r="K15" s="16">
        <v>26.45</v>
      </c>
      <c r="L15" s="25">
        <f>K15^2</f>
        <v>699.60249999999996</v>
      </c>
      <c r="M15" s="16"/>
      <c r="N15" s="2"/>
      <c r="P15" s="2" t="s">
        <v>108</v>
      </c>
      <c r="Q15" s="26">
        <v>1.1399999999999999</v>
      </c>
      <c r="S15" s="16">
        <v>1</v>
      </c>
      <c r="T15" s="2">
        <v>15.78</v>
      </c>
      <c r="U15" s="25">
        <f>T15^2</f>
        <v>249.00839999999997</v>
      </c>
      <c r="V15" s="16"/>
      <c r="W15" s="2"/>
      <c r="Y15" s="2" t="s">
        <v>108</v>
      </c>
      <c r="Z15" s="26">
        <v>1.1399999999999999</v>
      </c>
      <c r="AB15" s="16">
        <v>1</v>
      </c>
      <c r="AC15" s="2">
        <v>15.04</v>
      </c>
      <c r="AD15" s="25">
        <f>AC15^2</f>
        <v>226.20159999999998</v>
      </c>
      <c r="AE15" s="16"/>
      <c r="AF15" s="2"/>
      <c r="AH15" s="2" t="s">
        <v>108</v>
      </c>
      <c r="AI15" s="26">
        <v>1.1399999999999999</v>
      </c>
      <c r="AK15" s="16">
        <v>1</v>
      </c>
      <c r="AL15" s="2">
        <v>14.32</v>
      </c>
      <c r="AM15" s="25">
        <f>AL15^2</f>
        <v>205.0624</v>
      </c>
      <c r="AN15" s="16"/>
      <c r="AO15" s="2"/>
      <c r="AQ15" s="2" t="s">
        <v>108</v>
      </c>
      <c r="AR15" s="26">
        <v>1.1399999999999999</v>
      </c>
    </row>
    <row r="16" spans="1:44" x14ac:dyDescent="0.3">
      <c r="A16" s="16">
        <v>2</v>
      </c>
      <c r="B16" s="16">
        <v>15.45</v>
      </c>
      <c r="C16" s="25">
        <f t="shared" ref="C16:C24" si="2">B16^2</f>
        <v>238.70249999999999</v>
      </c>
      <c r="D16" s="16"/>
      <c r="E16" s="2"/>
      <c r="G16" s="2" t="s">
        <v>3</v>
      </c>
      <c r="H16" s="2">
        <v>2</v>
      </c>
      <c r="J16" s="16">
        <v>2</v>
      </c>
      <c r="K16" s="16">
        <v>27.82</v>
      </c>
      <c r="L16" s="25">
        <f t="shared" ref="L16:L24" si="3">K16^2</f>
        <v>773.95240000000001</v>
      </c>
      <c r="M16" s="16"/>
      <c r="N16" s="2"/>
      <c r="P16" s="2" t="s">
        <v>3</v>
      </c>
      <c r="Q16" s="2">
        <v>2</v>
      </c>
      <c r="S16" s="16">
        <v>2</v>
      </c>
      <c r="T16" s="2">
        <v>14.7</v>
      </c>
      <c r="U16" s="25">
        <f t="shared" ref="U16:U24" si="4">T16^2</f>
        <v>216.08999999999997</v>
      </c>
      <c r="V16" s="16"/>
      <c r="W16" s="2"/>
      <c r="Y16" s="2" t="s">
        <v>3</v>
      </c>
      <c r="Z16" s="2">
        <v>2</v>
      </c>
      <c r="AB16" s="16">
        <v>2</v>
      </c>
      <c r="AC16" s="2">
        <v>14.72</v>
      </c>
      <c r="AD16" s="25">
        <f t="shared" ref="AD16:AD24" si="5">AC16^2</f>
        <v>216.67840000000001</v>
      </c>
      <c r="AE16" s="16"/>
      <c r="AF16" s="2"/>
      <c r="AH16" s="2" t="s">
        <v>3</v>
      </c>
      <c r="AI16" s="2">
        <v>2</v>
      </c>
      <c r="AK16" s="16">
        <v>2</v>
      </c>
      <c r="AL16" s="2">
        <v>14.28</v>
      </c>
      <c r="AM16" s="25">
        <f t="shared" ref="AM16:AM24" si="6">AL16^2</f>
        <v>203.91839999999999</v>
      </c>
      <c r="AN16" s="16"/>
      <c r="AO16" s="2"/>
      <c r="AQ16" s="2" t="s">
        <v>3</v>
      </c>
      <c r="AR16" s="2">
        <v>2</v>
      </c>
    </row>
    <row r="17" spans="1:44" x14ac:dyDescent="0.3">
      <c r="A17" s="16">
        <v>3</v>
      </c>
      <c r="B17" s="16">
        <v>15.36</v>
      </c>
      <c r="C17" s="25">
        <f t="shared" si="2"/>
        <v>235.92959999999999</v>
      </c>
      <c r="D17" s="16"/>
      <c r="E17" s="2"/>
      <c r="G17" s="2" t="s">
        <v>109</v>
      </c>
      <c r="H17" s="2">
        <v>0.05</v>
      </c>
      <c r="J17" s="16">
        <v>3</v>
      </c>
      <c r="K17" s="16">
        <v>28.36</v>
      </c>
      <c r="L17" s="25">
        <f t="shared" si="3"/>
        <v>804.28959999999995</v>
      </c>
      <c r="M17" s="16"/>
      <c r="N17" s="2"/>
      <c r="P17" s="2" t="s">
        <v>109</v>
      </c>
      <c r="Q17" s="2">
        <v>0.05</v>
      </c>
      <c r="S17" s="16">
        <v>3</v>
      </c>
      <c r="T17" s="2">
        <v>15.58</v>
      </c>
      <c r="U17" s="25">
        <f t="shared" si="4"/>
        <v>242.7364</v>
      </c>
      <c r="V17" s="16"/>
      <c r="W17" s="2"/>
      <c r="Y17" s="2" t="s">
        <v>109</v>
      </c>
      <c r="Z17" s="2">
        <v>0.05</v>
      </c>
      <c r="AB17" s="16">
        <v>3</v>
      </c>
      <c r="AC17" s="2">
        <v>15.23</v>
      </c>
      <c r="AD17" s="25">
        <f t="shared" si="5"/>
        <v>231.9529</v>
      </c>
      <c r="AE17" s="16"/>
      <c r="AF17" s="2"/>
      <c r="AH17" s="2" t="s">
        <v>109</v>
      </c>
      <c r="AI17" s="2">
        <v>0.05</v>
      </c>
      <c r="AK17" s="16">
        <v>3</v>
      </c>
      <c r="AL17" s="2">
        <v>14.05</v>
      </c>
      <c r="AM17" s="25">
        <f t="shared" si="6"/>
        <v>197.40250000000003</v>
      </c>
      <c r="AN17" s="16"/>
      <c r="AO17" s="2"/>
      <c r="AQ17" s="2" t="s">
        <v>109</v>
      </c>
      <c r="AR17" s="2">
        <v>0.05</v>
      </c>
    </row>
    <row r="18" spans="1:44" x14ac:dyDescent="0.3">
      <c r="A18" s="16">
        <v>4</v>
      </c>
      <c r="B18" s="16">
        <v>15.77</v>
      </c>
      <c r="C18" s="25">
        <f t="shared" si="2"/>
        <v>248.69289999999998</v>
      </c>
      <c r="D18" s="16"/>
      <c r="E18" s="2"/>
      <c r="G18" s="30" t="s">
        <v>110</v>
      </c>
      <c r="H18" s="2">
        <v>12.5</v>
      </c>
      <c r="J18" s="16">
        <v>4</v>
      </c>
      <c r="K18" s="16">
        <v>26.74</v>
      </c>
      <c r="L18" s="25">
        <f t="shared" si="3"/>
        <v>715.02759999999989</v>
      </c>
      <c r="M18" s="16"/>
      <c r="N18" s="2"/>
      <c r="P18" s="30" t="s">
        <v>110</v>
      </c>
      <c r="Q18" s="2">
        <v>12.5</v>
      </c>
      <c r="S18" s="16">
        <v>4</v>
      </c>
      <c r="T18" s="2">
        <v>15.72</v>
      </c>
      <c r="U18" s="25">
        <f t="shared" si="4"/>
        <v>247.11840000000001</v>
      </c>
      <c r="V18" s="16"/>
      <c r="W18" s="2"/>
      <c r="Y18" s="30" t="s">
        <v>110</v>
      </c>
      <c r="Z18" s="2">
        <v>12.5</v>
      </c>
      <c r="AB18" s="16">
        <v>4</v>
      </c>
      <c r="AC18" s="2">
        <v>14.66</v>
      </c>
      <c r="AD18" s="25">
        <f t="shared" si="5"/>
        <v>214.91560000000001</v>
      </c>
      <c r="AE18" s="16"/>
      <c r="AF18" s="2"/>
      <c r="AH18" s="30" t="s">
        <v>110</v>
      </c>
      <c r="AI18" s="2">
        <v>12.5</v>
      </c>
      <c r="AK18" s="16">
        <v>4</v>
      </c>
      <c r="AL18" s="2">
        <v>13.49</v>
      </c>
      <c r="AM18" s="25">
        <f t="shared" si="6"/>
        <v>181.98009999999999</v>
      </c>
      <c r="AN18" s="16"/>
      <c r="AO18" s="2"/>
      <c r="AQ18" s="30" t="s">
        <v>110</v>
      </c>
      <c r="AR18" s="2">
        <v>12.5</v>
      </c>
    </row>
    <row r="19" spans="1:44" x14ac:dyDescent="0.3">
      <c r="A19" s="16">
        <v>5</v>
      </c>
      <c r="B19" s="16">
        <v>15.74</v>
      </c>
      <c r="C19" s="25">
        <f t="shared" si="2"/>
        <v>247.74760000000001</v>
      </c>
      <c r="D19" s="16"/>
      <c r="E19" s="2"/>
      <c r="H19">
        <f>H18/480</f>
        <v>2.6041666666666668E-2</v>
      </c>
      <c r="J19" s="16">
        <v>5</v>
      </c>
      <c r="K19" s="16">
        <v>28.69</v>
      </c>
      <c r="L19" s="25">
        <f t="shared" si="3"/>
        <v>823.11610000000007</v>
      </c>
      <c r="M19" s="16"/>
      <c r="N19" s="2"/>
      <c r="Q19">
        <f>Q18/480</f>
        <v>2.6041666666666668E-2</v>
      </c>
      <c r="S19" s="16">
        <v>5</v>
      </c>
      <c r="T19" s="2">
        <v>15.08</v>
      </c>
      <c r="U19" s="25">
        <f t="shared" si="4"/>
        <v>227.40639999999999</v>
      </c>
      <c r="V19" s="16"/>
      <c r="W19" s="2"/>
      <c r="Z19">
        <f>Z18/480</f>
        <v>2.6041666666666668E-2</v>
      </c>
      <c r="AB19" s="16">
        <v>5</v>
      </c>
      <c r="AC19" s="2">
        <v>15.16</v>
      </c>
      <c r="AD19" s="25">
        <f t="shared" si="5"/>
        <v>229.82560000000001</v>
      </c>
      <c r="AE19" s="16"/>
      <c r="AF19" s="2"/>
      <c r="AI19">
        <f>AI18/480</f>
        <v>2.6041666666666668E-2</v>
      </c>
      <c r="AK19" s="16">
        <v>5</v>
      </c>
      <c r="AL19" s="2">
        <v>14.47</v>
      </c>
      <c r="AM19" s="25">
        <f t="shared" si="6"/>
        <v>209.38090000000003</v>
      </c>
      <c r="AN19" s="16"/>
      <c r="AO19" s="2"/>
      <c r="AR19">
        <f>AR18/480</f>
        <v>2.6041666666666668E-2</v>
      </c>
    </row>
    <row r="20" spans="1:44" x14ac:dyDescent="0.3">
      <c r="A20" s="16">
        <v>6</v>
      </c>
      <c r="B20" s="16">
        <v>15.25</v>
      </c>
      <c r="C20" s="25">
        <f t="shared" si="2"/>
        <v>232.5625</v>
      </c>
      <c r="D20" s="16"/>
      <c r="E20" s="2"/>
      <c r="H20">
        <f>60/480</f>
        <v>0.125</v>
      </c>
      <c r="J20" s="16">
        <v>6</v>
      </c>
      <c r="K20" s="16">
        <v>26.38</v>
      </c>
      <c r="L20" s="25">
        <f t="shared" si="3"/>
        <v>695.9043999999999</v>
      </c>
      <c r="M20" s="16"/>
      <c r="N20" s="2"/>
      <c r="Q20">
        <f>60/480</f>
        <v>0.125</v>
      </c>
      <c r="S20" s="16">
        <v>6</v>
      </c>
      <c r="T20" s="2">
        <v>14.72</v>
      </c>
      <c r="U20" s="25">
        <f t="shared" si="4"/>
        <v>216.67840000000001</v>
      </c>
      <c r="V20" s="16"/>
      <c r="W20" s="2"/>
      <c r="Z20">
        <f>60/480</f>
        <v>0.125</v>
      </c>
      <c r="AB20" s="16">
        <v>6</v>
      </c>
      <c r="AC20" s="2">
        <v>15.28</v>
      </c>
      <c r="AD20" s="25">
        <f t="shared" si="5"/>
        <v>233.47839999999999</v>
      </c>
      <c r="AE20" s="16"/>
      <c r="AF20" s="2"/>
      <c r="AI20">
        <f>60/480</f>
        <v>0.125</v>
      </c>
      <c r="AK20" s="16">
        <v>6</v>
      </c>
      <c r="AL20" s="2">
        <v>13.98</v>
      </c>
      <c r="AM20" s="25">
        <f t="shared" si="6"/>
        <v>195.44040000000001</v>
      </c>
      <c r="AN20" s="16"/>
      <c r="AO20" s="2"/>
      <c r="AR20">
        <f>60/480</f>
        <v>0.125</v>
      </c>
    </row>
    <row r="21" spans="1:44" x14ac:dyDescent="0.3">
      <c r="A21" s="16">
        <v>7</v>
      </c>
      <c r="B21" s="16">
        <v>15.43</v>
      </c>
      <c r="C21" s="25">
        <f t="shared" si="2"/>
        <v>238.0849</v>
      </c>
      <c r="D21" s="16"/>
      <c r="E21" s="2"/>
      <c r="J21" s="16">
        <v>7</v>
      </c>
      <c r="K21" s="16">
        <v>29.44</v>
      </c>
      <c r="L21" s="25">
        <f t="shared" si="3"/>
        <v>866.71360000000004</v>
      </c>
      <c r="M21" s="16"/>
      <c r="N21" s="2"/>
      <c r="S21" s="16">
        <v>7</v>
      </c>
      <c r="T21" s="2">
        <v>15.67</v>
      </c>
      <c r="U21" s="25">
        <f t="shared" si="4"/>
        <v>245.5489</v>
      </c>
      <c r="V21" s="16"/>
      <c r="W21" s="2"/>
      <c r="AB21" s="16">
        <v>7</v>
      </c>
      <c r="AC21" s="2">
        <v>15.48</v>
      </c>
      <c r="AD21" s="25">
        <f t="shared" si="5"/>
        <v>239.63040000000001</v>
      </c>
      <c r="AE21" s="16"/>
      <c r="AF21" s="2"/>
      <c r="AK21" s="16">
        <v>7</v>
      </c>
      <c r="AL21" s="2">
        <v>14.69</v>
      </c>
      <c r="AM21" s="25">
        <f t="shared" si="6"/>
        <v>215.7961</v>
      </c>
      <c r="AN21" s="16"/>
      <c r="AO21" s="2"/>
    </row>
    <row r="22" spans="1:44" x14ac:dyDescent="0.3">
      <c r="A22" s="16">
        <v>8</v>
      </c>
      <c r="B22" s="16">
        <v>15.28</v>
      </c>
      <c r="C22" s="25">
        <f t="shared" si="2"/>
        <v>233.47839999999999</v>
      </c>
      <c r="D22" s="16"/>
      <c r="E22" s="2"/>
      <c r="J22" s="16">
        <v>8</v>
      </c>
      <c r="K22" s="16">
        <v>25.78</v>
      </c>
      <c r="L22" s="25">
        <f t="shared" si="3"/>
        <v>664.60840000000007</v>
      </c>
      <c r="M22" s="16"/>
      <c r="N22" s="2"/>
      <c r="S22" s="16">
        <v>8</v>
      </c>
      <c r="T22" s="2">
        <v>14.99</v>
      </c>
      <c r="U22" s="25">
        <f t="shared" si="4"/>
        <v>224.70010000000002</v>
      </c>
      <c r="V22" s="16"/>
      <c r="W22" s="2"/>
      <c r="AB22" s="16">
        <v>8</v>
      </c>
      <c r="AC22" s="2">
        <v>14.98</v>
      </c>
      <c r="AD22" s="25">
        <f t="shared" si="5"/>
        <v>224.40040000000002</v>
      </c>
      <c r="AE22" s="16"/>
      <c r="AF22" s="2"/>
      <c r="AK22" s="16">
        <v>8</v>
      </c>
      <c r="AL22" s="2">
        <v>14.01</v>
      </c>
      <c r="AM22" s="25">
        <f t="shared" si="6"/>
        <v>196.2801</v>
      </c>
      <c r="AN22" s="16"/>
      <c r="AO22" s="2"/>
    </row>
    <row r="23" spans="1:44" x14ac:dyDescent="0.3">
      <c r="A23" s="16">
        <v>9</v>
      </c>
      <c r="B23" s="16">
        <v>15.51</v>
      </c>
      <c r="C23" s="25">
        <f t="shared" si="2"/>
        <v>240.56010000000001</v>
      </c>
      <c r="D23" s="16"/>
      <c r="E23" s="2"/>
      <c r="J23" s="16">
        <v>9</v>
      </c>
      <c r="K23" s="16">
        <v>29.34</v>
      </c>
      <c r="L23" s="25">
        <f t="shared" si="3"/>
        <v>860.8356</v>
      </c>
      <c r="M23" s="16"/>
      <c r="N23" s="2"/>
      <c r="S23" s="16">
        <v>9</v>
      </c>
      <c r="T23" s="2">
        <v>14.75</v>
      </c>
      <c r="U23" s="25">
        <f t="shared" si="4"/>
        <v>217.5625</v>
      </c>
      <c r="V23" s="16"/>
      <c r="W23" s="2"/>
      <c r="AB23" s="16">
        <v>9</v>
      </c>
      <c r="AC23" s="2">
        <v>15.16</v>
      </c>
      <c r="AD23" s="25">
        <f t="shared" si="5"/>
        <v>229.82560000000001</v>
      </c>
      <c r="AE23" s="16"/>
      <c r="AF23" s="2"/>
      <c r="AK23" s="16">
        <v>9</v>
      </c>
      <c r="AL23" s="2">
        <v>13.75</v>
      </c>
      <c r="AM23" s="25">
        <f t="shared" si="6"/>
        <v>189.0625</v>
      </c>
      <c r="AN23" s="16"/>
      <c r="AO23" s="2"/>
    </row>
    <row r="24" spans="1:44" x14ac:dyDescent="0.3">
      <c r="A24" s="16">
        <v>10</v>
      </c>
      <c r="B24" s="16">
        <v>15.47</v>
      </c>
      <c r="C24" s="25">
        <f t="shared" si="2"/>
        <v>239.32090000000002</v>
      </c>
      <c r="D24" s="16"/>
      <c r="E24" s="2"/>
      <c r="J24" s="16">
        <v>10</v>
      </c>
      <c r="K24" s="16">
        <v>28.49</v>
      </c>
      <c r="L24" s="25">
        <f t="shared" si="3"/>
        <v>811.68009999999992</v>
      </c>
      <c r="M24" s="16"/>
      <c r="N24" s="2"/>
      <c r="S24" s="16">
        <v>10</v>
      </c>
      <c r="T24" s="2">
        <v>15.86</v>
      </c>
      <c r="U24" s="25">
        <f t="shared" si="4"/>
        <v>251.53959999999998</v>
      </c>
      <c r="V24" s="16"/>
      <c r="W24" s="2"/>
      <c r="AB24" s="16">
        <v>10</v>
      </c>
      <c r="AC24" s="2">
        <v>15.37</v>
      </c>
      <c r="AD24" s="25">
        <f t="shared" si="5"/>
        <v>236.23689999999996</v>
      </c>
      <c r="AE24" s="16"/>
      <c r="AF24" s="2"/>
      <c r="AK24" s="16">
        <v>10</v>
      </c>
      <c r="AL24" s="2">
        <v>14.42</v>
      </c>
      <c r="AM24" s="25">
        <f t="shared" si="6"/>
        <v>207.93639999999999</v>
      </c>
      <c r="AN24" s="16"/>
      <c r="AO24" s="2"/>
    </row>
    <row r="25" spans="1:44" x14ac:dyDescent="0.3">
      <c r="A25" s="2" t="s">
        <v>40</v>
      </c>
      <c r="B25" s="27">
        <f>SUM(B15:B24)</f>
        <v>154.92999999999998</v>
      </c>
      <c r="C25" s="28">
        <f>SUM(C15:C24)</f>
        <v>2400.6283000000003</v>
      </c>
      <c r="D25" s="29">
        <f>B25^2</f>
        <v>24003.304899999992</v>
      </c>
      <c r="E25" s="12">
        <f>(SUM(B15:B24)/A24)</f>
        <v>15.492999999999999</v>
      </c>
      <c r="J25" s="2" t="s">
        <v>40</v>
      </c>
      <c r="K25" s="33">
        <f>SUM(K15:K24)</f>
        <v>277.49</v>
      </c>
      <c r="L25" s="28">
        <f>SUM(L15:L24)</f>
        <v>7715.7303000000002</v>
      </c>
      <c r="M25" s="29">
        <f>K25^2</f>
        <v>77000.700100000002</v>
      </c>
      <c r="N25" s="12">
        <f>(SUM(K15:K24)/J24)</f>
        <v>27.749000000000002</v>
      </c>
      <c r="S25" s="2" t="s">
        <v>40</v>
      </c>
      <c r="T25" s="33">
        <f>SUM(T15:T24)</f>
        <v>152.85000000000002</v>
      </c>
      <c r="U25" s="28">
        <f>SUM(U15:U24)</f>
        <v>2338.3891000000003</v>
      </c>
      <c r="V25" s="29">
        <f>T25^2</f>
        <v>23363.122500000009</v>
      </c>
      <c r="W25" s="12">
        <f>(SUM(T15:T24)/S24)</f>
        <v>15.285000000000002</v>
      </c>
      <c r="AB25" s="2" t="s">
        <v>40</v>
      </c>
      <c r="AC25" s="33">
        <f>SUM(AC15:AC24)</f>
        <v>151.08000000000001</v>
      </c>
      <c r="AD25" s="28">
        <f>SUM(AD15:AD24)</f>
        <v>2283.1457999999998</v>
      </c>
      <c r="AE25" s="29">
        <f>AC25^2</f>
        <v>22825.166400000006</v>
      </c>
      <c r="AF25" s="12">
        <f>(SUM(AC15:AC24)/AB24)</f>
        <v>15.108000000000001</v>
      </c>
      <c r="AK25" s="2" t="s">
        <v>40</v>
      </c>
      <c r="AL25" s="33">
        <f>SUM(AL15:AL24)</f>
        <v>141.46</v>
      </c>
      <c r="AM25" s="28">
        <f>SUM(AM15:AM24)</f>
        <v>2002.2598</v>
      </c>
      <c r="AN25" s="29">
        <f>AL25^2</f>
        <v>20010.931600000004</v>
      </c>
      <c r="AO25" s="12">
        <f>(SUM(AL15:AL24)/AK24)</f>
        <v>14.146000000000001</v>
      </c>
    </row>
    <row r="27" spans="1:44" x14ac:dyDescent="0.3">
      <c r="A27" s="16">
        <v>1</v>
      </c>
      <c r="B27" s="2" t="s">
        <v>111</v>
      </c>
      <c r="C27" s="10">
        <f>((H16/H17*(((A24*C25)-D25)^(1/2)))/B25)^2</f>
        <v>0.1985126639797794</v>
      </c>
      <c r="D27" s="9">
        <f>((H16/H17)*(((A24*C25)-D25)^(1/2)))</f>
        <v>69.028689687823942</v>
      </c>
      <c r="J27" s="16">
        <v>1</v>
      </c>
      <c r="K27" s="2" t="s">
        <v>111</v>
      </c>
      <c r="L27" s="10">
        <f>((Q16/Q17*(((J24*L25)-M25)^(1/2)))/K25)^2</f>
        <v>3.2540566472069892</v>
      </c>
      <c r="M27" s="9">
        <f>((Q16/Q17)*(((J24*L25)-M25)^(1/2)))</f>
        <v>500.564321541195</v>
      </c>
      <c r="S27" s="16">
        <v>1</v>
      </c>
      <c r="T27" s="2" t="s">
        <v>111</v>
      </c>
      <c r="U27" s="10">
        <f>((Z16/Z17*(((S24*U25)-V25)^(1/2)))/T25)^2</f>
        <v>1.4223098817374031</v>
      </c>
      <c r="V27" s="9">
        <f>((Z16/Z17)*(((S24*U25)-V25)^(1/2)))</f>
        <v>182.28987903883055</v>
      </c>
      <c r="AB27" s="16">
        <v>1</v>
      </c>
      <c r="AC27" s="2" t="s">
        <v>111</v>
      </c>
      <c r="AD27" s="10">
        <f>((AI16/AI17*(((AB24*AD25)-AE25)^(1/2)))/AC25)^2</f>
        <v>0.44102898632051635</v>
      </c>
      <c r="AE27" s="9">
        <f>((AI16/AI17)*(((AB24*AD25)-AE25)^(1/2)))</f>
        <v>100.33224805609167</v>
      </c>
      <c r="AK27" s="16">
        <v>1</v>
      </c>
      <c r="AL27" s="2" t="s">
        <v>111</v>
      </c>
      <c r="AM27" s="10">
        <f>((AR16/AR17*(((AK24*AM25)-AN25)^(1/2)))/AL25)^2</f>
        <v>0.93280214900125857</v>
      </c>
      <c r="AN27" s="9">
        <f>((AR16/AR17)*(((AK24*AM25)-AN25)^(1/2)))</f>
        <v>136.62444876374505</v>
      </c>
    </row>
    <row r="28" spans="1:44" x14ac:dyDescent="0.3">
      <c r="A28" s="16">
        <v>2</v>
      </c>
      <c r="B28" s="2" t="s">
        <v>112</v>
      </c>
      <c r="C28" s="10">
        <f>(((B15-E25)^2+(B16-E25)^2+(B17-E25)^2+(B18-E25)^2+(B19-E25)^2+(B20-E25)^2+(B21-E25)^2+(B22-E25)^2+(B23-E25)^2+(B24-E25)^2)/A23)^(1/2)</f>
        <v>0.1819065694250761</v>
      </c>
      <c r="F28" s="32">
        <f>((B15-E25)^2+(B16-E25)^2+(B17-E25)^2+(B18-E25)^2+(B19-E25)^2+(B20-E25)^2+(B21-E25)^2+(B22-E25)^2+(B23-E25)^2+(B24-E25)^2)</f>
        <v>0.2978100000000003</v>
      </c>
      <c r="J28" s="16">
        <v>2</v>
      </c>
      <c r="K28" s="2" t="s">
        <v>112</v>
      </c>
      <c r="L28" s="10">
        <f>(((K15-N25)^2+(K16-N25)^2+(K17-N25)^2+(K18-N25)^2+(K19-N25)^2+(K20-N25)^2+(K21-N25)^2+(K22-N25)^2+(K23-N25)^2+(K24-N25)^2)/J23)^(1/2)</f>
        <v>1.3191028095725605</v>
      </c>
      <c r="O28" s="32">
        <f>((K15-N25)^2+(K16-N25)^2+(K17-N25)^2+(K18-N25)^2+(K19-N25)^2+(K20-N25)^2+(K21-N25)^2+(K22-N25)^2+(K23-N25)^2+(K24-N25)^2)</f>
        <v>15.660290000000007</v>
      </c>
      <c r="S28" s="16">
        <v>2</v>
      </c>
      <c r="T28" s="2" t="s">
        <v>112</v>
      </c>
      <c r="U28" s="10">
        <f>(((T15-W25)^2+(T16-W25)^2+(T17-W25)^2+(T18-W25)^2+(T19-W25)^2+(T20-W25)^2+(T21-W25)^2+(T22-W25)^2+(T23-W25)^2+(T24-W25)^2)/S23)^(1/2)</f>
        <v>0.48037601013280323</v>
      </c>
      <c r="X28" s="32">
        <f>((T15-W25)^2+(T16-W25)^2+(T17-W25)^2+(T18-W25)^2+(T19-W25)^2+(T20-W25)^2+(T21-W25)^2+(T22-W25)^2+(T23-W25)^2+(T24-W25)^2)</f>
        <v>2.0768499999999994</v>
      </c>
      <c r="AB28" s="16">
        <v>2</v>
      </c>
      <c r="AC28" s="2" t="s">
        <v>112</v>
      </c>
      <c r="AD28" s="10">
        <f>(((AC15-AF25)^2+(AC16-AF25)^2+(AC17-AF25)^2+(AC18-AF25)^2+(AC19-AF25)^2+(AC20-AF25)^2+(AC21-AF25)^2+(AC22-AF25)^2+(AC23-AF25)^2+(AC24-AF25)^2)/AB23)^(1/2)</f>
        <v>0.26439868885201867</v>
      </c>
      <c r="AG28" s="32">
        <f>((AC15-AF25)^2+(AC16-AF25)^2+(AC17-AF25)^2+(AC18-AF25)^2+(AC19-AF25)^2+(AC20-AF25)^2+(AC21-AF25)^2+(AC22-AF25)^2+(AC23-AF25)^2+(AC24-AF25)^2)</f>
        <v>0.62915999999999916</v>
      </c>
      <c r="AK28" s="16">
        <v>2</v>
      </c>
      <c r="AL28" s="2" t="s">
        <v>112</v>
      </c>
      <c r="AM28" s="10">
        <f>(((AL15-AO25)^2+(AL16-AO25)^2+(AL17-AO25)^2+(AL18-AO25)^2+(AL19-AO25)^2+(AL20-AO25)^2+(AL21-AO25)^2+(AL22-AO25)^2+(AL23-AO25)^2+(AL24-AO25)^2)/AK23)^(1/2)</f>
        <v>0.36003703513203555</v>
      </c>
      <c r="AP28" s="32">
        <f>((AL15-AO25)^2+(AL16-AO25)^2+(AL17-AO25)^2+(AL18-AO25)^2+(AL19-AO25)^2+(AL20-AO25)^2+(AL21-AO25)^2+(AL22-AO25)^2+(AL23-AO25)^2+(AL24-AO25)^2)</f>
        <v>1.1666399999999995</v>
      </c>
    </row>
    <row r="29" spans="1:44" x14ac:dyDescent="0.3">
      <c r="A29" s="16">
        <v>3</v>
      </c>
      <c r="B29" s="2" t="s">
        <v>1</v>
      </c>
      <c r="C29" s="12">
        <f>E25+(H16*C28)</f>
        <v>15.85681313885015</v>
      </c>
      <c r="J29" s="16">
        <v>3</v>
      </c>
      <c r="K29" s="2" t="s">
        <v>1</v>
      </c>
      <c r="L29" s="12">
        <f>N25+(Q16*L28)</f>
        <v>30.387205619145124</v>
      </c>
      <c r="S29" s="16">
        <v>3</v>
      </c>
      <c r="T29" s="2" t="s">
        <v>1</v>
      </c>
      <c r="U29" s="12">
        <f>W25+(Z16*U28)</f>
        <v>16.245752020265609</v>
      </c>
      <c r="AB29" s="16">
        <v>3</v>
      </c>
      <c r="AC29" s="2" t="s">
        <v>1</v>
      </c>
      <c r="AD29" s="12">
        <f>AF25+(AI16*AD28)</f>
        <v>15.636797377704038</v>
      </c>
      <c r="AK29" s="16">
        <v>3</v>
      </c>
      <c r="AL29" s="2" t="s">
        <v>1</v>
      </c>
      <c r="AM29" s="12">
        <f>AO25+(AR16*AM28)</f>
        <v>14.866074070264071</v>
      </c>
    </row>
    <row r="30" spans="1:44" x14ac:dyDescent="0.3">
      <c r="A30" s="16">
        <v>4</v>
      </c>
      <c r="B30" s="2" t="s">
        <v>2</v>
      </c>
      <c r="C30" s="12">
        <f>E25-(H16*C28)</f>
        <v>15.129186861149847</v>
      </c>
      <c r="J30" s="16">
        <v>4</v>
      </c>
      <c r="K30" s="2" t="s">
        <v>2</v>
      </c>
      <c r="L30" s="12">
        <f>N25-(Q16*L28)</f>
        <v>25.11079438085488</v>
      </c>
      <c r="S30" s="16">
        <v>4</v>
      </c>
      <c r="T30" s="2" t="s">
        <v>2</v>
      </c>
      <c r="U30" s="12">
        <f>W25-(Z16*U28)</f>
        <v>14.324247979734395</v>
      </c>
      <c r="AB30" s="16">
        <v>4</v>
      </c>
      <c r="AC30" s="2" t="s">
        <v>2</v>
      </c>
      <c r="AD30" s="12">
        <f>AF25-(AI16*AD28)</f>
        <v>14.579202622295963</v>
      </c>
      <c r="AK30" s="16">
        <v>4</v>
      </c>
      <c r="AL30" s="2" t="s">
        <v>2</v>
      </c>
      <c r="AM30" s="12">
        <f>AO25-(AR16*AM28)</f>
        <v>13.42592592973593</v>
      </c>
    </row>
    <row r="31" spans="1:44" x14ac:dyDescent="0.3">
      <c r="A31" s="16">
        <v>5</v>
      </c>
      <c r="B31" s="2" t="s">
        <v>10</v>
      </c>
      <c r="C31" s="12">
        <f>B25/A24</f>
        <v>15.492999999999999</v>
      </c>
      <c r="J31" s="16">
        <v>5</v>
      </c>
      <c r="K31" s="2" t="s">
        <v>10</v>
      </c>
      <c r="L31" s="12">
        <f>K25/J24</f>
        <v>27.749000000000002</v>
      </c>
      <c r="S31" s="16">
        <v>5</v>
      </c>
      <c r="T31" s="2" t="s">
        <v>10</v>
      </c>
      <c r="U31" s="12">
        <f>T25/S24</f>
        <v>15.285000000000002</v>
      </c>
      <c r="AB31" s="16">
        <v>5</v>
      </c>
      <c r="AC31" s="2" t="s">
        <v>10</v>
      </c>
      <c r="AD31" s="12">
        <f>AC25/AB24</f>
        <v>15.108000000000001</v>
      </c>
      <c r="AK31" s="16">
        <v>5</v>
      </c>
      <c r="AL31" s="2" t="s">
        <v>10</v>
      </c>
      <c r="AM31" s="12">
        <f>AL25/AK24</f>
        <v>14.146000000000001</v>
      </c>
    </row>
    <row r="32" spans="1:44" x14ac:dyDescent="0.3">
      <c r="A32" s="16">
        <v>6</v>
      </c>
      <c r="B32" s="2" t="s">
        <v>113</v>
      </c>
      <c r="C32" s="12">
        <f>C31*H15</f>
        <v>17.662019999999998</v>
      </c>
      <c r="J32" s="16">
        <v>6</v>
      </c>
      <c r="K32" s="2" t="s">
        <v>113</v>
      </c>
      <c r="L32" s="12">
        <f>L31*Q15</f>
        <v>31.633859999999999</v>
      </c>
      <c r="S32" s="16">
        <v>6</v>
      </c>
      <c r="T32" s="2" t="s">
        <v>113</v>
      </c>
      <c r="U32" s="12">
        <f>U31*Z15</f>
        <v>17.424900000000001</v>
      </c>
      <c r="AB32" s="16">
        <v>6</v>
      </c>
      <c r="AC32" s="2" t="s">
        <v>113</v>
      </c>
      <c r="AD32" s="12">
        <f>AD31*AI15</f>
        <v>17.223119999999998</v>
      </c>
      <c r="AK32" s="16">
        <v>6</v>
      </c>
      <c r="AL32" s="2" t="s">
        <v>113</v>
      </c>
      <c r="AM32" s="12">
        <f>AM31*AR15</f>
        <v>16.126439999999999</v>
      </c>
    </row>
    <row r="33" spans="1:40" x14ac:dyDescent="0.3">
      <c r="A33" s="16">
        <v>7</v>
      </c>
      <c r="B33" s="2" t="s">
        <v>114</v>
      </c>
      <c r="C33" s="12">
        <f>C32*((100)/(100-H18))</f>
        <v>20.185165714285713</v>
      </c>
      <c r="D33" s="31">
        <f>C33/60</f>
        <v>0.33641942857142854</v>
      </c>
      <c r="J33" s="16">
        <v>7</v>
      </c>
      <c r="K33" s="2" t="s">
        <v>114</v>
      </c>
      <c r="L33" s="12">
        <f>L32*((100)/(100-Q18))</f>
        <v>36.152982857142852</v>
      </c>
      <c r="M33" s="31">
        <f>L33/60</f>
        <v>0.60254971428571424</v>
      </c>
      <c r="S33" s="16">
        <v>7</v>
      </c>
      <c r="T33" s="2" t="s">
        <v>114</v>
      </c>
      <c r="U33" s="12">
        <f>U32*((100)/(100-Z18))</f>
        <v>19.914171428571429</v>
      </c>
      <c r="V33" s="31">
        <f>U33/60</f>
        <v>0.33190285714285717</v>
      </c>
      <c r="AB33" s="16">
        <v>7</v>
      </c>
      <c r="AC33" s="2" t="s">
        <v>114</v>
      </c>
      <c r="AD33" s="12">
        <f>AD32*((100)/(100-AI18))</f>
        <v>19.683565714285709</v>
      </c>
      <c r="AE33" s="31">
        <f>AD33/60</f>
        <v>0.3280594285714285</v>
      </c>
      <c r="AK33" s="16">
        <v>7</v>
      </c>
      <c r="AL33" s="2" t="s">
        <v>114</v>
      </c>
      <c r="AM33" s="12">
        <f>AM32*((100)/(100-AR18))</f>
        <v>18.430217142857142</v>
      </c>
      <c r="AN33" s="31">
        <f>AM33/60</f>
        <v>0.30717028571428567</v>
      </c>
    </row>
    <row r="34" spans="1:40" x14ac:dyDescent="0.3">
      <c r="A34" s="16">
        <v>8</v>
      </c>
      <c r="B34" s="2" t="s">
        <v>115</v>
      </c>
      <c r="C34" s="12">
        <f>1/D33</f>
        <v>2.9724799315140626</v>
      </c>
      <c r="J34" s="16">
        <v>8</v>
      </c>
      <c r="K34" s="2" t="s">
        <v>115</v>
      </c>
      <c r="L34" s="12">
        <f>1/M33</f>
        <v>1.6596140970466458</v>
      </c>
      <c r="S34" s="16">
        <v>8</v>
      </c>
      <c r="T34" s="2" t="s">
        <v>115</v>
      </c>
      <c r="U34" s="12">
        <f>1/V33</f>
        <v>3.0129297729111788</v>
      </c>
      <c r="AB34" s="16">
        <v>8</v>
      </c>
      <c r="AC34" s="2" t="s">
        <v>115</v>
      </c>
      <c r="AD34" s="12">
        <f>1/AE33</f>
        <v>3.0482281955882566</v>
      </c>
      <c r="AK34" s="16">
        <v>8</v>
      </c>
      <c r="AL34" s="2" t="s">
        <v>115</v>
      </c>
      <c r="AM34" s="12">
        <f>1/AN33</f>
        <v>3.2555232276931552</v>
      </c>
    </row>
    <row r="36" spans="1:40" x14ac:dyDescent="0.3">
      <c r="A36" t="s">
        <v>33</v>
      </c>
    </row>
    <row r="37" spans="1:40" ht="43.2" x14ac:dyDescent="0.3">
      <c r="A37" s="11" t="s">
        <v>24</v>
      </c>
      <c r="B37" s="11" t="s">
        <v>34</v>
      </c>
      <c r="C37" s="11" t="s">
        <v>35</v>
      </c>
      <c r="D37" s="11" t="s">
        <v>36</v>
      </c>
      <c r="E37" s="11" t="s">
        <v>37</v>
      </c>
      <c r="F37" s="11" t="s">
        <v>38</v>
      </c>
      <c r="G37" s="11" t="s">
        <v>39</v>
      </c>
    </row>
    <row r="38" spans="1:40" x14ac:dyDescent="0.3">
      <c r="A38" s="2">
        <v>1</v>
      </c>
      <c r="B38" s="2" t="s">
        <v>4</v>
      </c>
      <c r="C38" s="12">
        <f>C31</f>
        <v>15.492999999999999</v>
      </c>
      <c r="D38" s="2">
        <f>$J$8</f>
        <v>1.1400000000000001</v>
      </c>
      <c r="E38" s="12">
        <f>C32</f>
        <v>17.662019999999998</v>
      </c>
      <c r="F38" s="12">
        <f>$S$7</f>
        <v>12.499000000000001</v>
      </c>
      <c r="G38" s="12">
        <f>C33</f>
        <v>20.185165714285713</v>
      </c>
    </row>
    <row r="39" spans="1:40" ht="11.4" customHeight="1" x14ac:dyDescent="0.3">
      <c r="A39" s="2">
        <v>2</v>
      </c>
      <c r="B39" s="2" t="s">
        <v>5</v>
      </c>
      <c r="C39" s="12">
        <f>L31</f>
        <v>27.749000000000002</v>
      </c>
      <c r="D39" s="2">
        <f t="shared" ref="D39:D42" si="7">$J$8</f>
        <v>1.1400000000000001</v>
      </c>
      <c r="E39" s="12">
        <f>L32</f>
        <v>31.633859999999999</v>
      </c>
      <c r="F39" s="12">
        <f t="shared" ref="F39:F42" si="8">$S$7</f>
        <v>12.499000000000001</v>
      </c>
      <c r="G39" s="12">
        <f>L33</f>
        <v>36.152982857142852</v>
      </c>
    </row>
    <row r="40" spans="1:40" x14ac:dyDescent="0.3">
      <c r="A40" s="2">
        <v>3</v>
      </c>
      <c r="B40" s="2" t="s">
        <v>6</v>
      </c>
      <c r="C40" s="12">
        <f>U31</f>
        <v>15.285000000000002</v>
      </c>
      <c r="D40" s="2">
        <f t="shared" si="7"/>
        <v>1.1400000000000001</v>
      </c>
      <c r="E40" s="12">
        <f>U32</f>
        <v>17.424900000000001</v>
      </c>
      <c r="F40" s="12">
        <f t="shared" si="8"/>
        <v>12.499000000000001</v>
      </c>
      <c r="G40" s="12">
        <f>U33</f>
        <v>19.914171428571429</v>
      </c>
    </row>
    <row r="41" spans="1:40" x14ac:dyDescent="0.3">
      <c r="A41" s="2">
        <v>4</v>
      </c>
      <c r="B41" s="2" t="s">
        <v>7</v>
      </c>
      <c r="C41" s="12">
        <f>AD31</f>
        <v>15.108000000000001</v>
      </c>
      <c r="D41" s="2">
        <f t="shared" si="7"/>
        <v>1.1400000000000001</v>
      </c>
      <c r="E41" s="12">
        <f>AD32</f>
        <v>17.223119999999998</v>
      </c>
      <c r="F41" s="12">
        <f t="shared" si="8"/>
        <v>12.499000000000001</v>
      </c>
      <c r="G41" s="12">
        <f>AD33</f>
        <v>19.683565714285709</v>
      </c>
    </row>
    <row r="42" spans="1:40" x14ac:dyDescent="0.3">
      <c r="A42" s="2">
        <v>5</v>
      </c>
      <c r="B42" s="2" t="s">
        <v>8</v>
      </c>
      <c r="C42" s="12">
        <f>AM31</f>
        <v>14.146000000000001</v>
      </c>
      <c r="D42" s="2">
        <f t="shared" si="7"/>
        <v>1.1400000000000001</v>
      </c>
      <c r="E42" s="12">
        <f>AM32</f>
        <v>16.126439999999999</v>
      </c>
      <c r="F42" s="12">
        <f t="shared" si="8"/>
        <v>12.499000000000001</v>
      </c>
      <c r="G42" s="12">
        <f>AM33</f>
        <v>18.430217142857142</v>
      </c>
    </row>
    <row r="43" spans="1:40" x14ac:dyDescent="0.3">
      <c r="A43" s="34" t="s">
        <v>40</v>
      </c>
      <c r="B43" s="34"/>
      <c r="C43" s="34"/>
      <c r="D43" s="34"/>
      <c r="E43" s="34"/>
      <c r="F43" s="34"/>
      <c r="G43" s="2">
        <f>SUM(G38:G42)</f>
        <v>114.36610285714285</v>
      </c>
    </row>
    <row r="46" spans="1:40" x14ac:dyDescent="0.3">
      <c r="A46" t="s">
        <v>63</v>
      </c>
      <c r="L46" t="s">
        <v>87</v>
      </c>
    </row>
    <row r="47" spans="1:40" ht="46.8" x14ac:dyDescent="0.3">
      <c r="A47" s="14" t="s">
        <v>0</v>
      </c>
      <c r="B47" s="14" t="s">
        <v>64</v>
      </c>
      <c r="C47" s="14" t="s">
        <v>65</v>
      </c>
      <c r="D47" s="14" t="s">
        <v>66</v>
      </c>
      <c r="E47" s="14" t="s">
        <v>67</v>
      </c>
      <c r="F47" s="14" t="s">
        <v>68</v>
      </c>
      <c r="G47" s="14" t="s">
        <v>70</v>
      </c>
      <c r="H47" s="14" t="s">
        <v>69</v>
      </c>
      <c r="I47" s="38" t="s">
        <v>72</v>
      </c>
      <c r="L47" s="15" t="s">
        <v>74</v>
      </c>
      <c r="M47" s="15" t="s">
        <v>75</v>
      </c>
      <c r="N47" s="15" t="s">
        <v>76</v>
      </c>
      <c r="O47" s="15" t="s">
        <v>77</v>
      </c>
      <c r="P47" s="15" t="s">
        <v>78</v>
      </c>
      <c r="Q47" s="15" t="s">
        <v>88</v>
      </c>
      <c r="R47" s="15" t="s">
        <v>89</v>
      </c>
      <c r="S47" s="38" t="s">
        <v>90</v>
      </c>
    </row>
    <row r="48" spans="1:40" ht="15.6" x14ac:dyDescent="0.3">
      <c r="A48" s="14">
        <v>1</v>
      </c>
      <c r="B48" s="14" t="s">
        <v>4</v>
      </c>
      <c r="C48" s="14" t="s">
        <v>71</v>
      </c>
      <c r="D48" s="14">
        <v>100</v>
      </c>
      <c r="E48" s="42">
        <f>E38</f>
        <v>17.662019999999998</v>
      </c>
      <c r="F48" s="42">
        <f>(D48*E48*$AB$3)/3600</f>
        <v>140.31493666666665</v>
      </c>
      <c r="G48" s="43">
        <f>$AB$6</f>
        <v>1601.6</v>
      </c>
      <c r="H48" s="42">
        <f>F48/G48</f>
        <v>8.7609226190476189E-2</v>
      </c>
      <c r="I48" s="38"/>
      <c r="L48" s="15" t="s">
        <v>79</v>
      </c>
      <c r="M48" s="15" t="s">
        <v>80</v>
      </c>
      <c r="N48" s="15">
        <v>20</v>
      </c>
      <c r="O48" s="15">
        <f>AK3</f>
        <v>108</v>
      </c>
      <c r="P48" s="15">
        <f>AL3</f>
        <v>82</v>
      </c>
      <c r="Q48" s="2">
        <f>200-N48</f>
        <v>180</v>
      </c>
      <c r="R48" s="12">
        <f>(100*(O48-P48))/(Q48-P48)</f>
        <v>26.530612244897959</v>
      </c>
      <c r="S48" s="38"/>
    </row>
    <row r="49" spans="1:19" ht="15.6" x14ac:dyDescent="0.3">
      <c r="A49" s="14">
        <v>2</v>
      </c>
      <c r="B49" s="14" t="s">
        <v>5</v>
      </c>
      <c r="C49" s="14" t="s">
        <v>71</v>
      </c>
      <c r="D49" s="14">
        <v>100</v>
      </c>
      <c r="E49" s="42">
        <f t="shared" ref="E49:E52" si="9">E39</f>
        <v>31.633859999999999</v>
      </c>
      <c r="F49" s="42">
        <f t="shared" ref="F49:F52" si="10">(D49*E49*$AB$3)/3600</f>
        <v>251.31344333333331</v>
      </c>
      <c r="G49" s="43">
        <f t="shared" ref="G49:G52" si="11">$AB$6</f>
        <v>1601.6</v>
      </c>
      <c r="H49" s="42">
        <f t="shared" ref="H49:H52" si="12">F49/G49</f>
        <v>0.1569139880952381</v>
      </c>
      <c r="I49" s="38"/>
      <c r="L49" s="15" t="s">
        <v>81</v>
      </c>
      <c r="M49" s="15" t="s">
        <v>82</v>
      </c>
      <c r="N49" s="15">
        <v>33</v>
      </c>
      <c r="O49" s="15">
        <f>AK4</f>
        <v>97</v>
      </c>
      <c r="P49" s="15">
        <f>AL4</f>
        <v>92</v>
      </c>
      <c r="Q49" s="2">
        <f>220-N49</f>
        <v>187</v>
      </c>
      <c r="R49" s="12">
        <f t="shared" ref="R49:R52" si="13">(100*(O49-P49))/(Q49-P49)</f>
        <v>5.2631578947368425</v>
      </c>
      <c r="S49" s="38"/>
    </row>
    <row r="50" spans="1:19" ht="15" customHeight="1" x14ac:dyDescent="0.3">
      <c r="A50" s="14">
        <v>3</v>
      </c>
      <c r="B50" s="14" t="s">
        <v>6</v>
      </c>
      <c r="C50" s="14" t="s">
        <v>71</v>
      </c>
      <c r="D50" s="14">
        <v>100</v>
      </c>
      <c r="E50" s="42">
        <f t="shared" si="9"/>
        <v>17.424900000000001</v>
      </c>
      <c r="F50" s="42">
        <f t="shared" si="10"/>
        <v>138.43115</v>
      </c>
      <c r="G50" s="43">
        <f t="shared" si="11"/>
        <v>1601.6</v>
      </c>
      <c r="H50" s="42">
        <f t="shared" si="12"/>
        <v>8.6433035714285719E-2</v>
      </c>
      <c r="I50" s="38"/>
      <c r="L50" s="15" t="s">
        <v>83</v>
      </c>
      <c r="M50" s="15" t="s">
        <v>84</v>
      </c>
      <c r="N50" s="15">
        <v>21</v>
      </c>
      <c r="O50" s="15">
        <f>AK5</f>
        <v>99</v>
      </c>
      <c r="P50" s="15">
        <f>AL5</f>
        <v>87</v>
      </c>
      <c r="Q50" s="2">
        <f>200-N50</f>
        <v>179</v>
      </c>
      <c r="R50" s="12">
        <f t="shared" si="13"/>
        <v>13.043478260869565</v>
      </c>
      <c r="S50" s="38"/>
    </row>
    <row r="51" spans="1:19" ht="15.6" x14ac:dyDescent="0.3">
      <c r="A51" s="14">
        <v>4</v>
      </c>
      <c r="B51" s="14" t="s">
        <v>7</v>
      </c>
      <c r="C51" s="14" t="s">
        <v>71</v>
      </c>
      <c r="D51" s="14">
        <v>100</v>
      </c>
      <c r="E51" s="42">
        <f t="shared" si="9"/>
        <v>17.223119999999998</v>
      </c>
      <c r="F51" s="42">
        <f t="shared" si="10"/>
        <v>136.82811999999998</v>
      </c>
      <c r="G51" s="43">
        <f t="shared" si="11"/>
        <v>1601.6</v>
      </c>
      <c r="H51" s="42">
        <f t="shared" si="12"/>
        <v>8.5432142857142845E-2</v>
      </c>
      <c r="I51" s="38"/>
      <c r="L51" s="15" t="s">
        <v>85</v>
      </c>
      <c r="M51" s="15" t="s">
        <v>82</v>
      </c>
      <c r="N51" s="15">
        <v>21</v>
      </c>
      <c r="O51" s="15">
        <f>AK6</f>
        <v>110</v>
      </c>
      <c r="P51" s="15">
        <f>AL6</f>
        <v>96</v>
      </c>
      <c r="Q51" s="2">
        <f>220-N51</f>
        <v>199</v>
      </c>
      <c r="R51" s="12">
        <f t="shared" si="13"/>
        <v>13.592233009708737</v>
      </c>
      <c r="S51" s="38"/>
    </row>
    <row r="52" spans="1:19" ht="15.6" x14ac:dyDescent="0.3">
      <c r="A52" s="14">
        <v>5</v>
      </c>
      <c r="B52" s="14" t="s">
        <v>8</v>
      </c>
      <c r="C52" s="14" t="s">
        <v>71</v>
      </c>
      <c r="D52" s="14">
        <v>100</v>
      </c>
      <c r="E52" s="42">
        <f t="shared" si="9"/>
        <v>16.126439999999999</v>
      </c>
      <c r="F52" s="42">
        <f t="shared" si="10"/>
        <v>128.11560666666665</v>
      </c>
      <c r="G52" s="43">
        <f t="shared" si="11"/>
        <v>1601.6</v>
      </c>
      <c r="H52" s="42">
        <f t="shared" si="12"/>
        <v>7.9992261904761899E-2</v>
      </c>
      <c r="I52" s="38"/>
      <c r="L52" s="17" t="s">
        <v>86</v>
      </c>
      <c r="M52" s="17" t="s">
        <v>84</v>
      </c>
      <c r="N52" s="17">
        <v>50</v>
      </c>
      <c r="O52" s="17">
        <f>AK7</f>
        <v>106</v>
      </c>
      <c r="P52" s="17">
        <f>AL7</f>
        <v>85</v>
      </c>
      <c r="Q52" s="1">
        <f>200-N52</f>
        <v>150</v>
      </c>
      <c r="R52" s="44">
        <f t="shared" si="13"/>
        <v>32.307692307692307</v>
      </c>
      <c r="S52" s="38"/>
    </row>
    <row r="53" spans="1:19" x14ac:dyDescent="0.3">
      <c r="A53" s="14"/>
      <c r="B53" s="14"/>
      <c r="C53" s="14"/>
      <c r="D53" s="14"/>
      <c r="E53" s="14"/>
      <c r="F53" s="14"/>
      <c r="G53" s="14"/>
      <c r="H53" s="42">
        <f>AVERAGE(H48:H52)</f>
        <v>9.9276130952380942E-2</v>
      </c>
      <c r="I53" s="38"/>
    </row>
    <row r="54" spans="1:19" ht="46.8" x14ac:dyDescent="0.3">
      <c r="L54" s="18" t="s">
        <v>91</v>
      </c>
    </row>
    <row r="55" spans="1:19" ht="62.4" x14ac:dyDescent="0.3">
      <c r="L55" s="20" t="s">
        <v>92</v>
      </c>
      <c r="M55" s="20" t="s">
        <v>93</v>
      </c>
      <c r="N55" s="15" t="s">
        <v>97</v>
      </c>
      <c r="O55" s="20" t="s">
        <v>98</v>
      </c>
      <c r="P55" s="20" t="s">
        <v>95</v>
      </c>
      <c r="Q55" s="20" t="s">
        <v>96</v>
      </c>
      <c r="R55" s="20" t="s">
        <v>103</v>
      </c>
      <c r="S55" s="20" t="s">
        <v>44</v>
      </c>
    </row>
    <row r="56" spans="1:19" ht="15.6" x14ac:dyDescent="0.3">
      <c r="L56" s="2" t="s">
        <v>86</v>
      </c>
      <c r="M56" s="2" t="s">
        <v>84</v>
      </c>
      <c r="N56" s="15">
        <v>106</v>
      </c>
      <c r="O56" s="2">
        <v>85</v>
      </c>
      <c r="P56" s="12">
        <f>(1.80411-(0.0229083*N56))+(4.71733*0.0001*(N56^2))</f>
        <v>4.6762221880000006</v>
      </c>
      <c r="Q56" s="12">
        <f>(1.80411-(0.0229083*O56))+(4.71733*0.0001*(O56^2))</f>
        <v>3.2651754250000002</v>
      </c>
      <c r="R56" s="24">
        <f>P56-Q56</f>
        <v>1.4110467630000003</v>
      </c>
      <c r="S56" s="2" t="s">
        <v>94</v>
      </c>
    </row>
    <row r="57" spans="1:19" ht="74.25" customHeight="1" x14ac:dyDescent="0.3"/>
    <row r="58" spans="1:19" x14ac:dyDescent="0.3">
      <c r="L58" t="s">
        <v>99</v>
      </c>
    </row>
    <row r="59" spans="1:19" x14ac:dyDescent="0.3">
      <c r="L59" t="s">
        <v>100</v>
      </c>
      <c r="M59">
        <v>4</v>
      </c>
    </row>
    <row r="60" spans="1:19" ht="57.6" x14ac:dyDescent="0.3">
      <c r="L60" s="22" t="s">
        <v>101</v>
      </c>
      <c r="M60" s="9">
        <f>480*((P56-M59)/(P56-1.5))</f>
        <v>102.19267766162969</v>
      </c>
      <c r="N60" t="s">
        <v>102</v>
      </c>
    </row>
    <row r="61" spans="1:19" ht="43.2" x14ac:dyDescent="0.3">
      <c r="L61" s="21" t="s">
        <v>104</v>
      </c>
      <c r="M61" s="45">
        <f>M60-60</f>
        <v>42.192677661629688</v>
      </c>
      <c r="N61" t="s">
        <v>102</v>
      </c>
      <c r="O61" s="19" t="s">
        <v>105</v>
      </c>
    </row>
    <row r="62" spans="1:19" ht="82.5" customHeight="1" x14ac:dyDescent="0.3"/>
    <row r="63" spans="1:19" ht="51.75" customHeight="1" x14ac:dyDescent="0.3"/>
  </sheetData>
  <mergeCells count="4">
    <mergeCell ref="S47:S52"/>
    <mergeCell ref="A43:F43"/>
    <mergeCell ref="W8:Y8"/>
    <mergeCell ref="I47:I5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ABCD4-D5AF-43B1-AD76-9C7806960357}">
  <dimension ref="C6:O119"/>
  <sheetViews>
    <sheetView topLeftCell="A95" zoomScale="89" zoomScaleNormal="70" workbookViewId="0">
      <selection activeCell="C98" sqref="C98:J118"/>
    </sheetView>
  </sheetViews>
  <sheetFormatPr defaultRowHeight="14.4" x14ac:dyDescent="0.3"/>
  <cols>
    <col min="2" max="2" width="11.44140625" bestFit="1" customWidth="1"/>
    <col min="3" max="3" width="5.77734375" bestFit="1" customWidth="1"/>
    <col min="4" max="4" width="20.44140625" bestFit="1" customWidth="1"/>
    <col min="5" max="5" width="13.5546875" bestFit="1" customWidth="1"/>
    <col min="6" max="6" width="12.6640625" bestFit="1" customWidth="1"/>
    <col min="7" max="7" width="6.21875" bestFit="1" customWidth="1"/>
    <col min="8" max="8" width="19.5546875" bestFit="1" customWidth="1"/>
    <col min="9" max="9" width="12.6640625" bestFit="1" customWidth="1"/>
    <col min="10" max="10" width="14.44140625" bestFit="1" customWidth="1"/>
  </cols>
  <sheetData>
    <row r="6" spans="3:10" x14ac:dyDescent="0.3">
      <c r="C6" s="16"/>
      <c r="D6" s="16" t="s">
        <v>32</v>
      </c>
      <c r="E6" s="16" t="s">
        <v>106</v>
      </c>
      <c r="F6" s="16" t="s">
        <v>107</v>
      </c>
      <c r="G6" s="2"/>
    </row>
    <row r="7" spans="3:10" x14ac:dyDescent="0.3">
      <c r="C7" s="16">
        <v>1</v>
      </c>
      <c r="D7" s="16">
        <v>15.67</v>
      </c>
      <c r="E7" s="25">
        <f>D7^2</f>
        <v>245.5489</v>
      </c>
      <c r="F7" s="16"/>
      <c r="G7" s="2"/>
      <c r="I7" s="2" t="s">
        <v>108</v>
      </c>
      <c r="J7" s="26">
        <v>1.1399999999999999</v>
      </c>
    </row>
    <row r="8" spans="3:10" x14ac:dyDescent="0.3">
      <c r="C8" s="16">
        <v>2</v>
      </c>
      <c r="D8" s="16">
        <v>15.45</v>
      </c>
      <c r="E8" s="25">
        <f t="shared" ref="E8:E16" si="0">D8^2</f>
        <v>238.70249999999999</v>
      </c>
      <c r="F8" s="16"/>
      <c r="G8" s="2"/>
      <c r="I8" s="2" t="s">
        <v>3</v>
      </c>
      <c r="J8" s="2">
        <v>2</v>
      </c>
    </row>
    <row r="9" spans="3:10" x14ac:dyDescent="0.3">
      <c r="C9" s="16">
        <v>3</v>
      </c>
      <c r="D9" s="16">
        <v>15.36</v>
      </c>
      <c r="E9" s="25">
        <f t="shared" si="0"/>
        <v>235.92959999999999</v>
      </c>
      <c r="F9" s="16"/>
      <c r="G9" s="2"/>
      <c r="I9" s="2" t="s">
        <v>109</v>
      </c>
      <c r="J9" s="2">
        <v>0.05</v>
      </c>
    </row>
    <row r="10" spans="3:10" x14ac:dyDescent="0.3">
      <c r="C10" s="16">
        <v>4</v>
      </c>
      <c r="D10" s="16">
        <v>15.77</v>
      </c>
      <c r="E10" s="25">
        <f t="shared" si="0"/>
        <v>248.69289999999998</v>
      </c>
      <c r="F10" s="16"/>
      <c r="G10" s="2"/>
      <c r="I10" s="30" t="s">
        <v>110</v>
      </c>
      <c r="J10" s="2">
        <v>12.5</v>
      </c>
    </row>
    <row r="11" spans="3:10" x14ac:dyDescent="0.3">
      <c r="C11" s="16">
        <v>5</v>
      </c>
      <c r="D11" s="16">
        <v>15.74</v>
      </c>
      <c r="E11" s="25">
        <f t="shared" si="0"/>
        <v>247.74760000000001</v>
      </c>
      <c r="F11" s="16"/>
      <c r="G11" s="2"/>
      <c r="J11">
        <f>J10/480</f>
        <v>2.6041666666666668E-2</v>
      </c>
    </row>
    <row r="12" spans="3:10" x14ac:dyDescent="0.3">
      <c r="C12" s="16">
        <v>6</v>
      </c>
      <c r="D12" s="16">
        <v>15.25</v>
      </c>
      <c r="E12" s="25">
        <f t="shared" si="0"/>
        <v>232.5625</v>
      </c>
      <c r="F12" s="16"/>
      <c r="G12" s="2"/>
      <c r="J12">
        <f>60/480</f>
        <v>0.125</v>
      </c>
    </row>
    <row r="13" spans="3:10" x14ac:dyDescent="0.3">
      <c r="C13" s="16">
        <v>7</v>
      </c>
      <c r="D13" s="16">
        <v>15.43</v>
      </c>
      <c r="E13" s="25">
        <f t="shared" si="0"/>
        <v>238.0849</v>
      </c>
      <c r="F13" s="16"/>
      <c r="G13" s="2"/>
    </row>
    <row r="14" spans="3:10" x14ac:dyDescent="0.3">
      <c r="C14" s="16">
        <v>8</v>
      </c>
      <c r="D14" s="16">
        <v>15.28</v>
      </c>
      <c r="E14" s="25">
        <f t="shared" si="0"/>
        <v>233.47839999999999</v>
      </c>
      <c r="F14" s="16"/>
      <c r="G14" s="2"/>
    </row>
    <row r="15" spans="3:10" x14ac:dyDescent="0.3">
      <c r="C15" s="16">
        <v>9</v>
      </c>
      <c r="D15" s="16">
        <v>15.51</v>
      </c>
      <c r="E15" s="25">
        <f t="shared" si="0"/>
        <v>240.56010000000001</v>
      </c>
      <c r="F15" s="16"/>
      <c r="G15" s="2"/>
    </row>
    <row r="16" spans="3:10" x14ac:dyDescent="0.3">
      <c r="C16" s="16">
        <v>10</v>
      </c>
      <c r="D16" s="16">
        <v>15.47</v>
      </c>
      <c r="E16" s="25">
        <f t="shared" si="0"/>
        <v>239.32090000000002</v>
      </c>
      <c r="F16" s="16"/>
      <c r="G16" s="2"/>
    </row>
    <row r="17" spans="3:10" x14ac:dyDescent="0.3">
      <c r="C17" s="2" t="s">
        <v>40</v>
      </c>
      <c r="D17" s="27">
        <f>SUM(D7:D16)</f>
        <v>154.92999999999998</v>
      </c>
      <c r="E17" s="28">
        <f>SUM(E7:E16)</f>
        <v>2400.6283000000003</v>
      </c>
      <c r="F17" s="29">
        <f>D17^2</f>
        <v>24003.304899999992</v>
      </c>
      <c r="G17" s="12">
        <f>(SUM(D7:D16)/C16)</f>
        <v>15.492999999999999</v>
      </c>
    </row>
    <row r="19" spans="3:10" x14ac:dyDescent="0.3">
      <c r="C19" s="16">
        <v>1</v>
      </c>
      <c r="D19" s="2" t="s">
        <v>111</v>
      </c>
      <c r="E19" s="10">
        <f>((J8/J9*(((C16*E17)-F17)^(1/2)))/D17)^2</f>
        <v>0.1985126639797794</v>
      </c>
      <c r="F19" s="9">
        <f>((J8/J9)*(((C16*E17)-F17)^(1/2)))</f>
        <v>69.028689687823942</v>
      </c>
    </row>
    <row r="20" spans="3:10" x14ac:dyDescent="0.3">
      <c r="C20" s="16">
        <v>2</v>
      </c>
      <c r="D20" s="2" t="s">
        <v>112</v>
      </c>
      <c r="E20" s="10">
        <f>(((D7-G17)^2+(D8-G17)^2+(D9-G17)^2+(D10-G17)^2+(D11-G17)^2+(D12-G17)^2+(D13-G17)^2+(D14-G17)^2+(D15-G17)^2+(D16-G17)^2)/C15)^(1/2)</f>
        <v>0.1819065694250761</v>
      </c>
      <c r="H20" s="32">
        <f>((D7-G17)^2+(D8-G17)^2+(D9-G17)^2+(D10-G17)^2+(D11-G17)^2+(D12-G17)^2+(D13-G17)^2+(D14-G17)^2+(D15-G17)^2+(D16-G17)^2)</f>
        <v>0.2978100000000003</v>
      </c>
    </row>
    <row r="21" spans="3:10" x14ac:dyDescent="0.3">
      <c r="C21" s="16">
        <v>3</v>
      </c>
      <c r="D21" s="2" t="s">
        <v>1</v>
      </c>
      <c r="E21" s="12">
        <f>G17+(J8*E20)</f>
        <v>15.85681313885015</v>
      </c>
    </row>
    <row r="22" spans="3:10" x14ac:dyDescent="0.3">
      <c r="C22" s="16">
        <v>4</v>
      </c>
      <c r="D22" s="2" t="s">
        <v>2</v>
      </c>
      <c r="E22" s="12">
        <f>G17-(J8*E20)</f>
        <v>15.129186861149847</v>
      </c>
    </row>
    <row r="23" spans="3:10" x14ac:dyDescent="0.3">
      <c r="C23" s="16">
        <v>5</v>
      </c>
      <c r="D23" s="2" t="s">
        <v>10</v>
      </c>
      <c r="E23" s="12">
        <f>D17/C16</f>
        <v>15.492999999999999</v>
      </c>
    </row>
    <row r="24" spans="3:10" x14ac:dyDescent="0.3">
      <c r="C24" s="16">
        <v>6</v>
      </c>
      <c r="D24" s="2" t="s">
        <v>113</v>
      </c>
      <c r="E24" s="12">
        <f>E23*J7</f>
        <v>17.662019999999998</v>
      </c>
    </row>
    <row r="25" spans="3:10" x14ac:dyDescent="0.3">
      <c r="C25" s="16">
        <v>7</v>
      </c>
      <c r="D25" s="2" t="s">
        <v>114</v>
      </c>
      <c r="E25" s="12">
        <f>E24*((100)/(100-J10))</f>
        <v>20.185165714285713</v>
      </c>
      <c r="F25" s="31">
        <f>E25/60</f>
        <v>0.33641942857142854</v>
      </c>
    </row>
    <row r="26" spans="3:10" x14ac:dyDescent="0.3">
      <c r="C26" s="16">
        <v>8</v>
      </c>
      <c r="D26" s="2" t="s">
        <v>115</v>
      </c>
      <c r="E26" s="12">
        <f>1/F25</f>
        <v>2.9724799315140626</v>
      </c>
    </row>
    <row r="29" spans="3:10" x14ac:dyDescent="0.3">
      <c r="C29" s="16"/>
      <c r="D29" s="16" t="s">
        <v>116</v>
      </c>
      <c r="E29" s="16" t="s">
        <v>106</v>
      </c>
      <c r="F29" s="16" t="s">
        <v>107</v>
      </c>
      <c r="G29" s="2"/>
    </row>
    <row r="30" spans="3:10" x14ac:dyDescent="0.3">
      <c r="C30" s="16">
        <v>1</v>
      </c>
      <c r="D30" s="16">
        <v>26.45</v>
      </c>
      <c r="E30" s="25">
        <f>D30^2</f>
        <v>699.60249999999996</v>
      </c>
      <c r="F30" s="16"/>
      <c r="G30" s="2"/>
      <c r="I30" s="2" t="s">
        <v>108</v>
      </c>
      <c r="J30" s="26">
        <v>1.1399999999999999</v>
      </c>
    </row>
    <row r="31" spans="3:10" x14ac:dyDescent="0.3">
      <c r="C31" s="16">
        <v>2</v>
      </c>
      <c r="D31" s="16">
        <v>27.82</v>
      </c>
      <c r="E31" s="25">
        <f t="shared" ref="E31:E39" si="1">D31^2</f>
        <v>773.95240000000001</v>
      </c>
      <c r="F31" s="16"/>
      <c r="G31" s="2"/>
      <c r="I31" s="2" t="s">
        <v>3</v>
      </c>
      <c r="J31" s="2">
        <v>2</v>
      </c>
    </row>
    <row r="32" spans="3:10" x14ac:dyDescent="0.3">
      <c r="C32" s="16">
        <v>3</v>
      </c>
      <c r="D32" s="16">
        <v>28.36</v>
      </c>
      <c r="E32" s="25">
        <f t="shared" si="1"/>
        <v>804.28959999999995</v>
      </c>
      <c r="F32" s="16"/>
      <c r="G32" s="2"/>
      <c r="I32" s="2" t="s">
        <v>109</v>
      </c>
      <c r="J32" s="2">
        <v>0.05</v>
      </c>
    </row>
    <row r="33" spans="3:10" x14ac:dyDescent="0.3">
      <c r="C33" s="16">
        <v>4</v>
      </c>
      <c r="D33" s="16">
        <v>26.74</v>
      </c>
      <c r="E33" s="25">
        <f t="shared" si="1"/>
        <v>715.02759999999989</v>
      </c>
      <c r="F33" s="16"/>
      <c r="G33" s="2"/>
      <c r="I33" s="30" t="s">
        <v>110</v>
      </c>
      <c r="J33" s="2">
        <v>12.5</v>
      </c>
    </row>
    <row r="34" spans="3:10" x14ac:dyDescent="0.3">
      <c r="C34" s="16">
        <v>5</v>
      </c>
      <c r="D34" s="16">
        <v>28.69</v>
      </c>
      <c r="E34" s="25">
        <f t="shared" si="1"/>
        <v>823.11610000000007</v>
      </c>
      <c r="F34" s="16"/>
      <c r="G34" s="2"/>
      <c r="J34">
        <f>J33/480</f>
        <v>2.6041666666666668E-2</v>
      </c>
    </row>
    <row r="35" spans="3:10" x14ac:dyDescent="0.3">
      <c r="C35" s="16">
        <v>6</v>
      </c>
      <c r="D35" s="16">
        <v>26.38</v>
      </c>
      <c r="E35" s="25">
        <f t="shared" si="1"/>
        <v>695.9043999999999</v>
      </c>
      <c r="F35" s="16"/>
      <c r="G35" s="2"/>
      <c r="J35">
        <f>60/480</f>
        <v>0.125</v>
      </c>
    </row>
    <row r="36" spans="3:10" x14ac:dyDescent="0.3">
      <c r="C36" s="16">
        <v>7</v>
      </c>
      <c r="D36" s="16">
        <v>29.44</v>
      </c>
      <c r="E36" s="25">
        <f t="shared" si="1"/>
        <v>866.71360000000004</v>
      </c>
      <c r="F36" s="16"/>
      <c r="G36" s="2"/>
    </row>
    <row r="37" spans="3:10" x14ac:dyDescent="0.3">
      <c r="C37" s="16">
        <v>8</v>
      </c>
      <c r="D37" s="16">
        <v>25.78</v>
      </c>
      <c r="E37" s="25">
        <f t="shared" si="1"/>
        <v>664.60840000000007</v>
      </c>
      <c r="F37" s="16"/>
      <c r="G37" s="2"/>
    </row>
    <row r="38" spans="3:10" x14ac:dyDescent="0.3">
      <c r="C38" s="16">
        <v>9</v>
      </c>
      <c r="D38" s="16">
        <v>29.34</v>
      </c>
      <c r="E38" s="25">
        <f t="shared" si="1"/>
        <v>860.8356</v>
      </c>
      <c r="F38" s="16"/>
      <c r="G38" s="2"/>
    </row>
    <row r="39" spans="3:10" x14ac:dyDescent="0.3">
      <c r="C39" s="16">
        <v>10</v>
      </c>
      <c r="D39" s="16">
        <v>28.49</v>
      </c>
      <c r="E39" s="25">
        <f t="shared" si="1"/>
        <v>811.68009999999992</v>
      </c>
      <c r="F39" s="16"/>
      <c r="G39" s="2"/>
    </row>
    <row r="40" spans="3:10" x14ac:dyDescent="0.3">
      <c r="C40" s="2" t="s">
        <v>40</v>
      </c>
      <c r="D40" s="33">
        <f>SUM(D30:D39)</f>
        <v>277.49</v>
      </c>
      <c r="E40" s="28">
        <f>SUM(E30:E39)</f>
        <v>7715.7303000000002</v>
      </c>
      <c r="F40" s="29">
        <f>D40^2</f>
        <v>77000.700100000002</v>
      </c>
      <c r="G40" s="12">
        <f>(SUM(D30:D39)/C39)</f>
        <v>27.749000000000002</v>
      </c>
    </row>
    <row r="42" spans="3:10" x14ac:dyDescent="0.3">
      <c r="C42" s="16">
        <v>1</v>
      </c>
      <c r="D42" s="2" t="s">
        <v>111</v>
      </c>
      <c r="E42" s="10">
        <f>((J31/J32*(((C39*E40)-F40)^(1/2)))/D40)^2</f>
        <v>3.2540566472069892</v>
      </c>
      <c r="F42" s="9">
        <f>((J31/J32)*(((C39*E40)-F40)^(1/2)))</f>
        <v>500.564321541195</v>
      </c>
    </row>
    <row r="43" spans="3:10" x14ac:dyDescent="0.3">
      <c r="C43" s="16">
        <v>2</v>
      </c>
      <c r="D43" s="2" t="s">
        <v>112</v>
      </c>
      <c r="E43" s="10">
        <f>(((D30-G40)^2+(D31-G40)^2+(D32-G40)^2+(D33-G40)^2+(D34-G40)^2+(D35-G40)^2+(D36-G40)^2+(D37-G40)^2+(D38-G40)^2+(D39-G40)^2)/C38)^(1/2)</f>
        <v>1.3191028095725605</v>
      </c>
      <c r="H43" s="32">
        <f>((D30-G40)^2+(D31-G40)^2+(D32-G40)^2+(D33-G40)^2+(D34-G40)^2+(D35-G40)^2+(D36-G40)^2+(D37-G40)^2+(D38-G40)^2+(D39-G40)^2)</f>
        <v>15.660290000000007</v>
      </c>
    </row>
    <row r="44" spans="3:10" x14ac:dyDescent="0.3">
      <c r="C44" s="16">
        <v>3</v>
      </c>
      <c r="D44" s="2" t="s">
        <v>1</v>
      </c>
      <c r="E44" s="12">
        <f>G40+(J31*E43)</f>
        <v>30.387205619145124</v>
      </c>
    </row>
    <row r="45" spans="3:10" x14ac:dyDescent="0.3">
      <c r="C45" s="16">
        <v>4</v>
      </c>
      <c r="D45" s="2" t="s">
        <v>2</v>
      </c>
      <c r="E45" s="12">
        <f>G40-(J31*E43)</f>
        <v>25.11079438085488</v>
      </c>
    </row>
    <row r="46" spans="3:10" x14ac:dyDescent="0.3">
      <c r="C46" s="16">
        <v>5</v>
      </c>
      <c r="D46" s="2" t="s">
        <v>10</v>
      </c>
      <c r="E46" s="12">
        <f>D40/C39</f>
        <v>27.749000000000002</v>
      </c>
    </row>
    <row r="47" spans="3:10" x14ac:dyDescent="0.3">
      <c r="C47" s="16">
        <v>6</v>
      </c>
      <c r="D47" s="2" t="s">
        <v>113</v>
      </c>
      <c r="E47" s="12">
        <f>E46*J30</f>
        <v>31.633859999999999</v>
      </c>
    </row>
    <row r="48" spans="3:10" x14ac:dyDescent="0.3">
      <c r="C48" s="16">
        <v>7</v>
      </c>
      <c r="D48" s="2" t="s">
        <v>114</v>
      </c>
      <c r="E48" s="12">
        <f>E47*((100)/(100-J33))</f>
        <v>36.152982857142852</v>
      </c>
      <c r="F48" s="31">
        <f>E48/60</f>
        <v>0.60254971428571424</v>
      </c>
    </row>
    <row r="49" spans="3:10" x14ac:dyDescent="0.3">
      <c r="C49" s="16">
        <v>8</v>
      </c>
      <c r="D49" s="2" t="s">
        <v>115</v>
      </c>
      <c r="E49" s="12">
        <f>1/F48</f>
        <v>1.6596140970466458</v>
      </c>
    </row>
    <row r="52" spans="3:10" x14ac:dyDescent="0.3">
      <c r="C52" s="16"/>
      <c r="D52" s="16" t="s">
        <v>6</v>
      </c>
      <c r="E52" s="16" t="s">
        <v>106</v>
      </c>
      <c r="F52" s="16" t="s">
        <v>107</v>
      </c>
      <c r="G52" s="2"/>
    </row>
    <row r="53" spans="3:10" x14ac:dyDescent="0.3">
      <c r="C53" s="16">
        <v>1</v>
      </c>
      <c r="D53" s="2">
        <v>15.78</v>
      </c>
      <c r="E53" s="25">
        <f>D53^2</f>
        <v>249.00839999999997</v>
      </c>
      <c r="F53" s="16"/>
      <c r="G53" s="2"/>
      <c r="I53" s="2" t="s">
        <v>108</v>
      </c>
      <c r="J53" s="26">
        <v>1.1399999999999999</v>
      </c>
    </row>
    <row r="54" spans="3:10" x14ac:dyDescent="0.3">
      <c r="C54" s="16">
        <v>2</v>
      </c>
      <c r="D54" s="2">
        <v>14.7</v>
      </c>
      <c r="E54" s="25">
        <f t="shared" ref="E54:E62" si="2">D54^2</f>
        <v>216.08999999999997</v>
      </c>
      <c r="F54" s="16"/>
      <c r="G54" s="2"/>
      <c r="I54" s="2" t="s">
        <v>3</v>
      </c>
      <c r="J54" s="2">
        <v>2</v>
      </c>
    </row>
    <row r="55" spans="3:10" x14ac:dyDescent="0.3">
      <c r="C55" s="16">
        <v>3</v>
      </c>
      <c r="D55" s="2">
        <v>15.58</v>
      </c>
      <c r="E55" s="25">
        <f t="shared" si="2"/>
        <v>242.7364</v>
      </c>
      <c r="F55" s="16"/>
      <c r="G55" s="2"/>
      <c r="I55" s="2" t="s">
        <v>109</v>
      </c>
      <c r="J55" s="2">
        <v>0.05</v>
      </c>
    </row>
    <row r="56" spans="3:10" x14ac:dyDescent="0.3">
      <c r="C56" s="16">
        <v>4</v>
      </c>
      <c r="D56" s="2">
        <v>15.72</v>
      </c>
      <c r="E56" s="25">
        <f t="shared" si="2"/>
        <v>247.11840000000001</v>
      </c>
      <c r="F56" s="16"/>
      <c r="G56" s="2"/>
      <c r="I56" s="30" t="s">
        <v>110</v>
      </c>
      <c r="J56" s="2">
        <v>12.5</v>
      </c>
    </row>
    <row r="57" spans="3:10" x14ac:dyDescent="0.3">
      <c r="C57" s="16">
        <v>5</v>
      </c>
      <c r="D57" s="2">
        <v>15.08</v>
      </c>
      <c r="E57" s="25">
        <f t="shared" si="2"/>
        <v>227.40639999999999</v>
      </c>
      <c r="F57" s="16"/>
      <c r="G57" s="2"/>
      <c r="J57">
        <f>J56/480</f>
        <v>2.6041666666666668E-2</v>
      </c>
    </row>
    <row r="58" spans="3:10" x14ac:dyDescent="0.3">
      <c r="C58" s="16">
        <v>6</v>
      </c>
      <c r="D58" s="2">
        <v>14.72</v>
      </c>
      <c r="E58" s="25">
        <f t="shared" si="2"/>
        <v>216.67840000000001</v>
      </c>
      <c r="F58" s="16"/>
      <c r="G58" s="2"/>
      <c r="J58">
        <f>60/480</f>
        <v>0.125</v>
      </c>
    </row>
    <row r="59" spans="3:10" x14ac:dyDescent="0.3">
      <c r="C59" s="16">
        <v>7</v>
      </c>
      <c r="D59" s="2">
        <v>15.67</v>
      </c>
      <c r="E59" s="25">
        <f t="shared" si="2"/>
        <v>245.5489</v>
      </c>
      <c r="F59" s="16"/>
      <c r="G59" s="2"/>
    </row>
    <row r="60" spans="3:10" x14ac:dyDescent="0.3">
      <c r="C60" s="16">
        <v>8</v>
      </c>
      <c r="D60" s="2">
        <v>14.99</v>
      </c>
      <c r="E60" s="25">
        <f t="shared" si="2"/>
        <v>224.70010000000002</v>
      </c>
      <c r="F60" s="16"/>
      <c r="G60" s="2"/>
    </row>
    <row r="61" spans="3:10" x14ac:dyDescent="0.3">
      <c r="C61" s="16">
        <v>9</v>
      </c>
      <c r="D61" s="2">
        <v>14.75</v>
      </c>
      <c r="E61" s="25">
        <f t="shared" si="2"/>
        <v>217.5625</v>
      </c>
      <c r="F61" s="16"/>
      <c r="G61" s="2"/>
    </row>
    <row r="62" spans="3:10" x14ac:dyDescent="0.3">
      <c r="C62" s="16">
        <v>10</v>
      </c>
      <c r="D62" s="2">
        <v>15.86</v>
      </c>
      <c r="E62" s="25">
        <f t="shared" si="2"/>
        <v>251.53959999999998</v>
      </c>
      <c r="F62" s="16"/>
      <c r="G62" s="2"/>
    </row>
    <row r="63" spans="3:10" x14ac:dyDescent="0.3">
      <c r="C63" s="2" t="s">
        <v>40</v>
      </c>
      <c r="D63" s="33">
        <f>SUM(D53:D62)</f>
        <v>152.85000000000002</v>
      </c>
      <c r="E63" s="28">
        <f>SUM(E53:E62)</f>
        <v>2338.3891000000003</v>
      </c>
      <c r="F63" s="29">
        <f>D63^2</f>
        <v>23363.122500000009</v>
      </c>
      <c r="G63" s="12">
        <f>(SUM(D53:D62)/C62)</f>
        <v>15.285000000000002</v>
      </c>
    </row>
    <row r="65" spans="3:10" x14ac:dyDescent="0.3">
      <c r="C65" s="16">
        <v>1</v>
      </c>
      <c r="D65" s="2" t="s">
        <v>111</v>
      </c>
      <c r="E65" s="10">
        <f>((J54/J55*(((C62*E63)-F63)^(1/2)))/D63)^2</f>
        <v>1.4223098817374031</v>
      </c>
      <c r="F65" s="9">
        <f>((J54/J55)*(((C62*E63)-F63)^(1/2)))</f>
        <v>182.28987903883055</v>
      </c>
    </row>
    <row r="66" spans="3:10" x14ac:dyDescent="0.3">
      <c r="C66" s="16">
        <v>2</v>
      </c>
      <c r="D66" s="2" t="s">
        <v>112</v>
      </c>
      <c r="E66" s="10">
        <f>(((D53-G63)^2+(D54-G63)^2+(D55-G63)^2+(D56-G63)^2+(D57-G63)^2+(D58-G63)^2+(D59-G63)^2+(D60-G63)^2+(D61-G63)^2+(D62-G63)^2)/C61)^(1/2)</f>
        <v>0.48037601013280323</v>
      </c>
      <c r="H66" s="32">
        <f>((D53-G63)^2+(D54-G63)^2+(D55-G63)^2+(D56-G63)^2+(D57-G63)^2+(D58-G63)^2+(D59-G63)^2+(D60-G63)^2+(D61-G63)^2+(D62-G63)^2)</f>
        <v>2.0768499999999994</v>
      </c>
    </row>
    <row r="67" spans="3:10" x14ac:dyDescent="0.3">
      <c r="C67" s="16">
        <v>3</v>
      </c>
      <c r="D67" s="2" t="s">
        <v>1</v>
      </c>
      <c r="E67" s="12">
        <f>G63+(J54*E66)</f>
        <v>16.245752020265609</v>
      </c>
    </row>
    <row r="68" spans="3:10" x14ac:dyDescent="0.3">
      <c r="C68" s="16">
        <v>4</v>
      </c>
      <c r="D68" s="2" t="s">
        <v>2</v>
      </c>
      <c r="E68" s="12">
        <f>G63-(J54*E66)</f>
        <v>14.324247979734395</v>
      </c>
    </row>
    <row r="69" spans="3:10" x14ac:dyDescent="0.3">
      <c r="C69" s="16">
        <v>5</v>
      </c>
      <c r="D69" s="2" t="s">
        <v>10</v>
      </c>
      <c r="E69" s="12">
        <f>D63/C62</f>
        <v>15.285000000000002</v>
      </c>
    </row>
    <row r="70" spans="3:10" x14ac:dyDescent="0.3">
      <c r="C70" s="16">
        <v>6</v>
      </c>
      <c r="D70" s="2" t="s">
        <v>113</v>
      </c>
      <c r="E70" s="12">
        <f>E69*J53</f>
        <v>17.424900000000001</v>
      </c>
    </row>
    <row r="71" spans="3:10" x14ac:dyDescent="0.3">
      <c r="C71" s="16">
        <v>7</v>
      </c>
      <c r="D71" s="2" t="s">
        <v>114</v>
      </c>
      <c r="E71" s="12">
        <f>E70*((100)/(100-J56))</f>
        <v>19.914171428571429</v>
      </c>
      <c r="F71" s="31">
        <f>E71/60</f>
        <v>0.33190285714285717</v>
      </c>
    </row>
    <row r="72" spans="3:10" x14ac:dyDescent="0.3">
      <c r="C72" s="16">
        <v>8</v>
      </c>
      <c r="D72" s="2" t="s">
        <v>115</v>
      </c>
      <c r="E72" s="12">
        <f>1/F71</f>
        <v>3.0129297729111788</v>
      </c>
    </row>
    <row r="75" spans="3:10" x14ac:dyDescent="0.3">
      <c r="C75" s="16"/>
      <c r="D75" s="16" t="s">
        <v>7</v>
      </c>
      <c r="E75" s="16" t="s">
        <v>106</v>
      </c>
      <c r="F75" s="16" t="s">
        <v>107</v>
      </c>
      <c r="G75" s="2"/>
    </row>
    <row r="76" spans="3:10" x14ac:dyDescent="0.3">
      <c r="C76" s="16">
        <v>1</v>
      </c>
      <c r="D76" s="2">
        <v>15.04</v>
      </c>
      <c r="E76" s="25">
        <f>D76^2</f>
        <v>226.20159999999998</v>
      </c>
      <c r="F76" s="16"/>
      <c r="G76" s="2"/>
      <c r="I76" s="2" t="s">
        <v>108</v>
      </c>
      <c r="J76" s="26">
        <v>1.1399999999999999</v>
      </c>
    </row>
    <row r="77" spans="3:10" x14ac:dyDescent="0.3">
      <c r="C77" s="16">
        <v>2</v>
      </c>
      <c r="D77" s="2">
        <v>14.72</v>
      </c>
      <c r="E77" s="25">
        <f t="shared" ref="E77:E85" si="3">D77^2</f>
        <v>216.67840000000001</v>
      </c>
      <c r="F77" s="16"/>
      <c r="G77" s="2"/>
      <c r="I77" s="2" t="s">
        <v>3</v>
      </c>
      <c r="J77" s="2">
        <v>2</v>
      </c>
    </row>
    <row r="78" spans="3:10" x14ac:dyDescent="0.3">
      <c r="C78" s="16">
        <v>3</v>
      </c>
      <c r="D78" s="2">
        <v>15.23</v>
      </c>
      <c r="E78" s="25">
        <f t="shared" si="3"/>
        <v>231.9529</v>
      </c>
      <c r="F78" s="16"/>
      <c r="G78" s="2"/>
      <c r="I78" s="2" t="s">
        <v>109</v>
      </c>
      <c r="J78" s="2">
        <v>0.05</v>
      </c>
    </row>
    <row r="79" spans="3:10" x14ac:dyDescent="0.3">
      <c r="C79" s="16">
        <v>4</v>
      </c>
      <c r="D79" s="2">
        <v>14.66</v>
      </c>
      <c r="E79" s="25">
        <f t="shared" si="3"/>
        <v>214.91560000000001</v>
      </c>
      <c r="F79" s="16"/>
      <c r="G79" s="2"/>
      <c r="I79" s="30" t="s">
        <v>110</v>
      </c>
      <c r="J79" s="2">
        <v>12.5</v>
      </c>
    </row>
    <row r="80" spans="3:10" x14ac:dyDescent="0.3">
      <c r="C80" s="16">
        <v>5</v>
      </c>
      <c r="D80" s="2">
        <v>15.16</v>
      </c>
      <c r="E80" s="25">
        <f t="shared" si="3"/>
        <v>229.82560000000001</v>
      </c>
      <c r="F80" s="16"/>
      <c r="G80" s="2"/>
      <c r="J80">
        <f>J79/480</f>
        <v>2.6041666666666668E-2</v>
      </c>
    </row>
    <row r="81" spans="3:10" x14ac:dyDescent="0.3">
      <c r="C81" s="16">
        <v>6</v>
      </c>
      <c r="D81" s="2">
        <v>15.28</v>
      </c>
      <c r="E81" s="25">
        <f t="shared" si="3"/>
        <v>233.47839999999999</v>
      </c>
      <c r="F81" s="16"/>
      <c r="G81" s="2"/>
      <c r="J81">
        <f>60/480</f>
        <v>0.125</v>
      </c>
    </row>
    <row r="82" spans="3:10" x14ac:dyDescent="0.3">
      <c r="C82" s="16">
        <v>7</v>
      </c>
      <c r="D82" s="2">
        <v>15.48</v>
      </c>
      <c r="E82" s="25">
        <f t="shared" si="3"/>
        <v>239.63040000000001</v>
      </c>
      <c r="F82" s="16"/>
      <c r="G82" s="2"/>
    </row>
    <row r="83" spans="3:10" x14ac:dyDescent="0.3">
      <c r="C83" s="16">
        <v>8</v>
      </c>
      <c r="D83" s="2">
        <v>14.98</v>
      </c>
      <c r="E83" s="25">
        <f t="shared" si="3"/>
        <v>224.40040000000002</v>
      </c>
      <c r="F83" s="16"/>
      <c r="G83" s="2"/>
    </row>
    <row r="84" spans="3:10" x14ac:dyDescent="0.3">
      <c r="C84" s="16">
        <v>9</v>
      </c>
      <c r="D84" s="2">
        <v>15.16</v>
      </c>
      <c r="E84" s="25">
        <f t="shared" si="3"/>
        <v>229.82560000000001</v>
      </c>
      <c r="F84" s="16"/>
      <c r="G84" s="2"/>
    </row>
    <row r="85" spans="3:10" x14ac:dyDescent="0.3">
      <c r="C85" s="16">
        <v>10</v>
      </c>
      <c r="D85" s="2">
        <v>15.37</v>
      </c>
      <c r="E85" s="25">
        <f t="shared" si="3"/>
        <v>236.23689999999996</v>
      </c>
      <c r="F85" s="16"/>
      <c r="G85" s="2"/>
    </row>
    <row r="86" spans="3:10" x14ac:dyDescent="0.3">
      <c r="C86" s="2" t="s">
        <v>40</v>
      </c>
      <c r="D86" s="33">
        <f>SUM(D76:D85)</f>
        <v>151.08000000000001</v>
      </c>
      <c r="E86" s="28">
        <f>SUM(E76:E85)</f>
        <v>2283.1457999999998</v>
      </c>
      <c r="F86" s="29">
        <f>D86^2</f>
        <v>22825.166400000006</v>
      </c>
      <c r="G86" s="12">
        <f>(SUM(D76:D85)/C85)</f>
        <v>15.108000000000001</v>
      </c>
    </row>
    <row r="88" spans="3:10" x14ac:dyDescent="0.3">
      <c r="C88" s="16">
        <v>1</v>
      </c>
      <c r="D88" s="2" t="s">
        <v>111</v>
      </c>
      <c r="E88" s="10">
        <f>((J77/J78*(((C85*E86)-F86)^(1/2)))/D86)^2</f>
        <v>0.44102898632051635</v>
      </c>
      <c r="F88" s="9">
        <f>((J77/J78)*(((C85*E86)-F86)^(1/2)))</f>
        <v>100.33224805609167</v>
      </c>
    </row>
    <row r="89" spans="3:10" x14ac:dyDescent="0.3">
      <c r="C89" s="16">
        <v>2</v>
      </c>
      <c r="D89" s="2" t="s">
        <v>112</v>
      </c>
      <c r="E89" s="10">
        <f>(((D76-G86)^2+(D77-G86)^2+(D78-G86)^2+(D79-G86)^2+(D80-G86)^2+(D81-G86)^2+(D82-G86)^2+(D83-G86)^2+(D84-G86)^2+(D85-G86)^2)/C84)^(1/2)</f>
        <v>0.26439868885201867</v>
      </c>
      <c r="H89" s="32">
        <f>((D76-G86)^2+(D77-G86)^2+(D78-G86)^2+(D79-G86)^2+(D80-G86)^2+(D81-G86)^2+(D82-G86)^2+(D83-G86)^2+(D84-G86)^2+(D85-G86)^2)</f>
        <v>0.62915999999999916</v>
      </c>
    </row>
    <row r="90" spans="3:10" x14ac:dyDescent="0.3">
      <c r="C90" s="16">
        <v>3</v>
      </c>
      <c r="D90" s="2" t="s">
        <v>1</v>
      </c>
      <c r="E90" s="12">
        <f>G86+(J77*E89)</f>
        <v>15.636797377704038</v>
      </c>
    </row>
    <row r="91" spans="3:10" x14ac:dyDescent="0.3">
      <c r="C91" s="16">
        <v>4</v>
      </c>
      <c r="D91" s="2" t="s">
        <v>2</v>
      </c>
      <c r="E91" s="12">
        <f>G86-(J77*E89)</f>
        <v>14.579202622295963</v>
      </c>
    </row>
    <row r="92" spans="3:10" x14ac:dyDescent="0.3">
      <c r="C92" s="16">
        <v>5</v>
      </c>
      <c r="D92" s="2" t="s">
        <v>10</v>
      </c>
      <c r="E92" s="12">
        <f>D86/C85</f>
        <v>15.108000000000001</v>
      </c>
    </row>
    <row r="93" spans="3:10" x14ac:dyDescent="0.3">
      <c r="C93" s="16">
        <v>6</v>
      </c>
      <c r="D93" s="2" t="s">
        <v>113</v>
      </c>
      <c r="E93" s="12">
        <f>E92*J76</f>
        <v>17.223119999999998</v>
      </c>
    </row>
    <row r="94" spans="3:10" x14ac:dyDescent="0.3">
      <c r="C94" s="16">
        <v>7</v>
      </c>
      <c r="D94" s="2" t="s">
        <v>114</v>
      </c>
      <c r="E94" s="12">
        <f>E93*((100)/(100-J79))</f>
        <v>19.683565714285709</v>
      </c>
      <c r="F94" s="31">
        <f>E94/60</f>
        <v>0.3280594285714285</v>
      </c>
    </row>
    <row r="95" spans="3:10" x14ac:dyDescent="0.3">
      <c r="C95" s="16">
        <v>8</v>
      </c>
      <c r="D95" s="2" t="s">
        <v>115</v>
      </c>
      <c r="E95" s="12">
        <f>1/F94</f>
        <v>3.0482281955882566</v>
      </c>
    </row>
    <row r="98" spans="3:15" x14ac:dyDescent="0.3">
      <c r="C98" s="16"/>
      <c r="D98" s="16" t="s">
        <v>8</v>
      </c>
      <c r="E98" s="16" t="s">
        <v>106</v>
      </c>
      <c r="F98" s="16" t="s">
        <v>107</v>
      </c>
      <c r="G98" s="2"/>
    </row>
    <row r="99" spans="3:15" x14ac:dyDescent="0.3">
      <c r="C99" s="16">
        <v>1</v>
      </c>
      <c r="D99" s="2">
        <v>14.32</v>
      </c>
      <c r="E99" s="25">
        <f>D99^2</f>
        <v>205.0624</v>
      </c>
      <c r="F99" s="16"/>
      <c r="G99" s="2"/>
      <c r="I99" s="2" t="s">
        <v>108</v>
      </c>
      <c r="J99" s="26">
        <v>1.1399999999999999</v>
      </c>
    </row>
    <row r="100" spans="3:15" x14ac:dyDescent="0.3">
      <c r="C100" s="16">
        <v>2</v>
      </c>
      <c r="D100" s="2">
        <v>14.28</v>
      </c>
      <c r="E100" s="25">
        <f t="shared" ref="E100:E108" si="4">D100^2</f>
        <v>203.91839999999999</v>
      </c>
      <c r="F100" s="16"/>
      <c r="G100" s="2"/>
      <c r="I100" s="2" t="s">
        <v>3</v>
      </c>
      <c r="J100" s="2">
        <v>2</v>
      </c>
    </row>
    <row r="101" spans="3:15" x14ac:dyDescent="0.3">
      <c r="C101" s="16">
        <v>3</v>
      </c>
      <c r="D101" s="2">
        <v>14.05</v>
      </c>
      <c r="E101" s="25">
        <f t="shared" si="4"/>
        <v>197.40250000000003</v>
      </c>
      <c r="F101" s="16"/>
      <c r="G101" s="2"/>
      <c r="I101" s="2" t="s">
        <v>109</v>
      </c>
      <c r="J101" s="2">
        <v>0.05</v>
      </c>
    </row>
    <row r="102" spans="3:15" x14ac:dyDescent="0.3">
      <c r="C102" s="16">
        <v>4</v>
      </c>
      <c r="D102" s="2">
        <v>13.49</v>
      </c>
      <c r="E102" s="25">
        <f t="shared" si="4"/>
        <v>181.98009999999999</v>
      </c>
      <c r="F102" s="16"/>
      <c r="G102" s="2"/>
      <c r="I102" s="30" t="s">
        <v>110</v>
      </c>
      <c r="J102" s="2">
        <v>12.5</v>
      </c>
    </row>
    <row r="103" spans="3:15" x14ac:dyDescent="0.3">
      <c r="C103" s="16">
        <v>5</v>
      </c>
      <c r="D103" s="2">
        <v>14.47</v>
      </c>
      <c r="E103" s="25">
        <f t="shared" si="4"/>
        <v>209.38090000000003</v>
      </c>
      <c r="F103" s="16"/>
      <c r="G103" s="2"/>
      <c r="J103">
        <f>J102/480</f>
        <v>2.6041666666666668E-2</v>
      </c>
    </row>
    <row r="104" spans="3:15" x14ac:dyDescent="0.3">
      <c r="C104" s="16">
        <v>6</v>
      </c>
      <c r="D104" s="2">
        <v>13.98</v>
      </c>
      <c r="E104" s="25">
        <f t="shared" si="4"/>
        <v>195.44040000000001</v>
      </c>
      <c r="F104" s="16"/>
      <c r="G104" s="2"/>
      <c r="J104">
        <f>60/480</f>
        <v>0.125</v>
      </c>
    </row>
    <row r="105" spans="3:15" x14ac:dyDescent="0.3">
      <c r="C105" s="16">
        <v>7</v>
      </c>
      <c r="D105" s="2">
        <v>14.69</v>
      </c>
      <c r="E105" s="25">
        <f t="shared" si="4"/>
        <v>215.7961</v>
      </c>
      <c r="F105" s="16"/>
      <c r="G105" s="2"/>
    </row>
    <row r="106" spans="3:15" ht="15" thickBot="1" x14ac:dyDescent="0.35">
      <c r="C106" s="16">
        <v>8</v>
      </c>
      <c r="D106" s="2">
        <v>14.01</v>
      </c>
      <c r="E106" s="25">
        <f t="shared" si="4"/>
        <v>196.2801</v>
      </c>
      <c r="F106" s="16"/>
      <c r="G106" s="2"/>
    </row>
    <row r="107" spans="3:15" ht="16.2" thickBot="1" x14ac:dyDescent="0.35">
      <c r="C107" s="16">
        <v>9</v>
      </c>
      <c r="D107" s="2">
        <v>13.75</v>
      </c>
      <c r="E107" s="25">
        <f t="shared" si="4"/>
        <v>189.0625</v>
      </c>
      <c r="F107" s="16"/>
      <c r="G107" s="2"/>
      <c r="N107" s="39">
        <v>20.190000000000001</v>
      </c>
      <c r="O107">
        <f>SUM(N107:N111)</f>
        <v>114.36000000000001</v>
      </c>
    </row>
    <row r="108" spans="3:15" ht="16.2" thickBot="1" x14ac:dyDescent="0.35">
      <c r="C108" s="16">
        <v>10</v>
      </c>
      <c r="D108" s="2">
        <v>14.42</v>
      </c>
      <c r="E108" s="25">
        <f t="shared" si="4"/>
        <v>207.93639999999999</v>
      </c>
      <c r="F108" s="16"/>
      <c r="G108" s="2"/>
      <c r="N108" s="40">
        <v>36.15</v>
      </c>
    </row>
    <row r="109" spans="3:15" ht="16.2" thickBot="1" x14ac:dyDescent="0.35">
      <c r="C109" s="2" t="s">
        <v>40</v>
      </c>
      <c r="D109" s="33">
        <f>SUM(D99:D108)</f>
        <v>141.46</v>
      </c>
      <c r="E109" s="28">
        <f>SUM(E99:E108)</f>
        <v>2002.2598</v>
      </c>
      <c r="F109" s="29">
        <f>D109^2</f>
        <v>20010.931600000004</v>
      </c>
      <c r="G109" s="12">
        <f>(SUM(D99:D108)/C108)</f>
        <v>14.146000000000001</v>
      </c>
      <c r="N109" s="40">
        <v>19.91</v>
      </c>
    </row>
    <row r="110" spans="3:15" ht="16.2" thickBot="1" x14ac:dyDescent="0.35">
      <c r="N110" s="40">
        <v>19.68</v>
      </c>
    </row>
    <row r="111" spans="3:15" ht="16.2" thickBot="1" x14ac:dyDescent="0.35">
      <c r="C111" s="16">
        <v>1</v>
      </c>
      <c r="D111" s="2" t="s">
        <v>111</v>
      </c>
      <c r="E111" s="10">
        <f>((J100/J101*(((C108*E109)-F109)^(1/2)))/D109)^2</f>
        <v>0.93280214900125857</v>
      </c>
      <c r="F111" s="9">
        <f>((J100/J101)*(((C108*E109)-F109)^(1/2)))</f>
        <v>136.62444876374505</v>
      </c>
      <c r="N111" s="40">
        <v>18.43</v>
      </c>
    </row>
    <row r="112" spans="3:15" x14ac:dyDescent="0.3">
      <c r="C112" s="16">
        <v>2</v>
      </c>
      <c r="D112" s="2" t="s">
        <v>112</v>
      </c>
      <c r="E112" s="10">
        <f>(((D99-G109)^2+(D100-G109)^2+(D101-G109)^2+(D102-G109)^2+(D103-G109)^2+(D104-G109)^2+(D105-G109)^2+(D106-G109)^2+(D107-G109)^2+(D108-G109)^2)/C107)^(1/2)</f>
        <v>0.36003703513203555</v>
      </c>
      <c r="H112" s="32">
        <f>((D99-G109)^2+(D100-G109)^2+(D101-G109)^2+(D102-G109)^2+(D103-G109)^2+(D104-G109)^2+(D105-G109)^2+(D106-G109)^2+(D107-G109)^2+(D108-G109)^2)</f>
        <v>1.1666399999999995</v>
      </c>
    </row>
    <row r="113" spans="3:7" x14ac:dyDescent="0.3">
      <c r="C113" s="16">
        <v>3</v>
      </c>
      <c r="D113" s="2" t="s">
        <v>1</v>
      </c>
      <c r="E113" s="12">
        <f>G109+(J100*E112)</f>
        <v>14.866074070264071</v>
      </c>
    </row>
    <row r="114" spans="3:7" x14ac:dyDescent="0.3">
      <c r="C114" s="16">
        <v>4</v>
      </c>
      <c r="D114" s="2" t="s">
        <v>2</v>
      </c>
      <c r="E114" s="12">
        <f>G109-(J100*E112)</f>
        <v>13.42592592973593</v>
      </c>
    </row>
    <row r="115" spans="3:7" x14ac:dyDescent="0.3">
      <c r="C115" s="16">
        <v>5</v>
      </c>
      <c r="D115" s="2" t="s">
        <v>10</v>
      </c>
      <c r="E115" s="12">
        <f>D109/C108</f>
        <v>14.146000000000001</v>
      </c>
    </row>
    <row r="116" spans="3:7" x14ac:dyDescent="0.3">
      <c r="C116" s="16">
        <v>6</v>
      </c>
      <c r="D116" s="2" t="s">
        <v>113</v>
      </c>
      <c r="E116" s="12">
        <f>E115*J99</f>
        <v>16.126439999999999</v>
      </c>
    </row>
    <row r="117" spans="3:7" x14ac:dyDescent="0.3">
      <c r="C117" s="16">
        <v>7</v>
      </c>
      <c r="D117" s="2" t="s">
        <v>114</v>
      </c>
      <c r="E117" s="12">
        <f>E116*((100)/(100-J102))</f>
        <v>18.430217142857142</v>
      </c>
      <c r="F117" s="31">
        <f>E117/60</f>
        <v>0.30717028571428567</v>
      </c>
    </row>
    <row r="118" spans="3:7" x14ac:dyDescent="0.3">
      <c r="C118" s="16">
        <v>8</v>
      </c>
      <c r="D118" s="2" t="s">
        <v>115</v>
      </c>
      <c r="E118" s="12">
        <f>1/F117</f>
        <v>3.2555232276931552</v>
      </c>
    </row>
    <row r="119" spans="3:7" x14ac:dyDescent="0.3">
      <c r="F119">
        <v>8</v>
      </c>
      <c r="G119">
        <f>E118*F119</f>
        <v>26.044185821545241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Deddy</cp:lastModifiedBy>
  <dcterms:created xsi:type="dcterms:W3CDTF">2023-07-17T02:33:18Z</dcterms:created>
  <dcterms:modified xsi:type="dcterms:W3CDTF">2023-08-16T14:36:43Z</dcterms:modified>
</cp:coreProperties>
</file>