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teman2\faris\"/>
    </mc:Choice>
  </mc:AlternateContent>
  <xr:revisionPtr revIDLastSave="0" documentId="13_ncr:1_{C6FC6123-D315-4C88-8ACD-593D0F7D2451}" xr6:coauthVersionLast="47" xr6:coauthVersionMax="47" xr10:uidLastSave="{00000000-0000-0000-0000-000000000000}"/>
  <bookViews>
    <workbookView xWindow="-110" yWindow="-110" windowWidth="19420" windowHeight="10420" activeTab="5" xr2:uid="{00000000-000D-0000-FFFF-FFFF00000000}"/>
  </bookViews>
  <sheets>
    <sheet name="berat basah" sheetId="1" r:id="rId1"/>
    <sheet name="berat kering" sheetId="2" r:id="rId2"/>
    <sheet name="jumlah anakan" sheetId="3" r:id="rId3"/>
    <sheet name="berat akar" sheetId="4" r:id="rId4"/>
    <sheet name="panjang akar" sheetId="6" r:id="rId5"/>
    <sheet name="Sheet1" sheetId="5" r:id="rId6"/>
  </sheets>
  <calcPr calcId="191029"/>
</workbook>
</file>

<file path=xl/calcChain.xml><?xml version="1.0" encoding="utf-8"?>
<calcChain xmlns="http://schemas.openxmlformats.org/spreadsheetml/2006/main">
  <c r="Q3" i="5" l="1"/>
  <c r="Q4" i="5"/>
  <c r="Q5" i="5"/>
  <c r="Q6" i="5"/>
  <c r="Q7" i="5"/>
  <c r="Q8" i="5"/>
  <c r="Q9" i="5"/>
  <c r="Q10" i="5"/>
  <c r="Q11" i="5"/>
  <c r="Q12" i="5"/>
  <c r="Q13" i="5"/>
  <c r="Q14" i="5"/>
  <c r="Q2" i="5"/>
  <c r="U18" i="4"/>
  <c r="Y17" i="4" s="1"/>
  <c r="U17" i="4"/>
  <c r="Y16" i="4"/>
  <c r="U16" i="4"/>
  <c r="U15" i="4"/>
  <c r="Y14" i="4"/>
  <c r="U14" i="4"/>
  <c r="U13" i="4"/>
  <c r="Y12" i="4"/>
  <c r="U12" i="4"/>
  <c r="U11" i="4"/>
  <c r="Y10" i="4"/>
  <c r="U10" i="4"/>
  <c r="U9" i="4"/>
  <c r="Y8" i="4"/>
  <c r="U8" i="4"/>
  <c r="U7" i="4"/>
  <c r="Y6" i="4"/>
  <c r="U6" i="4"/>
  <c r="S3" i="5"/>
  <c r="S4" i="5"/>
  <c r="S5" i="5"/>
  <c r="S6" i="5"/>
  <c r="S7" i="5"/>
  <c r="S8" i="5"/>
  <c r="S9" i="5"/>
  <c r="S10" i="5"/>
  <c r="S11" i="5"/>
  <c r="S12" i="5"/>
  <c r="S13" i="5"/>
  <c r="S14" i="5"/>
  <c r="S2" i="5"/>
  <c r="H14" i="5"/>
  <c r="F14" i="5"/>
  <c r="U18" i="1"/>
  <c r="Y17" i="1" s="1"/>
  <c r="U17" i="1"/>
  <c r="Y16" i="1"/>
  <c r="U16" i="1"/>
  <c r="U15" i="1"/>
  <c r="Y14" i="1"/>
  <c r="U14" i="1"/>
  <c r="U13" i="1"/>
  <c r="Y12" i="1"/>
  <c r="U12" i="1"/>
  <c r="U11" i="1"/>
  <c r="Y10" i="1"/>
  <c r="U10" i="1"/>
  <c r="U9" i="1"/>
  <c r="Y8" i="1"/>
  <c r="U8" i="1"/>
  <c r="U7" i="1"/>
  <c r="Y6" i="1"/>
  <c r="U6" i="1"/>
  <c r="H3" i="5"/>
  <c r="H4" i="5"/>
  <c r="H5" i="5"/>
  <c r="H6" i="5"/>
  <c r="H7" i="5"/>
  <c r="H8" i="5"/>
  <c r="H9" i="5"/>
  <c r="H10" i="5"/>
  <c r="H11" i="5"/>
  <c r="H12" i="5"/>
  <c r="H13" i="5"/>
  <c r="H2" i="5"/>
  <c r="F3" i="5"/>
  <c r="F4" i="5"/>
  <c r="F5" i="5"/>
  <c r="F6" i="5"/>
  <c r="F7" i="5"/>
  <c r="F8" i="5"/>
  <c r="F9" i="5"/>
  <c r="F10" i="5"/>
  <c r="F11" i="5"/>
  <c r="F12" i="5"/>
  <c r="F13" i="5"/>
  <c r="F2" i="5"/>
  <c r="U18" i="2"/>
  <c r="Y17" i="2" s="1"/>
  <c r="U17" i="2"/>
  <c r="U16" i="2"/>
  <c r="U15" i="2"/>
  <c r="U14" i="2"/>
  <c r="U13" i="2"/>
  <c r="U12" i="2"/>
  <c r="U11" i="2"/>
  <c r="U10" i="2"/>
  <c r="U9" i="2"/>
  <c r="U8" i="2"/>
  <c r="U7" i="2"/>
  <c r="U6" i="2"/>
  <c r="Y7" i="6"/>
  <c r="Y8" i="6"/>
  <c r="Y9" i="6"/>
  <c r="Y10" i="6"/>
  <c r="Y11" i="6"/>
  <c r="Y12" i="6"/>
  <c r="Y13" i="6"/>
  <c r="Y14" i="6"/>
  <c r="Y15" i="6"/>
  <c r="Y16" i="6"/>
  <c r="Y17" i="6"/>
  <c r="Y6" i="6"/>
  <c r="U7" i="6"/>
  <c r="U8" i="6"/>
  <c r="U9" i="6"/>
  <c r="U10" i="6"/>
  <c r="U11" i="6"/>
  <c r="U12" i="6"/>
  <c r="U13" i="6"/>
  <c r="U14" i="6"/>
  <c r="U15" i="6"/>
  <c r="U16" i="6"/>
  <c r="U17" i="6"/>
  <c r="U6" i="6"/>
  <c r="U18" i="6"/>
  <c r="N26" i="3"/>
  <c r="Y7" i="4" l="1"/>
  <c r="Y9" i="4"/>
  <c r="Y11" i="4"/>
  <c r="Y13" i="4"/>
  <c r="Y15" i="4"/>
  <c r="Y7" i="1"/>
  <c r="Y9" i="1"/>
  <c r="Y11" i="1"/>
  <c r="Y13" i="1"/>
  <c r="Y15" i="1"/>
  <c r="Y7" i="2"/>
  <c r="Y9" i="2"/>
  <c r="Y11" i="2"/>
  <c r="Y13" i="2"/>
  <c r="Y15" i="2"/>
  <c r="Y6" i="2"/>
  <c r="Y8" i="2"/>
  <c r="Y10" i="2"/>
  <c r="Y12" i="2"/>
  <c r="Y14" i="2"/>
  <c r="Y16" i="2"/>
  <c r="F7" i="2" l="1"/>
  <c r="F8" i="2"/>
  <c r="C25" i="2" s="1"/>
  <c r="F9" i="2"/>
  <c r="F10" i="2"/>
  <c r="D23" i="2" s="1"/>
  <c r="F11" i="2"/>
  <c r="D24" i="2" s="1"/>
  <c r="F12" i="2"/>
  <c r="D25" i="2" s="1"/>
  <c r="F13" i="2"/>
  <c r="F14" i="2"/>
  <c r="E23" i="2" s="1"/>
  <c r="F15" i="2"/>
  <c r="E24" i="2" s="1"/>
  <c r="F16" i="2"/>
  <c r="E25" i="2" s="1"/>
  <c r="F17" i="2"/>
  <c r="F6" i="2"/>
  <c r="E18" i="6"/>
  <c r="D18" i="6"/>
  <c r="C18" i="6"/>
  <c r="G17" i="6"/>
  <c r="M25" i="6" s="1"/>
  <c r="F17" i="6"/>
  <c r="E26" i="6" s="1"/>
  <c r="K16" i="6"/>
  <c r="G16" i="6"/>
  <c r="L25" i="6" s="1"/>
  <c r="F16" i="6"/>
  <c r="E25" i="6" s="1"/>
  <c r="G15" i="6"/>
  <c r="K25" i="6" s="1"/>
  <c r="F15" i="6"/>
  <c r="E24" i="6" s="1"/>
  <c r="K14" i="6"/>
  <c r="G14" i="6"/>
  <c r="M29" i="6" s="1"/>
  <c r="F14" i="6"/>
  <c r="E23" i="6" s="1"/>
  <c r="K13" i="6"/>
  <c r="G13" i="6"/>
  <c r="M24" i="6" s="1"/>
  <c r="F13" i="6"/>
  <c r="D26" i="6" s="1"/>
  <c r="K12" i="6"/>
  <c r="G12" i="6"/>
  <c r="L31" i="6" s="1"/>
  <c r="F12" i="6"/>
  <c r="D25" i="6" s="1"/>
  <c r="K11" i="6"/>
  <c r="G11" i="6"/>
  <c r="L30" i="6" s="1"/>
  <c r="F11" i="6"/>
  <c r="D24" i="6" s="1"/>
  <c r="K10" i="6"/>
  <c r="G10" i="6"/>
  <c r="J24" i="6" s="1"/>
  <c r="F10" i="6"/>
  <c r="D23" i="6" s="1"/>
  <c r="G9" i="6"/>
  <c r="K32" i="6" s="1"/>
  <c r="F9" i="6"/>
  <c r="C26" i="6" s="1"/>
  <c r="G8" i="6"/>
  <c r="K31" i="6" s="1"/>
  <c r="F8" i="6"/>
  <c r="C25" i="6" s="1"/>
  <c r="G7" i="6"/>
  <c r="K30" i="6" s="1"/>
  <c r="F7" i="6"/>
  <c r="C24" i="6" s="1"/>
  <c r="G6" i="6"/>
  <c r="K29" i="6" s="1"/>
  <c r="F6" i="6"/>
  <c r="K25" i="4"/>
  <c r="D24" i="4"/>
  <c r="E18" i="4"/>
  <c r="D18" i="4"/>
  <c r="C18" i="4"/>
  <c r="G17" i="4"/>
  <c r="M25" i="4" s="1"/>
  <c r="F17" i="4"/>
  <c r="E26" i="4" s="1"/>
  <c r="K16" i="4"/>
  <c r="G16" i="4"/>
  <c r="L25" i="4" s="1"/>
  <c r="F16" i="4"/>
  <c r="E25" i="4" s="1"/>
  <c r="G15" i="4"/>
  <c r="M30" i="4" s="1"/>
  <c r="F15" i="4"/>
  <c r="E24" i="4" s="1"/>
  <c r="G14" i="4"/>
  <c r="M29" i="4" s="1"/>
  <c r="F14" i="4"/>
  <c r="E23" i="4" s="1"/>
  <c r="K13" i="4"/>
  <c r="G13" i="4"/>
  <c r="M24" i="4" s="1"/>
  <c r="F13" i="4"/>
  <c r="D26" i="4" s="1"/>
  <c r="K12" i="4"/>
  <c r="K14" i="4" s="1"/>
  <c r="G12" i="4"/>
  <c r="L31" i="4" s="1"/>
  <c r="F12" i="4"/>
  <c r="D25" i="4" s="1"/>
  <c r="K11" i="4"/>
  <c r="K15" i="4" s="1"/>
  <c r="G11" i="4"/>
  <c r="K24" i="4" s="1"/>
  <c r="F11" i="4"/>
  <c r="K10" i="4"/>
  <c r="G10" i="4"/>
  <c r="J24" i="4" s="1"/>
  <c r="F10" i="4"/>
  <c r="D23" i="4" s="1"/>
  <c r="G9" i="4"/>
  <c r="K32" i="4" s="1"/>
  <c r="F9" i="4"/>
  <c r="C26" i="4" s="1"/>
  <c r="G8" i="4"/>
  <c r="K31" i="4" s="1"/>
  <c r="F8" i="4"/>
  <c r="C25" i="4" s="1"/>
  <c r="G7" i="4"/>
  <c r="K30" i="4" s="1"/>
  <c r="F7" i="4"/>
  <c r="C24" i="4" s="1"/>
  <c r="G6" i="4"/>
  <c r="K29" i="4" s="1"/>
  <c r="F6" i="4"/>
  <c r="C23" i="4" s="1"/>
  <c r="L32" i="3"/>
  <c r="L29" i="3"/>
  <c r="E18" i="3"/>
  <c r="D18" i="3"/>
  <c r="C18" i="3"/>
  <c r="G17" i="3"/>
  <c r="M32" i="3" s="1"/>
  <c r="F17" i="3"/>
  <c r="E26" i="3" s="1"/>
  <c r="K16" i="3"/>
  <c r="G16" i="3"/>
  <c r="L25" i="3" s="1"/>
  <c r="F16" i="3"/>
  <c r="E25" i="3" s="1"/>
  <c r="G15" i="3"/>
  <c r="M30" i="3" s="1"/>
  <c r="F15" i="3"/>
  <c r="E24" i="3" s="1"/>
  <c r="G14" i="3"/>
  <c r="M29" i="3" s="1"/>
  <c r="F14" i="3"/>
  <c r="E23" i="3" s="1"/>
  <c r="K13" i="3"/>
  <c r="G13" i="3"/>
  <c r="M24" i="3" s="1"/>
  <c r="F13" i="3"/>
  <c r="D26" i="3" s="1"/>
  <c r="K12" i="3"/>
  <c r="K14" i="3" s="1"/>
  <c r="G12" i="3"/>
  <c r="L24" i="3" s="1"/>
  <c r="F12" i="3"/>
  <c r="D25" i="3" s="1"/>
  <c r="K11" i="3"/>
  <c r="G11" i="3"/>
  <c r="K24" i="3" s="1"/>
  <c r="F11" i="3"/>
  <c r="D24" i="3" s="1"/>
  <c r="K10" i="3"/>
  <c r="G10" i="3"/>
  <c r="J24" i="3" s="1"/>
  <c r="F10" i="3"/>
  <c r="D23" i="3" s="1"/>
  <c r="G9" i="3"/>
  <c r="K32" i="3" s="1"/>
  <c r="F9" i="3"/>
  <c r="C26" i="3" s="1"/>
  <c r="G8" i="3"/>
  <c r="K31" i="3" s="1"/>
  <c r="F8" i="3"/>
  <c r="C25" i="3" s="1"/>
  <c r="G7" i="3"/>
  <c r="K30" i="3" s="1"/>
  <c r="F7" i="3"/>
  <c r="C24" i="3" s="1"/>
  <c r="G6" i="3"/>
  <c r="K29" i="3" s="1"/>
  <c r="F6" i="3"/>
  <c r="C23" i="3" s="1"/>
  <c r="E18" i="2"/>
  <c r="D18" i="2"/>
  <c r="C18" i="2"/>
  <c r="G17" i="2"/>
  <c r="M25" i="2" s="1"/>
  <c r="E26" i="2"/>
  <c r="K16" i="2"/>
  <c r="G16" i="2"/>
  <c r="L25" i="2" s="1"/>
  <c r="G15" i="2"/>
  <c r="K25" i="2" s="1"/>
  <c r="K14" i="2"/>
  <c r="G14" i="2"/>
  <c r="M29" i="2" s="1"/>
  <c r="K13" i="2"/>
  <c r="G13" i="2"/>
  <c r="M24" i="2" s="1"/>
  <c r="D26" i="2"/>
  <c r="K12" i="2"/>
  <c r="G12" i="2"/>
  <c r="L31" i="2" s="1"/>
  <c r="K11" i="2"/>
  <c r="G11" i="2"/>
  <c r="L30" i="2" s="1"/>
  <c r="K10" i="2"/>
  <c r="G10" i="2"/>
  <c r="J24" i="2" s="1"/>
  <c r="G9" i="2"/>
  <c r="K32" i="2" s="1"/>
  <c r="C26" i="2"/>
  <c r="G8" i="2"/>
  <c r="K31" i="2" s="1"/>
  <c r="G7" i="2"/>
  <c r="K30" i="2" s="1"/>
  <c r="C24" i="2"/>
  <c r="G6" i="2"/>
  <c r="K29" i="2" s="1"/>
  <c r="F18" i="6" l="1"/>
  <c r="K7" i="6" s="1"/>
  <c r="L32" i="6"/>
  <c r="K23" i="4"/>
  <c r="F25" i="3"/>
  <c r="K23" i="3"/>
  <c r="K25" i="3"/>
  <c r="L29" i="6"/>
  <c r="N29" i="6" s="1"/>
  <c r="F25" i="4"/>
  <c r="E27" i="4"/>
  <c r="J25" i="4"/>
  <c r="N25" i="4" s="1"/>
  <c r="F24" i="4"/>
  <c r="L30" i="4"/>
  <c r="N30" i="4"/>
  <c r="L29" i="4"/>
  <c r="N29" i="4" s="1"/>
  <c r="L32" i="4"/>
  <c r="E27" i="3"/>
  <c r="F24" i="3"/>
  <c r="L30" i="3"/>
  <c r="N30" i="3"/>
  <c r="D27" i="3"/>
  <c r="N29" i="3"/>
  <c r="N24" i="3"/>
  <c r="J25" i="3"/>
  <c r="F24" i="2"/>
  <c r="L32" i="2"/>
  <c r="F18" i="2"/>
  <c r="K7" i="2" s="1"/>
  <c r="L16" i="2" s="1"/>
  <c r="F25" i="2"/>
  <c r="D27" i="2"/>
  <c r="E27" i="2"/>
  <c r="L29" i="2"/>
  <c r="N29" i="2" s="1"/>
  <c r="E27" i="6"/>
  <c r="F24" i="6"/>
  <c r="F26" i="6"/>
  <c r="L16" i="6"/>
  <c r="L10" i="6"/>
  <c r="M10" i="6" s="1"/>
  <c r="L11" i="6"/>
  <c r="F25" i="6"/>
  <c r="D27" i="6"/>
  <c r="K15" i="6"/>
  <c r="Q14" i="6" s="1"/>
  <c r="C23" i="6"/>
  <c r="J23" i="6"/>
  <c r="L24" i="6"/>
  <c r="J25" i="6"/>
  <c r="N25" i="6" s="1"/>
  <c r="M30" i="6"/>
  <c r="N30" i="6" s="1"/>
  <c r="M31" i="6"/>
  <c r="N31" i="6" s="1"/>
  <c r="M32" i="6"/>
  <c r="N32" i="6" s="1"/>
  <c r="M23" i="6"/>
  <c r="K24" i="6"/>
  <c r="K23" i="6"/>
  <c r="L23" i="6"/>
  <c r="F26" i="4"/>
  <c r="P13" i="4"/>
  <c r="Q10" i="4"/>
  <c r="Q13" i="4"/>
  <c r="P10" i="4"/>
  <c r="F23" i="4"/>
  <c r="C27" i="4"/>
  <c r="D27" i="4"/>
  <c r="Q14" i="4"/>
  <c r="P14" i="4"/>
  <c r="F18" i="4"/>
  <c r="K7" i="4" s="1"/>
  <c r="M23" i="4"/>
  <c r="P11" i="4"/>
  <c r="J23" i="4"/>
  <c r="L24" i="4"/>
  <c r="N24" i="4" s="1"/>
  <c r="M31" i="4"/>
  <c r="N31" i="4" s="1"/>
  <c r="M32" i="4"/>
  <c r="N32" i="4" s="1"/>
  <c r="Q11" i="4"/>
  <c r="P12" i="4"/>
  <c r="Q12" i="4"/>
  <c r="L23" i="4"/>
  <c r="F26" i="3"/>
  <c r="C27" i="3"/>
  <c r="F23" i="3"/>
  <c r="N32" i="3"/>
  <c r="K15" i="3"/>
  <c r="F18" i="3"/>
  <c r="K7" i="3" s="1"/>
  <c r="M23" i="3"/>
  <c r="M25" i="3"/>
  <c r="L31" i="3"/>
  <c r="N31" i="3" s="1"/>
  <c r="J23" i="3"/>
  <c r="M31" i="3"/>
  <c r="P12" i="3"/>
  <c r="L23" i="3"/>
  <c r="Q11" i="2"/>
  <c r="F26" i="2"/>
  <c r="Q14" i="2"/>
  <c r="P14" i="2"/>
  <c r="M23" i="2"/>
  <c r="K24" i="2"/>
  <c r="C23" i="2"/>
  <c r="J23" i="2"/>
  <c r="L24" i="2"/>
  <c r="N24" i="2" s="1"/>
  <c r="J25" i="2"/>
  <c r="N25" i="2" s="1"/>
  <c r="M30" i="2"/>
  <c r="N30" i="2" s="1"/>
  <c r="M31" i="2"/>
  <c r="N31" i="2" s="1"/>
  <c r="M32" i="2"/>
  <c r="K15" i="2"/>
  <c r="K23" i="2"/>
  <c r="L23" i="2"/>
  <c r="L15" i="6" l="1"/>
  <c r="M15" i="6" s="1"/>
  <c r="N10" i="6" s="1"/>
  <c r="O10" i="6" s="1"/>
  <c r="N24" i="6"/>
  <c r="N25" i="3"/>
  <c r="N32" i="2"/>
  <c r="L11" i="2"/>
  <c r="M11" i="2" s="1"/>
  <c r="L10" i="2"/>
  <c r="M10" i="2" s="1"/>
  <c r="P11" i="6"/>
  <c r="M11" i="6"/>
  <c r="C27" i="6"/>
  <c r="L12" i="6" s="1"/>
  <c r="M12" i="6" s="1"/>
  <c r="N12" i="6" s="1"/>
  <c r="F23" i="6"/>
  <c r="L13" i="6" s="1"/>
  <c r="M13" i="6" s="1"/>
  <c r="N13" i="6" s="1"/>
  <c r="P13" i="6"/>
  <c r="Q12" i="6"/>
  <c r="P12" i="6"/>
  <c r="P14" i="6"/>
  <c r="Q13" i="6"/>
  <c r="P10" i="6"/>
  <c r="Q10" i="6"/>
  <c r="Q11" i="6"/>
  <c r="N23" i="6"/>
  <c r="L13" i="4"/>
  <c r="M13" i="4" s="1"/>
  <c r="L11" i="4"/>
  <c r="L10" i="4"/>
  <c r="M10" i="4" s="1"/>
  <c r="L16" i="4"/>
  <c r="L12" i="4"/>
  <c r="M12" i="4" s="1"/>
  <c r="N23" i="4"/>
  <c r="Q10" i="3"/>
  <c r="Q13" i="3"/>
  <c r="P10" i="3"/>
  <c r="P14" i="3"/>
  <c r="N23" i="3"/>
  <c r="Q14" i="3"/>
  <c r="Q11" i="3"/>
  <c r="Q12" i="3"/>
  <c r="P11" i="3"/>
  <c r="L13" i="3"/>
  <c r="M13" i="3" s="1"/>
  <c r="L16" i="3"/>
  <c r="L15" i="3" s="1"/>
  <c r="M15" i="3" s="1"/>
  <c r="L12" i="3"/>
  <c r="M12" i="3" s="1"/>
  <c r="L11" i="3"/>
  <c r="L10" i="3"/>
  <c r="M10" i="3" s="1"/>
  <c r="P13" i="3"/>
  <c r="C27" i="2"/>
  <c r="L12" i="2" s="1"/>
  <c r="M12" i="2" s="1"/>
  <c r="F23" i="2"/>
  <c r="L13" i="2" s="1"/>
  <c r="M13" i="2" s="1"/>
  <c r="P13" i="2"/>
  <c r="Q12" i="2"/>
  <c r="Q13" i="2"/>
  <c r="P11" i="2"/>
  <c r="P10" i="2"/>
  <c r="Q10" i="2"/>
  <c r="N23" i="2"/>
  <c r="P12" i="2"/>
  <c r="N26" i="6" l="1"/>
  <c r="U23" i="6"/>
  <c r="N11" i="6"/>
  <c r="N33" i="6"/>
  <c r="L15" i="4"/>
  <c r="M15" i="4" s="1"/>
  <c r="N26" i="4" s="1"/>
  <c r="L15" i="2"/>
  <c r="M15" i="2" s="1"/>
  <c r="N11" i="2" s="1"/>
  <c r="O11" i="2" s="1"/>
  <c r="L14" i="2"/>
  <c r="M14" i="2" s="1"/>
  <c r="O12" i="6"/>
  <c r="L14" i="6"/>
  <c r="M14" i="6" s="1"/>
  <c r="N14" i="6" s="1"/>
  <c r="O14" i="6" s="1"/>
  <c r="O11" i="6"/>
  <c r="O13" i="6"/>
  <c r="N10" i="4"/>
  <c r="O10" i="4" s="1"/>
  <c r="L14" i="4"/>
  <c r="M14" i="4" s="1"/>
  <c r="N14" i="4" s="1"/>
  <c r="O14" i="4" s="1"/>
  <c r="M11" i="4"/>
  <c r="N12" i="4"/>
  <c r="O12" i="4" s="1"/>
  <c r="N13" i="4"/>
  <c r="O13" i="4" s="1"/>
  <c r="N33" i="4"/>
  <c r="N33" i="3"/>
  <c r="U23" i="3"/>
  <c r="M11" i="3"/>
  <c r="N11" i="3" s="1"/>
  <c r="O11" i="3" s="1"/>
  <c r="L14" i="3"/>
  <c r="M14" i="3" s="1"/>
  <c r="N14" i="3" s="1"/>
  <c r="O14" i="3" s="1"/>
  <c r="N10" i="3"/>
  <c r="O10" i="3" s="1"/>
  <c r="N13" i="3"/>
  <c r="O13" i="3" s="1"/>
  <c r="N12" i="3"/>
  <c r="O12" i="3" s="1"/>
  <c r="N33" i="2"/>
  <c r="U24" i="6" l="1"/>
  <c r="U25" i="6"/>
  <c r="N11" i="4"/>
  <c r="O11" i="4" s="1"/>
  <c r="N26" i="2"/>
  <c r="U23" i="2" s="1"/>
  <c r="N14" i="2"/>
  <c r="O14" i="2" s="1"/>
  <c r="N10" i="2"/>
  <c r="O10" i="2" s="1"/>
  <c r="N13" i="2"/>
  <c r="O13" i="2" s="1"/>
  <c r="N12" i="2"/>
  <c r="O12" i="2" s="1"/>
  <c r="U25" i="4"/>
  <c r="U24" i="4"/>
  <c r="U23" i="4"/>
  <c r="U24" i="3"/>
  <c r="U25" i="3"/>
  <c r="U24" i="2" l="1"/>
  <c r="U25" i="2"/>
  <c r="U10" i="5"/>
  <c r="M10" i="5"/>
  <c r="U8" i="5"/>
  <c r="U9" i="5"/>
  <c r="U7" i="5"/>
  <c r="U3" i="5"/>
  <c r="U4" i="5"/>
  <c r="U5" i="5"/>
  <c r="U2" i="5"/>
  <c r="M8" i="5"/>
  <c r="M9" i="5"/>
  <c r="M7" i="5"/>
  <c r="M3" i="5"/>
  <c r="M4" i="5"/>
  <c r="M5" i="5"/>
  <c r="M2" i="5"/>
  <c r="C8" i="5"/>
  <c r="C9" i="5"/>
  <c r="C7" i="5"/>
  <c r="C3" i="5"/>
  <c r="C4" i="5"/>
  <c r="C5" i="5"/>
  <c r="C2" i="5"/>
  <c r="K16" i="1"/>
  <c r="K15" i="1" s="1"/>
  <c r="K13" i="1"/>
  <c r="K12" i="1"/>
  <c r="K14" i="1" s="1"/>
  <c r="K11" i="1"/>
  <c r="Q11" i="1" s="1"/>
  <c r="K10" i="1"/>
  <c r="P10" i="1" s="1"/>
  <c r="Q13" i="1" l="1"/>
  <c r="P13" i="1"/>
  <c r="Q10" i="1"/>
  <c r="P14" i="1"/>
  <c r="Q14" i="1"/>
  <c r="P12" i="1"/>
  <c r="P11" i="1"/>
  <c r="Q12" i="1"/>
  <c r="E18" i="1"/>
  <c r="D18" i="1"/>
  <c r="C18" i="1"/>
  <c r="G17" i="1"/>
  <c r="F17" i="1"/>
  <c r="E26" i="1" s="1"/>
  <c r="G16" i="1"/>
  <c r="F16" i="1"/>
  <c r="E25" i="1" s="1"/>
  <c r="G15" i="1"/>
  <c r="F15" i="1"/>
  <c r="E24" i="1" s="1"/>
  <c r="G14" i="1"/>
  <c r="F14" i="1"/>
  <c r="E23" i="1" s="1"/>
  <c r="G13" i="1"/>
  <c r="F13" i="1"/>
  <c r="D26" i="1" s="1"/>
  <c r="G12" i="1"/>
  <c r="F12" i="1"/>
  <c r="D25" i="1" s="1"/>
  <c r="G11" i="1"/>
  <c r="F11" i="1"/>
  <c r="D24" i="1" s="1"/>
  <c r="G10" i="1"/>
  <c r="F10" i="1"/>
  <c r="D23" i="1" s="1"/>
  <c r="G9" i="1"/>
  <c r="F9" i="1"/>
  <c r="C26" i="1" s="1"/>
  <c r="G8" i="1"/>
  <c r="F8" i="1"/>
  <c r="C25" i="1" s="1"/>
  <c r="G7" i="1"/>
  <c r="F7" i="1"/>
  <c r="C24" i="1" s="1"/>
  <c r="G6" i="1"/>
  <c r="F6" i="1"/>
  <c r="K30" i="1" l="1"/>
  <c r="K23" i="1"/>
  <c r="M23" i="1"/>
  <c r="K32" i="1"/>
  <c r="L30" i="1"/>
  <c r="K24" i="1"/>
  <c r="M24" i="1"/>
  <c r="L32" i="1"/>
  <c r="M30" i="1"/>
  <c r="K25" i="1"/>
  <c r="M32" i="1"/>
  <c r="M25" i="1"/>
  <c r="J23" i="1"/>
  <c r="K29" i="1"/>
  <c r="L23" i="1"/>
  <c r="K31" i="1"/>
  <c r="N31" i="1" s="1"/>
  <c r="B4" i="5" s="1"/>
  <c r="J24" i="1"/>
  <c r="L29" i="1"/>
  <c r="L31" i="1"/>
  <c r="L24" i="1"/>
  <c r="J25" i="1"/>
  <c r="M29" i="1"/>
  <c r="M31" i="1"/>
  <c r="L25" i="1"/>
  <c r="F18" i="1"/>
  <c r="K7" i="1" s="1"/>
  <c r="E27" i="1"/>
  <c r="F26" i="1"/>
  <c r="F25" i="1"/>
  <c r="F24" i="1"/>
  <c r="D27" i="1"/>
  <c r="C23" i="1"/>
  <c r="N29" i="1" l="1"/>
  <c r="B2" i="5" s="1"/>
  <c r="N30" i="1"/>
  <c r="B3" i="5" s="1"/>
  <c r="N25" i="1"/>
  <c r="N24" i="1"/>
  <c r="N23" i="1"/>
  <c r="N32" i="1"/>
  <c r="B5" i="5" s="1"/>
  <c r="L10" i="1"/>
  <c r="M10" i="1" s="1"/>
  <c r="L11" i="1"/>
  <c r="L12" i="1"/>
  <c r="M12" i="1" s="1"/>
  <c r="L16" i="1"/>
  <c r="F23" i="1"/>
  <c r="L13" i="1" s="1"/>
  <c r="M13" i="1" s="1"/>
  <c r="C27" i="1"/>
  <c r="L15" i="1" l="1"/>
  <c r="M15" i="1" s="1"/>
  <c r="N13" i="1" s="1"/>
  <c r="O13" i="1" s="1"/>
  <c r="M11" i="1"/>
  <c r="L14" i="1"/>
  <c r="M14" i="1" s="1"/>
  <c r="B7" i="5"/>
  <c r="N12" i="1"/>
  <c r="O12" i="1" s="1"/>
  <c r="B8" i="5"/>
  <c r="B9" i="5"/>
  <c r="N14" i="1" l="1"/>
  <c r="O14" i="1" s="1"/>
  <c r="N11" i="1"/>
  <c r="O11" i="1" s="1"/>
  <c r="N10" i="1"/>
  <c r="O10" i="1" s="1"/>
  <c r="N26" i="1"/>
  <c r="N33" i="1"/>
  <c r="U25" i="1" l="1"/>
  <c r="U24" i="1"/>
  <c r="U23" i="1"/>
</calcChain>
</file>

<file path=xl/sharedStrings.xml><?xml version="1.0" encoding="utf-8"?>
<sst xmlns="http://schemas.openxmlformats.org/spreadsheetml/2006/main" count="572" uniqueCount="78">
  <si>
    <t>PERLAKUAN</t>
  </si>
  <si>
    <t>ULANGAN</t>
  </si>
  <si>
    <t>I</t>
  </si>
  <si>
    <t>II</t>
  </si>
  <si>
    <t>III</t>
  </si>
  <si>
    <t>RERATA</t>
  </si>
  <si>
    <t>JUMLAH</t>
  </si>
  <si>
    <t>R</t>
  </si>
  <si>
    <t>T</t>
  </si>
  <si>
    <t>FK</t>
  </si>
  <si>
    <t>SK</t>
  </si>
  <si>
    <t>TOTAL</t>
  </si>
  <si>
    <t>DB</t>
  </si>
  <si>
    <t>KT</t>
  </si>
  <si>
    <t>JK</t>
  </si>
  <si>
    <t>F HIT</t>
  </si>
  <si>
    <t>K1</t>
  </si>
  <si>
    <t>K2</t>
  </si>
  <si>
    <t>K3</t>
  </si>
  <si>
    <t>G</t>
  </si>
  <si>
    <t>L1</t>
  </si>
  <si>
    <t>L2</t>
  </si>
  <si>
    <t>L3</t>
  </si>
  <si>
    <t>L4</t>
  </si>
  <si>
    <t>BNJ 5%</t>
  </si>
  <si>
    <t>TN</t>
  </si>
  <si>
    <t>a</t>
  </si>
  <si>
    <t>b</t>
  </si>
  <si>
    <t>T BNJ 5%;22;3</t>
  </si>
  <si>
    <t>T BNJ 5%;22;12</t>
  </si>
  <si>
    <t>T BNJ 5%;22;4</t>
  </si>
  <si>
    <t>tn</t>
  </si>
  <si>
    <t>P</t>
  </si>
  <si>
    <t>MP</t>
  </si>
  <si>
    <t>P1</t>
  </si>
  <si>
    <t>P2</t>
  </si>
  <si>
    <t>P3</t>
  </si>
  <si>
    <t>ab</t>
  </si>
  <si>
    <t>Perlakuan</t>
  </si>
  <si>
    <t>BNJ</t>
  </si>
  <si>
    <t>K1P1</t>
  </si>
  <si>
    <t>K2P1</t>
  </si>
  <si>
    <t>K3P1</t>
  </si>
  <si>
    <t>K4P1</t>
  </si>
  <si>
    <t>K1P2</t>
  </si>
  <si>
    <t>K2P2</t>
  </si>
  <si>
    <t>K3P2</t>
  </si>
  <si>
    <t>K4P2</t>
  </si>
  <si>
    <t>K1P3</t>
  </si>
  <si>
    <t>K2P3</t>
  </si>
  <si>
    <t>K3P3</t>
  </si>
  <si>
    <t>K4P3</t>
  </si>
  <si>
    <t>k1</t>
  </si>
  <si>
    <t>k2</t>
  </si>
  <si>
    <t>k3</t>
  </si>
  <si>
    <t>k4</t>
  </si>
  <si>
    <t>K</t>
  </si>
  <si>
    <t>K4</t>
  </si>
  <si>
    <t>Berat Basah</t>
  </si>
  <si>
    <t>Berat Kering</t>
  </si>
  <si>
    <t>Berat Akar</t>
  </si>
  <si>
    <t>Panjang Akar</t>
  </si>
  <si>
    <t>Jumlah Anakan</t>
  </si>
  <si>
    <t>abc</t>
  </si>
  <si>
    <t>abcd</t>
  </si>
  <si>
    <t>bcd</t>
  </si>
  <si>
    <t>bcde</t>
  </si>
  <si>
    <t>cde</t>
  </si>
  <si>
    <t>de</t>
  </si>
  <si>
    <t>def</t>
  </si>
  <si>
    <t>ef</t>
  </si>
  <si>
    <t>defg</t>
  </si>
  <si>
    <t>efg</t>
  </si>
  <si>
    <t>fg</t>
  </si>
  <si>
    <t>g</t>
  </si>
  <si>
    <t>cdef</t>
  </si>
  <si>
    <t>gh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</si>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</sst>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Calibri"/>
      <family val="2"/>
    </font>
    <font>
      <sz val="8"/>
      <name val="Calibri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/>
    </xf>
    <xf numFmtId="2" fontId="0" fillId="0" borderId="1" xfId="0" applyNumberFormat="1" applyBorder="1"/>
    <xf numFmtId="0" fontId="0" fillId="2" borderId="1" xfId="0" applyFill="1" applyBorder="1"/>
    <xf numFmtId="9" fontId="0" fillId="0" borderId="1" xfId="0" applyNumberFormat="1" applyBorder="1"/>
    <xf numFmtId="2" fontId="0" fillId="2" borderId="1" xfId="0" applyNumberFormat="1" applyFill="1" applyBorder="1"/>
    <xf numFmtId="2" fontId="0" fillId="0" borderId="0" xfId="0" applyNumberFormat="1"/>
    <xf numFmtId="2" fontId="2" fillId="0" borderId="0" xfId="0" applyNumberFormat="1" applyFont="1"/>
    <xf numFmtId="2" fontId="2" fillId="0" borderId="1" xfId="0" applyNumberFormat="1" applyFont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0" fillId="3" borderId="1" xfId="0" applyNumberFormat="1" applyFill="1" applyBorder="1"/>
    <xf numFmtId="2" fontId="1" fillId="0" borderId="0" xfId="0" applyNumberFormat="1" applyFont="1" applyAlignment="1">
      <alignment horizontal="center"/>
    </xf>
    <xf numFmtId="2" fontId="0" fillId="0" borderId="1" xfId="0" applyNumberForma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4" xfId="0" applyBorder="1"/>
    <xf numFmtId="0" fontId="2" fillId="0" borderId="4" xfId="0" applyFont="1" applyBorder="1" applyAlignment="1">
      <alignment horizontal="center" vertical="center" wrapText="1"/>
    </xf>
    <xf numFmtId="2" fontId="0" fillId="0" borderId="4" xfId="0" applyNumberForma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3" fontId="0" fillId="0" borderId="0" xfId="0" applyNumberFormat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4" xfId="0" applyBorder="1" applyAlignment="1"/>
    <xf numFmtId="0" fontId="0" fillId="0" borderId="0" xfId="0" applyBorder="1" applyAlignment="1"/>
    <xf numFmtId="2" fontId="0" fillId="0" borderId="0" xfId="0" applyNumberFormat="1" applyBorder="1"/>
    <xf numFmtId="0" fontId="0" fillId="0" borderId="0" xfId="0" applyBorder="1"/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Y50"/>
  <sheetViews>
    <sheetView topLeftCell="H5" zoomScale="90" zoomScaleNormal="90" workbookViewId="0">
      <selection activeCell="V6" sqref="V6:V17"/>
    </sheetView>
  </sheetViews>
  <sheetFormatPr defaultColWidth="9.1796875" defaultRowHeight="14.5" x14ac:dyDescent="0.35"/>
  <cols>
    <col min="1" max="1" width="5.81640625" style="7" customWidth="1"/>
    <col min="2" max="2" width="14" style="7" customWidth="1"/>
    <col min="3" max="5" width="9.1796875" style="7"/>
    <col min="6" max="6" width="9.81640625" style="7" customWidth="1"/>
    <col min="7" max="7" width="11" style="7" customWidth="1"/>
    <col min="8" max="17" width="9.1796875" style="7"/>
    <col min="18" max="18" width="8.26953125" style="7" customWidth="1"/>
    <col min="19" max="19" width="3.453125" style="7" customWidth="1"/>
    <col min="20" max="20" width="3.7265625" style="7" customWidth="1"/>
    <col min="21" max="16384" width="9.1796875" style="7"/>
  </cols>
  <sheetData>
    <row r="3" spans="1:25" ht="15.5" x14ac:dyDescent="0.35">
      <c r="E3" s="8"/>
    </row>
    <row r="4" spans="1:25" x14ac:dyDescent="0.35">
      <c r="B4" s="24" t="s">
        <v>0</v>
      </c>
      <c r="C4" s="26" t="s">
        <v>1</v>
      </c>
      <c r="D4" s="26"/>
      <c r="E4" s="26"/>
      <c r="F4" s="24" t="s">
        <v>6</v>
      </c>
      <c r="G4" s="24" t="s">
        <v>5</v>
      </c>
      <c r="J4" t="s">
        <v>7</v>
      </c>
      <c r="K4">
        <v>3</v>
      </c>
      <c r="L4"/>
      <c r="M4"/>
      <c r="N4"/>
      <c r="O4"/>
      <c r="P4"/>
      <c r="Q4"/>
    </row>
    <row r="5" spans="1:25" ht="15.5" x14ac:dyDescent="0.35">
      <c r="B5" s="24"/>
      <c r="C5" s="9" t="s">
        <v>2</v>
      </c>
      <c r="D5" s="9" t="s">
        <v>3</v>
      </c>
      <c r="E5" s="9" t="s">
        <v>4</v>
      </c>
      <c r="F5" s="24"/>
      <c r="G5" s="24"/>
      <c r="J5" t="s">
        <v>32</v>
      </c>
      <c r="K5">
        <v>3</v>
      </c>
      <c r="L5"/>
      <c r="M5"/>
      <c r="N5"/>
      <c r="O5"/>
      <c r="P5"/>
      <c r="Q5"/>
    </row>
    <row r="6" spans="1:25" ht="15.5" x14ac:dyDescent="0.35">
      <c r="A6" s="7">
        <v>1</v>
      </c>
      <c r="B6" s="21" t="s">
        <v>40</v>
      </c>
      <c r="C6" s="21">
        <v>370</v>
      </c>
      <c r="D6" s="22">
        <v>389</v>
      </c>
      <c r="E6" s="22">
        <v>443</v>
      </c>
      <c r="F6" s="10">
        <f>C6+D6+E6</f>
        <v>1202</v>
      </c>
      <c r="G6" s="3">
        <f>AVERAGE(C6:E6)</f>
        <v>400.66666666666669</v>
      </c>
      <c r="J6" t="s">
        <v>56</v>
      </c>
      <c r="K6">
        <v>4</v>
      </c>
      <c r="L6"/>
      <c r="M6"/>
      <c r="N6"/>
      <c r="O6"/>
      <c r="P6"/>
      <c r="Q6"/>
      <c r="U6" s="7">
        <f>G6</f>
        <v>400.66666666666669</v>
      </c>
      <c r="V6" s="7" t="s">
        <v>63</v>
      </c>
      <c r="W6" s="7">
        <v>236</v>
      </c>
      <c r="X6" s="7" t="s">
        <v>26</v>
      </c>
      <c r="Y6" s="7">
        <f>W6+U$18</f>
        <v>433.30024620262299</v>
      </c>
    </row>
    <row r="7" spans="1:25" ht="15.5" x14ac:dyDescent="0.35">
      <c r="A7" s="7">
        <v>2</v>
      </c>
      <c r="B7" s="21" t="s">
        <v>41</v>
      </c>
      <c r="C7" s="21">
        <v>495</v>
      </c>
      <c r="D7" s="22">
        <v>512</v>
      </c>
      <c r="E7" s="22">
        <v>561</v>
      </c>
      <c r="F7" s="10">
        <f t="shared" ref="F7:F17" si="0">C7+D7+E7</f>
        <v>1568</v>
      </c>
      <c r="G7" s="3">
        <f t="shared" ref="G7:G17" si="1">AVERAGE(C7:E7)</f>
        <v>522.66666666666663</v>
      </c>
      <c r="J7" t="s">
        <v>9</v>
      </c>
      <c r="K7">
        <f>(F18^2)/(K4*K5*K6)</f>
        <v>11903650.027777778</v>
      </c>
      <c r="L7"/>
      <c r="M7"/>
      <c r="N7"/>
      <c r="O7"/>
      <c r="P7"/>
      <c r="Q7"/>
      <c r="U7" s="7">
        <f>G7</f>
        <v>522.66666666666663</v>
      </c>
      <c r="V7" s="7" t="s">
        <v>67</v>
      </c>
      <c r="W7" s="7">
        <v>318.66666666666669</v>
      </c>
      <c r="X7" s="7" t="s">
        <v>37</v>
      </c>
      <c r="Y7" s="7">
        <f t="shared" ref="Y7:Y17" si="2">W7+U$18</f>
        <v>515.96691286928967</v>
      </c>
    </row>
    <row r="8" spans="1:25" ht="15.5" x14ac:dyDescent="0.35">
      <c r="A8" s="7">
        <v>3</v>
      </c>
      <c r="B8" s="21" t="s">
        <v>42</v>
      </c>
      <c r="C8" s="27">
        <v>477</v>
      </c>
      <c r="D8" s="22">
        <v>424</v>
      </c>
      <c r="E8" s="22">
        <v>543</v>
      </c>
      <c r="F8" s="10">
        <f t="shared" si="0"/>
        <v>1444</v>
      </c>
      <c r="G8" s="3">
        <f t="shared" si="1"/>
        <v>481.33333333333331</v>
      </c>
      <c r="J8"/>
      <c r="K8"/>
      <c r="L8"/>
      <c r="M8"/>
      <c r="N8"/>
      <c r="O8"/>
      <c r="P8"/>
      <c r="Q8"/>
      <c r="U8" s="7">
        <f>G8</f>
        <v>481.33333333333331</v>
      </c>
      <c r="V8" s="7" t="s">
        <v>65</v>
      </c>
      <c r="W8" s="7">
        <v>400.66666666666669</v>
      </c>
      <c r="X8" s="7" t="s">
        <v>63</v>
      </c>
      <c r="Y8" s="7">
        <f t="shared" si="2"/>
        <v>597.96691286928967</v>
      </c>
    </row>
    <row r="9" spans="1:25" ht="15.5" x14ac:dyDescent="0.35">
      <c r="A9" s="7">
        <v>4</v>
      </c>
      <c r="B9" s="21" t="s">
        <v>43</v>
      </c>
      <c r="C9" s="21">
        <v>624</v>
      </c>
      <c r="D9" s="22">
        <v>872</v>
      </c>
      <c r="E9" s="22">
        <v>837</v>
      </c>
      <c r="F9" s="10">
        <f t="shared" si="0"/>
        <v>2333</v>
      </c>
      <c r="G9" s="3">
        <f t="shared" si="1"/>
        <v>777.66666666666663</v>
      </c>
      <c r="J9" s="1" t="s">
        <v>10</v>
      </c>
      <c r="K9" s="1" t="s">
        <v>12</v>
      </c>
      <c r="L9" s="1" t="s">
        <v>14</v>
      </c>
      <c r="M9" s="1" t="s">
        <v>13</v>
      </c>
      <c r="N9" s="1" t="s">
        <v>15</v>
      </c>
      <c r="O9" s="1"/>
      <c r="P9" s="5">
        <v>0.05</v>
      </c>
      <c r="Q9" s="5">
        <v>0.01</v>
      </c>
      <c r="U9" s="7">
        <f>G9</f>
        <v>777.66666666666663</v>
      </c>
      <c r="V9" s="7" t="s">
        <v>73</v>
      </c>
      <c r="W9" s="7">
        <v>422.33333333333331</v>
      </c>
      <c r="X9" s="7" t="s">
        <v>63</v>
      </c>
      <c r="Y9" s="7">
        <f t="shared" si="2"/>
        <v>619.6335795359563</v>
      </c>
    </row>
    <row r="10" spans="1:25" ht="15.5" x14ac:dyDescent="0.35">
      <c r="A10" s="7">
        <v>5</v>
      </c>
      <c r="B10" s="21" t="s">
        <v>44</v>
      </c>
      <c r="C10" s="21">
        <v>258</v>
      </c>
      <c r="D10" s="22">
        <v>199</v>
      </c>
      <c r="E10" s="22">
        <v>251</v>
      </c>
      <c r="F10" s="10">
        <f t="shared" si="0"/>
        <v>708</v>
      </c>
      <c r="G10" s="3">
        <f t="shared" si="1"/>
        <v>236</v>
      </c>
      <c r="J10" s="1" t="s">
        <v>7</v>
      </c>
      <c r="K10" s="1">
        <f>K4-1</f>
        <v>2</v>
      </c>
      <c r="L10" s="1">
        <f>SUMSQ(C18:E18)/12-K7</f>
        <v>57688.722222222015</v>
      </c>
      <c r="M10" s="1">
        <f>L10/K10</f>
        <v>28844.361111111008</v>
      </c>
      <c r="N10" s="1">
        <f>M10/$M$15</f>
        <v>6.5483245897108615</v>
      </c>
      <c r="O10" s="1" t="str">
        <f>IF(N10&lt;P10,"TN",IF(N10&lt;Q10,"*","**"))</f>
        <v>**</v>
      </c>
      <c r="P10" s="1">
        <f>FINV(5%,$K10,$K$15)</f>
        <v>3.4433567793667246</v>
      </c>
      <c r="Q10" s="1">
        <f>FINV(1%,$K10,$K$15)</f>
        <v>5.7190219124822725</v>
      </c>
      <c r="U10" s="7">
        <f>G10</f>
        <v>236</v>
      </c>
      <c r="V10" s="7" t="s">
        <v>26</v>
      </c>
      <c r="W10" s="7">
        <v>481.33333333333331</v>
      </c>
      <c r="X10" s="7" t="s">
        <v>65</v>
      </c>
      <c r="Y10" s="7">
        <f t="shared" si="2"/>
        <v>678.6335795359563</v>
      </c>
    </row>
    <row r="11" spans="1:25" ht="15.5" x14ac:dyDescent="0.35">
      <c r="A11" s="7">
        <v>6</v>
      </c>
      <c r="B11" s="21" t="s">
        <v>45</v>
      </c>
      <c r="C11" s="21">
        <v>368</v>
      </c>
      <c r="D11" s="22">
        <v>462</v>
      </c>
      <c r="E11" s="22">
        <v>437</v>
      </c>
      <c r="F11" s="10">
        <f t="shared" si="0"/>
        <v>1267</v>
      </c>
      <c r="G11" s="3">
        <f t="shared" si="1"/>
        <v>422.33333333333331</v>
      </c>
      <c r="J11" s="1" t="s">
        <v>8</v>
      </c>
      <c r="K11" s="1">
        <f>K5*K6-1</f>
        <v>11</v>
      </c>
      <c r="L11" s="1">
        <f>SUMSQ(F6:F17)/K4-K7</f>
        <v>1586971.6388888881</v>
      </c>
      <c r="M11" s="1">
        <f t="shared" ref="M11:M15" si="3">L11/K11</f>
        <v>144270.14898989891</v>
      </c>
      <c r="N11" s="1">
        <f t="shared" ref="N11:N14" si="4">M11/$M$15</f>
        <v>32.752598005295752</v>
      </c>
      <c r="O11" s="1" t="str">
        <f t="shared" ref="O11:O14" si="5">IF(N11&lt;P11,"TN",IF(N11&lt;Q11,"*","**"))</f>
        <v>**</v>
      </c>
      <c r="P11" s="1">
        <f t="shared" ref="P11:P14" si="6">FINV(5%,K11,$K$15)</f>
        <v>2.2585183566229916</v>
      </c>
      <c r="Q11" s="1">
        <f t="shared" ref="Q11:Q14" si="7">FINV(1%,$K11,$K$15)</f>
        <v>3.1837421959607717</v>
      </c>
      <c r="U11" s="7">
        <f>G11</f>
        <v>422.33333333333331</v>
      </c>
      <c r="V11" s="7" t="s">
        <v>63</v>
      </c>
      <c r="W11" s="7">
        <v>522.66666666666663</v>
      </c>
      <c r="X11" s="7" t="s">
        <v>67</v>
      </c>
      <c r="Y11" s="7">
        <f t="shared" si="2"/>
        <v>719.96691286928967</v>
      </c>
    </row>
    <row r="12" spans="1:25" ht="15.5" x14ac:dyDescent="0.35">
      <c r="A12" s="7">
        <v>7</v>
      </c>
      <c r="B12" s="21" t="s">
        <v>46</v>
      </c>
      <c r="C12" s="21">
        <v>627</v>
      </c>
      <c r="D12" s="22">
        <v>711</v>
      </c>
      <c r="E12" s="22">
        <v>661</v>
      </c>
      <c r="F12" s="10">
        <f t="shared" si="0"/>
        <v>1999</v>
      </c>
      <c r="G12" s="3">
        <f t="shared" si="1"/>
        <v>666.33333333333337</v>
      </c>
      <c r="J12" s="1" t="s">
        <v>32</v>
      </c>
      <c r="K12" s="1">
        <f>K5-1</f>
        <v>2</v>
      </c>
      <c r="L12" s="1">
        <f>SUMSQ(C27:E27)/(K5*K6)-K7</f>
        <v>81127.055555555969</v>
      </c>
      <c r="M12" s="1">
        <f t="shared" si="3"/>
        <v>40563.527777777985</v>
      </c>
      <c r="N12" s="1">
        <f t="shared" si="4"/>
        <v>9.2088413873838117</v>
      </c>
      <c r="O12" s="1" t="str">
        <f t="shared" si="5"/>
        <v>**</v>
      </c>
      <c r="P12" s="1">
        <f t="shared" si="6"/>
        <v>3.4433567793667246</v>
      </c>
      <c r="Q12" s="1">
        <f t="shared" si="7"/>
        <v>5.7190219124822725</v>
      </c>
      <c r="U12" s="7">
        <f>G12</f>
        <v>666.33333333333337</v>
      </c>
      <c r="V12" s="7" t="s">
        <v>69</v>
      </c>
      <c r="W12" s="7">
        <v>569.33333333333337</v>
      </c>
      <c r="X12" s="7" t="s">
        <v>67</v>
      </c>
      <c r="Y12" s="7">
        <f t="shared" si="2"/>
        <v>766.63357953595641</v>
      </c>
    </row>
    <row r="13" spans="1:25" ht="15.5" x14ac:dyDescent="0.35">
      <c r="A13" s="7">
        <v>8</v>
      </c>
      <c r="B13" s="21" t="s">
        <v>47</v>
      </c>
      <c r="C13" s="21">
        <v>721</v>
      </c>
      <c r="D13" s="22">
        <v>785</v>
      </c>
      <c r="E13" s="22">
        <v>970</v>
      </c>
      <c r="F13" s="10">
        <f t="shared" si="0"/>
        <v>2476</v>
      </c>
      <c r="G13" s="3">
        <f t="shared" si="1"/>
        <v>825.33333333333337</v>
      </c>
      <c r="J13" s="1" t="s">
        <v>56</v>
      </c>
      <c r="K13" s="1">
        <f>K6-1</f>
        <v>3</v>
      </c>
      <c r="L13" s="1">
        <f>SUMSQ(F23:F26)/(K5*K4)-K7</f>
        <v>1364490.972222222</v>
      </c>
      <c r="M13" s="1">
        <f t="shared" si="3"/>
        <v>454830.32407407399</v>
      </c>
      <c r="N13" s="1">
        <f t="shared" si="4"/>
        <v>103.25680585565584</v>
      </c>
      <c r="O13" s="1" t="str">
        <f t="shared" si="5"/>
        <v>**</v>
      </c>
      <c r="P13" s="1">
        <f t="shared" si="6"/>
        <v>3.0491249886524128</v>
      </c>
      <c r="Q13" s="1">
        <f t="shared" si="7"/>
        <v>4.8166057778160596</v>
      </c>
      <c r="U13" s="7">
        <f>G13</f>
        <v>825.33333333333337</v>
      </c>
      <c r="V13" s="7" t="s">
        <v>73</v>
      </c>
      <c r="W13" s="7">
        <v>666.33333333333337</v>
      </c>
      <c r="X13" s="7" t="s">
        <v>69</v>
      </c>
      <c r="Y13" s="7">
        <f t="shared" si="2"/>
        <v>863.63357953595641</v>
      </c>
    </row>
    <row r="14" spans="1:25" ht="15.5" x14ac:dyDescent="0.35">
      <c r="A14" s="7">
        <v>9</v>
      </c>
      <c r="B14" s="21" t="s">
        <v>48</v>
      </c>
      <c r="C14" s="21">
        <v>306</v>
      </c>
      <c r="D14" s="22">
        <v>258</v>
      </c>
      <c r="E14" s="22">
        <v>392</v>
      </c>
      <c r="F14" s="10">
        <f t="shared" si="0"/>
        <v>956</v>
      </c>
      <c r="G14" s="3">
        <f t="shared" si="1"/>
        <v>318.66666666666669</v>
      </c>
      <c r="J14" s="1" t="s">
        <v>33</v>
      </c>
      <c r="K14" s="1">
        <f>K12*K13</f>
        <v>6</v>
      </c>
      <c r="L14" s="1">
        <f>L11-L12-L13</f>
        <v>141353.61111111008</v>
      </c>
      <c r="M14" s="1">
        <f t="shared" si="3"/>
        <v>23558.935185185012</v>
      </c>
      <c r="N14" s="1">
        <f t="shared" si="4"/>
        <v>5.348412952753014</v>
      </c>
      <c r="O14" s="1" t="str">
        <f t="shared" si="5"/>
        <v>**</v>
      </c>
      <c r="P14" s="1">
        <f t="shared" si="6"/>
        <v>2.5490614138436585</v>
      </c>
      <c r="Q14" s="1">
        <f t="shared" si="7"/>
        <v>3.7583014350037565</v>
      </c>
      <c r="U14" s="7">
        <f>G14</f>
        <v>318.66666666666669</v>
      </c>
      <c r="V14" s="7" t="s">
        <v>37</v>
      </c>
      <c r="W14" s="7">
        <v>716.33333333333337</v>
      </c>
      <c r="X14" s="7" t="s">
        <v>70</v>
      </c>
      <c r="Y14" s="7">
        <f t="shared" si="2"/>
        <v>913.63357953595641</v>
      </c>
    </row>
    <row r="15" spans="1:25" ht="15.5" x14ac:dyDescent="0.35">
      <c r="A15" s="7">
        <v>10</v>
      </c>
      <c r="B15" s="21" t="s">
        <v>49</v>
      </c>
      <c r="C15" s="21">
        <v>523</v>
      </c>
      <c r="D15" s="22">
        <v>622</v>
      </c>
      <c r="E15" s="22">
        <v>563</v>
      </c>
      <c r="F15" s="10">
        <f t="shared" si="0"/>
        <v>1708</v>
      </c>
      <c r="G15" s="3">
        <f t="shared" si="1"/>
        <v>569.33333333333337</v>
      </c>
      <c r="J15" s="1" t="s">
        <v>19</v>
      </c>
      <c r="K15" s="1">
        <f>K16-K11-K10</f>
        <v>22</v>
      </c>
      <c r="L15" s="1">
        <f>L16-L11-L10</f>
        <v>96906.611111111939</v>
      </c>
      <c r="M15" s="1">
        <f t="shared" si="3"/>
        <v>4404.8459595959976</v>
      </c>
      <c r="N15" s="1"/>
      <c r="O15" s="1"/>
      <c r="P15" s="1"/>
      <c r="Q15" s="1"/>
      <c r="U15" s="7">
        <f>G15</f>
        <v>569.33333333333337</v>
      </c>
      <c r="V15" s="7" t="s">
        <v>67</v>
      </c>
      <c r="W15" s="7">
        <v>777.66666666666663</v>
      </c>
      <c r="X15" s="7" t="s">
        <v>73</v>
      </c>
      <c r="Y15" s="7">
        <f t="shared" si="2"/>
        <v>974.96691286928967</v>
      </c>
    </row>
    <row r="16" spans="1:25" ht="15.5" x14ac:dyDescent="0.35">
      <c r="A16" s="7">
        <v>11</v>
      </c>
      <c r="B16" s="21" t="s">
        <v>50</v>
      </c>
      <c r="C16" s="21">
        <v>573</v>
      </c>
      <c r="D16" s="22">
        <v>855</v>
      </c>
      <c r="E16" s="22">
        <v>721</v>
      </c>
      <c r="F16" s="10">
        <f t="shared" si="0"/>
        <v>2149</v>
      </c>
      <c r="G16" s="3">
        <f t="shared" si="1"/>
        <v>716.33333333333337</v>
      </c>
      <c r="J16" s="1" t="s">
        <v>11</v>
      </c>
      <c r="K16" s="1">
        <f>K4*K5*K6-1</f>
        <v>35</v>
      </c>
      <c r="L16" s="1">
        <f>SUMSQ(C6:E17)-K7</f>
        <v>1741566.972222222</v>
      </c>
      <c r="M16" s="1"/>
      <c r="N16" s="1"/>
      <c r="O16" s="1"/>
      <c r="P16" s="1"/>
      <c r="Q16" s="1"/>
      <c r="U16" s="7">
        <f>G16</f>
        <v>716.33333333333337</v>
      </c>
      <c r="V16" s="7" t="s">
        <v>70</v>
      </c>
      <c r="W16" s="7">
        <v>825.33333333333337</v>
      </c>
      <c r="X16" s="7" t="s">
        <v>73</v>
      </c>
      <c r="Y16" s="7">
        <f t="shared" si="2"/>
        <v>1022.6335795359564</v>
      </c>
    </row>
    <row r="17" spans="1:25" ht="15.5" x14ac:dyDescent="0.35">
      <c r="A17" s="7">
        <v>12</v>
      </c>
      <c r="B17" s="21" t="s">
        <v>51</v>
      </c>
      <c r="C17" s="21">
        <v>918</v>
      </c>
      <c r="D17" s="22">
        <v>935</v>
      </c>
      <c r="E17" s="22">
        <v>1038</v>
      </c>
      <c r="F17" s="10">
        <f t="shared" si="0"/>
        <v>2891</v>
      </c>
      <c r="G17" s="3">
        <f t="shared" si="1"/>
        <v>963.66666666666663</v>
      </c>
      <c r="U17" s="7">
        <f>G17</f>
        <v>963.66666666666663</v>
      </c>
      <c r="V17" s="7" t="s">
        <v>74</v>
      </c>
      <c r="W17" s="7">
        <v>963.66666666666663</v>
      </c>
      <c r="X17" s="7" t="s">
        <v>74</v>
      </c>
      <c r="Y17" s="7">
        <f t="shared" si="2"/>
        <v>1160.9669128692897</v>
      </c>
    </row>
    <row r="18" spans="1:25" x14ac:dyDescent="0.35">
      <c r="B18" s="3"/>
      <c r="C18" s="6">
        <f>SUM(C6:C17)</f>
        <v>6260</v>
      </c>
      <c r="D18" s="6">
        <f t="shared" ref="D18:F18" si="8">SUM(D6:D17)</f>
        <v>7024</v>
      </c>
      <c r="E18" s="6">
        <f t="shared" si="8"/>
        <v>7417</v>
      </c>
      <c r="F18" s="11">
        <f t="shared" si="8"/>
        <v>20701</v>
      </c>
      <c r="G18" s="3"/>
      <c r="U18">
        <f>E29*((M15/3)^0.5)</f>
        <v>197.30024620262299</v>
      </c>
    </row>
    <row r="21" spans="1:25" ht="15" thickBot="1" x14ac:dyDescent="0.4"/>
    <row r="22" spans="1:25" ht="16" thickBot="1" x14ac:dyDescent="0.4">
      <c r="B22" s="13"/>
      <c r="C22" s="14" t="s">
        <v>34</v>
      </c>
      <c r="D22" s="15" t="s">
        <v>35</v>
      </c>
      <c r="E22" s="15" t="s">
        <v>36</v>
      </c>
      <c r="F22" s="13"/>
      <c r="I22" s="1"/>
      <c r="J22" s="13" t="s">
        <v>52</v>
      </c>
      <c r="K22" s="13" t="s">
        <v>53</v>
      </c>
      <c r="L22" s="13" t="s">
        <v>54</v>
      </c>
      <c r="M22" s="13" t="s">
        <v>55</v>
      </c>
      <c r="N22" s="1" t="s">
        <v>5</v>
      </c>
      <c r="O22"/>
      <c r="P22"/>
      <c r="Q22"/>
      <c r="R22"/>
      <c r="S22"/>
      <c r="T22"/>
      <c r="U22"/>
    </row>
    <row r="23" spans="1:25" ht="19" thickBot="1" x14ac:dyDescent="0.5">
      <c r="B23" s="13" t="s">
        <v>52</v>
      </c>
      <c r="C23" s="13">
        <f>F6</f>
        <v>1202</v>
      </c>
      <c r="D23" s="13">
        <f>F10</f>
        <v>708</v>
      </c>
      <c r="E23" s="13">
        <f>F14</f>
        <v>956</v>
      </c>
      <c r="F23" s="13">
        <f>SUM(C23:E23)</f>
        <v>2866</v>
      </c>
      <c r="I23" s="14" t="s">
        <v>34</v>
      </c>
      <c r="J23" s="3">
        <f>G6</f>
        <v>400.66666666666669</v>
      </c>
      <c r="K23" s="16">
        <f>G7</f>
        <v>522.66666666666663</v>
      </c>
      <c r="L23" s="3">
        <f>G8</f>
        <v>481.33333333333331</v>
      </c>
      <c r="M23" s="3">
        <f>G9</f>
        <v>777.66666666666663</v>
      </c>
      <c r="N23" s="1">
        <f>AVERAGE(J23:M23)</f>
        <v>545.58333333333326</v>
      </c>
      <c r="O23"/>
      <c r="P23" s="1" t="s">
        <v>18</v>
      </c>
      <c r="Q23" s="1">
        <v>11.089583333333334</v>
      </c>
      <c r="R23"/>
      <c r="S23"/>
      <c r="T23"/>
      <c r="U23">
        <f>N23+N$26</f>
        <v>545.58333333333326</v>
      </c>
    </row>
    <row r="24" spans="1:25" ht="16" thickBot="1" x14ac:dyDescent="0.4">
      <c r="B24" s="13" t="s">
        <v>53</v>
      </c>
      <c r="C24" s="13">
        <f>F7</f>
        <v>1568</v>
      </c>
      <c r="D24" s="13">
        <f>F11</f>
        <v>1267</v>
      </c>
      <c r="E24" s="13">
        <f>F15</f>
        <v>1708</v>
      </c>
      <c r="F24" s="13">
        <f t="shared" ref="F24:F26" si="9">SUM(C24:E24)</f>
        <v>4543</v>
      </c>
      <c r="I24" s="15" t="s">
        <v>35</v>
      </c>
      <c r="J24" s="3">
        <f>G10</f>
        <v>236</v>
      </c>
      <c r="K24" s="3">
        <f>G11</f>
        <v>422.33333333333331</v>
      </c>
      <c r="L24" s="3">
        <f>G12</f>
        <v>666.33333333333337</v>
      </c>
      <c r="M24" s="3">
        <f>G13</f>
        <v>825.33333333333337</v>
      </c>
      <c r="N24" s="1">
        <f t="shared" ref="N24:N25" si="10">AVERAGE(J24:M24)</f>
        <v>537.5</v>
      </c>
      <c r="O24"/>
      <c r="P24" s="1" t="s">
        <v>17</v>
      </c>
      <c r="Q24" s="1">
        <v>10.122916666666667</v>
      </c>
      <c r="R24"/>
      <c r="S24"/>
      <c r="T24"/>
      <c r="U24">
        <f t="shared" ref="U24:U25" si="11">N24+N$26</f>
        <v>537.5</v>
      </c>
    </row>
    <row r="25" spans="1:25" ht="19" thickBot="1" x14ac:dyDescent="0.5">
      <c r="B25" s="13" t="s">
        <v>54</v>
      </c>
      <c r="C25" s="13">
        <f>F8</f>
        <v>1444</v>
      </c>
      <c r="D25" s="13">
        <f>F12</f>
        <v>1999</v>
      </c>
      <c r="E25" s="13">
        <f>F16</f>
        <v>2149</v>
      </c>
      <c r="F25" s="13">
        <f t="shared" si="9"/>
        <v>5592</v>
      </c>
      <c r="I25" s="15" t="s">
        <v>36</v>
      </c>
      <c r="J25" s="3">
        <f>G14</f>
        <v>318.66666666666669</v>
      </c>
      <c r="K25" s="16">
        <f>G15</f>
        <v>569.33333333333337</v>
      </c>
      <c r="L25" s="3">
        <f>G16</f>
        <v>716.33333333333337</v>
      </c>
      <c r="M25" s="3">
        <f>G17</f>
        <v>963.66666666666663</v>
      </c>
      <c r="N25" s="1">
        <f t="shared" si="10"/>
        <v>642</v>
      </c>
      <c r="O25"/>
      <c r="P25" s="1" t="s">
        <v>16</v>
      </c>
      <c r="Q25" s="1">
        <v>9.9791666666666679</v>
      </c>
      <c r="R25"/>
      <c r="S25"/>
      <c r="T25"/>
      <c r="U25">
        <f t="shared" si="11"/>
        <v>642</v>
      </c>
    </row>
    <row r="26" spans="1:25" ht="18.5" x14ac:dyDescent="0.45">
      <c r="B26" s="13" t="s">
        <v>55</v>
      </c>
      <c r="C26" s="13">
        <f>F9</f>
        <v>2333</v>
      </c>
      <c r="D26" s="13">
        <f>F13</f>
        <v>2476</v>
      </c>
      <c r="E26" s="13">
        <f>F17</f>
        <v>2891</v>
      </c>
      <c r="F26" s="13">
        <f t="shared" si="9"/>
        <v>7700</v>
      </c>
      <c r="I26"/>
      <c r="J26"/>
      <c r="K26" s="2"/>
      <c r="L26"/>
      <c r="M26" t="s">
        <v>24</v>
      </c>
      <c r="N26">
        <f>D31*((M15/12)^0.5)</f>
        <v>0</v>
      </c>
      <c r="O26"/>
      <c r="P26"/>
      <c r="Q26">
        <v>1.6970124878379924</v>
      </c>
      <c r="R26"/>
      <c r="S26"/>
      <c r="T26"/>
      <c r="U26"/>
    </row>
    <row r="27" spans="1:25" ht="19" thickBot="1" x14ac:dyDescent="0.5">
      <c r="B27" s="13"/>
      <c r="C27" s="13">
        <f>SUM(C23:C26)</f>
        <v>6547</v>
      </c>
      <c r="D27" s="13">
        <f t="shared" ref="D27:E27" si="12">SUM(D23:D26)</f>
        <v>6450</v>
      </c>
      <c r="E27" s="13">
        <f t="shared" si="12"/>
        <v>7704</v>
      </c>
      <c r="F27" s="13"/>
      <c r="I27"/>
      <c r="J27"/>
      <c r="K27" s="2"/>
      <c r="L27"/>
      <c r="M27"/>
      <c r="N27"/>
      <c r="O27"/>
      <c r="P27"/>
      <c r="Q27"/>
      <c r="R27"/>
      <c r="S27"/>
      <c r="T27"/>
      <c r="U27"/>
    </row>
    <row r="28" spans="1:25" ht="16" thickBot="1" x14ac:dyDescent="0.4">
      <c r="I28"/>
      <c r="J28" s="1"/>
      <c r="K28" s="14" t="s">
        <v>34</v>
      </c>
      <c r="L28" s="15" t="s">
        <v>35</v>
      </c>
      <c r="M28" s="15" t="s">
        <v>36</v>
      </c>
      <c r="N28" s="1" t="s">
        <v>5</v>
      </c>
      <c r="O28"/>
      <c r="P28"/>
      <c r="Q28"/>
      <c r="R28"/>
      <c r="S28"/>
      <c r="T28"/>
      <c r="U28"/>
    </row>
    <row r="29" spans="1:25" x14ac:dyDescent="0.35">
      <c r="C29" s="25" t="s">
        <v>29</v>
      </c>
      <c r="D29" s="25"/>
      <c r="E29" s="7">
        <v>5.149</v>
      </c>
      <c r="I29"/>
      <c r="J29" s="13" t="s">
        <v>52</v>
      </c>
      <c r="K29" s="7">
        <f>G6</f>
        <v>400.66666666666669</v>
      </c>
      <c r="L29" s="7">
        <f>G10</f>
        <v>236</v>
      </c>
      <c r="M29" s="7">
        <f>G14</f>
        <v>318.66666666666669</v>
      </c>
      <c r="N29" s="1">
        <f>AVERAGE(J29:M29)</f>
        <v>318.44444444444451</v>
      </c>
      <c r="O29"/>
      <c r="P29" s="4" t="s">
        <v>20</v>
      </c>
      <c r="Q29" s="4">
        <v>32.391666666666666</v>
      </c>
      <c r="R29"/>
      <c r="S29"/>
      <c r="T29"/>
      <c r="U29"/>
    </row>
    <row r="30" spans="1:25" x14ac:dyDescent="0.35">
      <c r="C30" s="25" t="s">
        <v>28</v>
      </c>
      <c r="D30" s="25"/>
      <c r="E30" s="7">
        <v>3.5550000000000002</v>
      </c>
      <c r="I30"/>
      <c r="J30" s="13" t="s">
        <v>53</v>
      </c>
      <c r="K30" s="7">
        <f t="shared" ref="K30:K32" si="13">G7</f>
        <v>522.66666666666663</v>
      </c>
      <c r="L30" s="7">
        <f t="shared" ref="L30:L32" si="14">G11</f>
        <v>422.33333333333331</v>
      </c>
      <c r="M30" s="7">
        <f t="shared" ref="M30:M32" si="15">G15</f>
        <v>569.33333333333337</v>
      </c>
      <c r="N30" s="1">
        <f>AVERAGE(J30:M30)</f>
        <v>504.77777777777783</v>
      </c>
      <c r="O30"/>
      <c r="P30" s="4" t="s">
        <v>21</v>
      </c>
      <c r="Q30" s="4">
        <v>30.224999999999998</v>
      </c>
      <c r="R30"/>
      <c r="S30"/>
      <c r="T30"/>
      <c r="U30"/>
    </row>
    <row r="31" spans="1:25" x14ac:dyDescent="0.35">
      <c r="C31" s="25" t="s">
        <v>30</v>
      </c>
      <c r="D31" s="25"/>
      <c r="E31" s="7">
        <v>3.93</v>
      </c>
      <c r="I31"/>
      <c r="J31" s="13" t="s">
        <v>54</v>
      </c>
      <c r="K31" s="7">
        <f t="shared" si="13"/>
        <v>481.33333333333331</v>
      </c>
      <c r="L31" s="7">
        <f t="shared" si="14"/>
        <v>666.33333333333337</v>
      </c>
      <c r="M31" s="7">
        <f t="shared" si="15"/>
        <v>716.33333333333337</v>
      </c>
      <c r="N31" s="1">
        <f>AVERAGE(J31:M31)</f>
        <v>621.33333333333337</v>
      </c>
      <c r="O31"/>
      <c r="P31" s="4" t="s">
        <v>22</v>
      </c>
      <c r="Q31" s="4">
        <v>31.525000000000002</v>
      </c>
      <c r="R31"/>
      <c r="S31"/>
      <c r="T31"/>
      <c r="U31"/>
    </row>
    <row r="32" spans="1:25" x14ac:dyDescent="0.35">
      <c r="I32"/>
      <c r="J32" s="13" t="s">
        <v>55</v>
      </c>
      <c r="K32" s="7">
        <f t="shared" si="13"/>
        <v>777.66666666666663</v>
      </c>
      <c r="L32" s="7">
        <f t="shared" si="14"/>
        <v>825.33333333333337</v>
      </c>
      <c r="M32" s="7">
        <f t="shared" si="15"/>
        <v>963.66666666666663</v>
      </c>
      <c r="N32" s="1">
        <f>AVERAGE(J32:M32)</f>
        <v>855.55555555555554</v>
      </c>
      <c r="O32"/>
      <c r="P32" s="4" t="s">
        <v>23</v>
      </c>
      <c r="Q32" s="4">
        <v>30.625</v>
      </c>
      <c r="R32"/>
      <c r="S32"/>
      <c r="T32"/>
      <c r="U32"/>
    </row>
    <row r="33" spans="9:21" ht="18.5" x14ac:dyDescent="0.45">
      <c r="I33"/>
      <c r="J33"/>
      <c r="K33" s="2"/>
      <c r="L33"/>
      <c r="M33" t="s">
        <v>24</v>
      </c>
      <c r="N33">
        <f>D32*((M15/9)^0.5)</f>
        <v>0</v>
      </c>
      <c r="O33"/>
      <c r="P33"/>
      <c r="Q33" t="s">
        <v>25</v>
      </c>
      <c r="R33"/>
      <c r="S33"/>
      <c r="T33"/>
      <c r="U33"/>
    </row>
    <row r="50" spans="11:11" ht="18.5" x14ac:dyDescent="0.45">
      <c r="K50" s="12"/>
    </row>
  </sheetData>
  <sortState xmlns:xlrd2="http://schemas.microsoft.com/office/spreadsheetml/2017/richdata2" ref="W6:W17">
    <sortCondition ref="W6:W17"/>
  </sortState>
  <mergeCells count="7">
    <mergeCell ref="G4:G5"/>
    <mergeCell ref="C29:D29"/>
    <mergeCell ref="C30:D30"/>
    <mergeCell ref="C31:D31"/>
    <mergeCell ref="B4:B5"/>
    <mergeCell ref="C4:E4"/>
    <mergeCell ref="F4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Y50"/>
  <sheetViews>
    <sheetView topLeftCell="E4" zoomScale="80" zoomScaleNormal="80" workbookViewId="0">
      <selection activeCell="V6" sqref="V6:V17"/>
    </sheetView>
  </sheetViews>
  <sheetFormatPr defaultColWidth="9.1796875" defaultRowHeight="14.5" x14ac:dyDescent="0.35"/>
  <cols>
    <col min="1" max="1" width="5.81640625" style="7" customWidth="1"/>
    <col min="2" max="2" width="14" style="7" customWidth="1"/>
    <col min="3" max="5" width="9.1796875" style="7"/>
    <col min="6" max="6" width="9.81640625" style="7" customWidth="1"/>
    <col min="7" max="7" width="11" style="7" customWidth="1"/>
    <col min="8" max="17" width="9.1796875" style="7"/>
    <col min="18" max="18" width="8.26953125" style="7" customWidth="1"/>
    <col min="19" max="19" width="3.453125" style="7" customWidth="1"/>
    <col min="20" max="20" width="3.7265625" style="7" customWidth="1"/>
    <col min="21" max="16384" width="9.1796875" style="7"/>
  </cols>
  <sheetData>
    <row r="3" spans="1:25" ht="15.5" x14ac:dyDescent="0.35">
      <c r="E3" s="8"/>
    </row>
    <row r="4" spans="1:25" x14ac:dyDescent="0.35">
      <c r="B4" s="24" t="s">
        <v>0</v>
      </c>
      <c r="C4" s="26" t="s">
        <v>1</v>
      </c>
      <c r="D4" s="26"/>
      <c r="E4" s="26"/>
      <c r="F4" s="24" t="s">
        <v>6</v>
      </c>
      <c r="G4" s="24" t="s">
        <v>5</v>
      </c>
      <c r="J4" t="s">
        <v>7</v>
      </c>
      <c r="K4">
        <v>3</v>
      </c>
      <c r="L4"/>
      <c r="M4"/>
      <c r="N4"/>
      <c r="O4"/>
      <c r="P4"/>
      <c r="Q4"/>
    </row>
    <row r="5" spans="1:25" ht="16" thickBot="1" x14ac:dyDescent="0.4">
      <c r="B5" s="24"/>
      <c r="C5" s="9" t="s">
        <v>2</v>
      </c>
      <c r="D5" s="9" t="s">
        <v>3</v>
      </c>
      <c r="E5" s="9" t="s">
        <v>4</v>
      </c>
      <c r="F5" s="24"/>
      <c r="G5" s="24"/>
      <c r="J5" t="s">
        <v>32</v>
      </c>
      <c r="K5">
        <v>3</v>
      </c>
      <c r="L5"/>
      <c r="M5"/>
      <c r="N5"/>
      <c r="O5"/>
      <c r="P5"/>
      <c r="Q5"/>
    </row>
    <row r="6" spans="1:25" ht="16" thickBot="1" x14ac:dyDescent="0.4">
      <c r="A6" s="7">
        <v>1</v>
      </c>
      <c r="B6" s="21" t="s">
        <v>40</v>
      </c>
      <c r="C6" s="23">
        <v>97</v>
      </c>
      <c r="D6" s="23">
        <v>77.099999999999994</v>
      </c>
      <c r="E6" s="23">
        <v>96.7</v>
      </c>
      <c r="F6" s="10">
        <f>SUM(C6:E6)</f>
        <v>270.8</v>
      </c>
      <c r="G6" s="3">
        <f>AVERAGE(C6:E6)</f>
        <v>90.266666666666666</v>
      </c>
      <c r="J6" t="s">
        <v>56</v>
      </c>
      <c r="K6">
        <v>4</v>
      </c>
      <c r="L6"/>
      <c r="M6"/>
      <c r="N6"/>
      <c r="O6"/>
      <c r="P6"/>
      <c r="Q6"/>
      <c r="U6" s="7">
        <f>G6</f>
        <v>90.266666666666666</v>
      </c>
      <c r="V6" s="7" t="s">
        <v>63</v>
      </c>
      <c r="W6" s="7">
        <v>66.600000000000009</v>
      </c>
      <c r="X6" s="7" t="s">
        <v>26</v>
      </c>
      <c r="Y6" s="7">
        <f>W6+U$18</f>
        <v>158.00390991158704</v>
      </c>
    </row>
    <row r="7" spans="1:25" ht="16" thickBot="1" x14ac:dyDescent="0.4">
      <c r="A7" s="7">
        <v>2</v>
      </c>
      <c r="B7" s="21" t="s">
        <v>41</v>
      </c>
      <c r="C7" s="23">
        <v>106.7</v>
      </c>
      <c r="D7" s="23">
        <v>139</v>
      </c>
      <c r="E7" s="23">
        <v>57.3</v>
      </c>
      <c r="F7" s="10">
        <f t="shared" ref="F7:F17" si="0">SUM(C7:E7)</f>
        <v>303</v>
      </c>
      <c r="G7" s="3">
        <f t="shared" ref="G7:G17" si="1">AVERAGE(C7:E7)</f>
        <v>101</v>
      </c>
      <c r="J7" t="s">
        <v>9</v>
      </c>
      <c r="K7">
        <f>(F18^2)/(K4*K5*K6)</f>
        <v>1351290.0024999999</v>
      </c>
      <c r="L7"/>
      <c r="M7"/>
      <c r="N7"/>
      <c r="O7"/>
      <c r="P7"/>
      <c r="Q7"/>
      <c r="U7" s="7">
        <f>G7</f>
        <v>101</v>
      </c>
      <c r="V7" s="7" t="s">
        <v>64</v>
      </c>
      <c r="W7" s="7">
        <v>74.166666666666671</v>
      </c>
      <c r="X7" s="7" t="s">
        <v>37</v>
      </c>
      <c r="Y7" s="7">
        <f t="shared" ref="Y7:Y17" si="2">W7+U$18</f>
        <v>165.57057657825371</v>
      </c>
    </row>
    <row r="8" spans="1:25" ht="16" thickBot="1" x14ac:dyDescent="0.4">
      <c r="A8" s="7">
        <v>3</v>
      </c>
      <c r="B8" s="21" t="s">
        <v>42</v>
      </c>
      <c r="C8" s="23">
        <v>137.9</v>
      </c>
      <c r="D8" s="23">
        <v>155.6</v>
      </c>
      <c r="E8" s="23">
        <v>197.7</v>
      </c>
      <c r="F8" s="10">
        <f t="shared" si="0"/>
        <v>491.2</v>
      </c>
      <c r="G8" s="3">
        <f t="shared" si="1"/>
        <v>163.73333333333332</v>
      </c>
      <c r="J8"/>
      <c r="K8"/>
      <c r="L8"/>
      <c r="M8"/>
      <c r="N8"/>
      <c r="O8"/>
      <c r="P8"/>
      <c r="Q8"/>
      <c r="U8" s="7">
        <f>G8</f>
        <v>163.73333333333332</v>
      </c>
      <c r="V8" s="7" t="s">
        <v>66</v>
      </c>
      <c r="W8" s="7">
        <v>90.266666666666666</v>
      </c>
      <c r="X8" s="7" t="s">
        <v>63</v>
      </c>
      <c r="Y8" s="7">
        <f t="shared" si="2"/>
        <v>181.6705765782537</v>
      </c>
    </row>
    <row r="9" spans="1:25" ht="16" thickBot="1" x14ac:dyDescent="0.4">
      <c r="A9" s="7">
        <v>4</v>
      </c>
      <c r="B9" s="21" t="s">
        <v>43</v>
      </c>
      <c r="C9" s="23">
        <v>233</v>
      </c>
      <c r="D9" s="23">
        <v>259.3</v>
      </c>
      <c r="E9" s="23">
        <v>306.10000000000002</v>
      </c>
      <c r="F9" s="10">
        <f t="shared" si="0"/>
        <v>798.40000000000009</v>
      </c>
      <c r="G9" s="3">
        <f t="shared" si="1"/>
        <v>266.13333333333338</v>
      </c>
      <c r="J9" s="1" t="s">
        <v>10</v>
      </c>
      <c r="K9" s="1" t="s">
        <v>12</v>
      </c>
      <c r="L9" s="1" t="s">
        <v>14</v>
      </c>
      <c r="M9" s="1" t="s">
        <v>13</v>
      </c>
      <c r="N9" s="1" t="s">
        <v>15</v>
      </c>
      <c r="O9" s="1"/>
      <c r="P9" s="5">
        <v>0.05</v>
      </c>
      <c r="Q9" s="5">
        <v>0.01</v>
      </c>
      <c r="U9" s="7">
        <f>G9</f>
        <v>266.13333333333338</v>
      </c>
      <c r="V9" s="7" t="s">
        <v>73</v>
      </c>
      <c r="W9" s="7">
        <v>101</v>
      </c>
      <c r="X9" s="7" t="s">
        <v>64</v>
      </c>
      <c r="Y9" s="7">
        <f t="shared" si="2"/>
        <v>192.40390991158705</v>
      </c>
    </row>
    <row r="10" spans="1:25" ht="16" thickBot="1" x14ac:dyDescent="0.4">
      <c r="A10" s="7">
        <v>5</v>
      </c>
      <c r="B10" s="21" t="s">
        <v>44</v>
      </c>
      <c r="C10" s="23">
        <v>89.2</v>
      </c>
      <c r="D10" s="23">
        <v>47.7</v>
      </c>
      <c r="E10" s="23">
        <v>62.9</v>
      </c>
      <c r="F10" s="10">
        <f t="shared" si="0"/>
        <v>199.8</v>
      </c>
      <c r="G10" s="3">
        <f t="shared" si="1"/>
        <v>66.600000000000009</v>
      </c>
      <c r="J10" s="1" t="s">
        <v>7</v>
      </c>
      <c r="K10" s="1">
        <f>K4-1</f>
        <v>2</v>
      </c>
      <c r="L10" s="1">
        <f>SUMSQ(C18:E18)/12-K7</f>
        <v>1055.6866666667629</v>
      </c>
      <c r="M10" s="1">
        <f>L10/K10</f>
        <v>527.84333333338145</v>
      </c>
      <c r="N10" s="1">
        <f>M10/$M$15</f>
        <v>0.5583416459812689</v>
      </c>
      <c r="O10" s="1" t="str">
        <f>IF(N10&lt;P10,"TN",IF(N10&lt;Q10,"*","**"))</f>
        <v>TN</v>
      </c>
      <c r="P10" s="1">
        <f>FINV(5%,$K10,$K$15)</f>
        <v>3.4433567793667246</v>
      </c>
      <c r="Q10" s="1">
        <f>FINV(1%,$K10,$K$15)</f>
        <v>5.7190219124822725</v>
      </c>
      <c r="U10" s="7">
        <f>G10</f>
        <v>66.600000000000009</v>
      </c>
      <c r="V10" s="7" t="s">
        <v>26</v>
      </c>
      <c r="W10" s="7">
        <v>163.73333333333332</v>
      </c>
      <c r="X10" s="7" t="s">
        <v>66</v>
      </c>
      <c r="Y10" s="7">
        <f t="shared" si="2"/>
        <v>255.13724324492034</v>
      </c>
    </row>
    <row r="11" spans="1:25" ht="16" thickBot="1" x14ac:dyDescent="0.4">
      <c r="A11" s="7">
        <v>6</v>
      </c>
      <c r="B11" s="21" t="s">
        <v>45</v>
      </c>
      <c r="C11" s="23">
        <v>173.1</v>
      </c>
      <c r="D11" s="23">
        <v>145.30000000000001</v>
      </c>
      <c r="E11" s="23">
        <v>211.8</v>
      </c>
      <c r="F11" s="10">
        <f t="shared" si="0"/>
        <v>530.20000000000005</v>
      </c>
      <c r="G11" s="3">
        <f t="shared" si="1"/>
        <v>176.73333333333335</v>
      </c>
      <c r="J11" s="1" t="s">
        <v>8</v>
      </c>
      <c r="K11" s="1">
        <f>K5*K6-1</f>
        <v>11</v>
      </c>
      <c r="L11" s="1">
        <f>SUMSQ(F6:F17)/K4-K7</f>
        <v>346431.70750000025</v>
      </c>
      <c r="M11" s="1">
        <f t="shared" ref="M11:M15" si="3">L11/K11</f>
        <v>31493.791590909113</v>
      </c>
      <c r="N11" s="1">
        <f t="shared" ref="N11:N14" si="4">M11/$M$15</f>
        <v>33.313474519063682</v>
      </c>
      <c r="O11" s="1" t="str">
        <f t="shared" ref="O11:O14" si="5">IF(N11&lt;P11,"TN",IF(N11&lt;Q11,"*","**"))</f>
        <v>**</v>
      </c>
      <c r="P11" s="1">
        <f t="shared" ref="P11:P14" si="6">FINV(5%,K11,$K$15)</f>
        <v>2.2585183566229916</v>
      </c>
      <c r="Q11" s="1">
        <f t="shared" ref="Q11:Q14" si="7">FINV(1%,$K11,$K$15)</f>
        <v>3.1837421959607717</v>
      </c>
      <c r="U11" s="7">
        <f>G11</f>
        <v>176.73333333333335</v>
      </c>
      <c r="V11" s="7" t="s">
        <v>75</v>
      </c>
      <c r="W11" s="7">
        <v>176.73333333333335</v>
      </c>
      <c r="X11" s="7" t="s">
        <v>75</v>
      </c>
      <c r="Y11" s="7">
        <f t="shared" si="2"/>
        <v>268.1372432449204</v>
      </c>
    </row>
    <row r="12" spans="1:25" ht="16" thickBot="1" x14ac:dyDescent="0.4">
      <c r="A12" s="7">
        <v>7</v>
      </c>
      <c r="B12" s="21" t="s">
        <v>46</v>
      </c>
      <c r="C12" s="23">
        <v>211</v>
      </c>
      <c r="D12" s="23">
        <v>280.8</v>
      </c>
      <c r="E12" s="23">
        <v>258.3</v>
      </c>
      <c r="F12" s="10">
        <f t="shared" si="0"/>
        <v>750.1</v>
      </c>
      <c r="G12" s="3">
        <f t="shared" si="1"/>
        <v>250.03333333333333</v>
      </c>
      <c r="J12" s="1" t="s">
        <v>32</v>
      </c>
      <c r="K12" s="1">
        <f>K5-1</f>
        <v>2</v>
      </c>
      <c r="L12" s="1">
        <f>SUMSQ(C27:E27)/(K5*K6)-K7</f>
        <v>26695.931666666875</v>
      </c>
      <c r="M12" s="1">
        <f t="shared" si="3"/>
        <v>13347.965833333437</v>
      </c>
      <c r="N12" s="1">
        <f t="shared" si="4"/>
        <v>14.119199283659517</v>
      </c>
      <c r="O12" s="1" t="str">
        <f t="shared" si="5"/>
        <v>**</v>
      </c>
      <c r="P12" s="1">
        <f t="shared" si="6"/>
        <v>3.4433567793667246</v>
      </c>
      <c r="Q12" s="1">
        <f t="shared" si="7"/>
        <v>5.7190219124822725</v>
      </c>
      <c r="U12" s="7">
        <f>G12</f>
        <v>250.03333333333333</v>
      </c>
      <c r="V12" s="7" t="s">
        <v>70</v>
      </c>
      <c r="W12" s="7">
        <v>183.46666666666667</v>
      </c>
      <c r="X12" s="7" t="s">
        <v>69</v>
      </c>
      <c r="Y12" s="7">
        <f t="shared" si="2"/>
        <v>274.87057657825369</v>
      </c>
    </row>
    <row r="13" spans="1:25" ht="16" thickBot="1" x14ac:dyDescent="0.4">
      <c r="A13" s="7">
        <v>8</v>
      </c>
      <c r="B13" s="21" t="s">
        <v>47</v>
      </c>
      <c r="C13" s="23">
        <v>371.2</v>
      </c>
      <c r="D13" s="23">
        <v>352</v>
      </c>
      <c r="E13" s="23">
        <v>373.3</v>
      </c>
      <c r="F13" s="10">
        <f t="shared" si="0"/>
        <v>1096.5</v>
      </c>
      <c r="G13" s="3">
        <f t="shared" si="1"/>
        <v>365.5</v>
      </c>
      <c r="J13" s="1" t="s">
        <v>56</v>
      </c>
      <c r="K13" s="1">
        <f>K6-1</f>
        <v>3</v>
      </c>
      <c r="L13" s="1">
        <f>SUMSQ(F23:F26)/(K5*K4)-K7</f>
        <v>302792.62972222222</v>
      </c>
      <c r="M13" s="1">
        <f t="shared" si="3"/>
        <v>100930.87657407408</v>
      </c>
      <c r="N13" s="1">
        <f t="shared" si="4"/>
        <v>106.76257176693025</v>
      </c>
      <c r="O13" s="1" t="str">
        <f t="shared" si="5"/>
        <v>**</v>
      </c>
      <c r="P13" s="1">
        <f t="shared" si="6"/>
        <v>3.0491249886524128</v>
      </c>
      <c r="Q13" s="1">
        <f t="shared" si="7"/>
        <v>4.8166057778160596</v>
      </c>
      <c r="U13" s="7">
        <f>G13</f>
        <v>365.5</v>
      </c>
      <c r="V13" s="7" t="s">
        <v>77</v>
      </c>
      <c r="W13" s="7">
        <v>236.43333333333331</v>
      </c>
      <c r="X13" s="7" t="s">
        <v>70</v>
      </c>
      <c r="Y13" s="7">
        <f t="shared" si="2"/>
        <v>327.83724324492033</v>
      </c>
    </row>
    <row r="14" spans="1:25" ht="16" thickBot="1" x14ac:dyDescent="0.4">
      <c r="A14" s="7">
        <v>9</v>
      </c>
      <c r="B14" s="21" t="s">
        <v>48</v>
      </c>
      <c r="C14" s="23">
        <v>79.7</v>
      </c>
      <c r="D14" s="23">
        <v>57.1</v>
      </c>
      <c r="E14" s="23">
        <v>85.7</v>
      </c>
      <c r="F14" s="10">
        <f t="shared" si="0"/>
        <v>222.5</v>
      </c>
      <c r="G14" s="3">
        <f t="shared" si="1"/>
        <v>74.166666666666671</v>
      </c>
      <c r="J14" s="1" t="s">
        <v>33</v>
      </c>
      <c r="K14" s="1">
        <f>K12*K13</f>
        <v>6</v>
      </c>
      <c r="L14" s="1">
        <f>L11-L12-L13</f>
        <v>16943.146111111157</v>
      </c>
      <c r="M14" s="1">
        <f t="shared" si="3"/>
        <v>2823.8576851851926</v>
      </c>
      <c r="N14" s="1">
        <f t="shared" si="4"/>
        <v>2.9870176402651278</v>
      </c>
      <c r="O14" s="1" t="str">
        <f t="shared" si="5"/>
        <v>*</v>
      </c>
      <c r="P14" s="1">
        <f t="shared" si="6"/>
        <v>2.5490614138436585</v>
      </c>
      <c r="Q14" s="1">
        <f t="shared" si="7"/>
        <v>3.7583014350037565</v>
      </c>
      <c r="U14" s="7">
        <f>G14</f>
        <v>74.166666666666671</v>
      </c>
      <c r="V14" s="7" t="s">
        <v>37</v>
      </c>
      <c r="W14" s="7">
        <v>250.03333333333333</v>
      </c>
      <c r="X14" s="7" t="s">
        <v>70</v>
      </c>
      <c r="Y14" s="7">
        <f t="shared" si="2"/>
        <v>341.43724324492035</v>
      </c>
    </row>
    <row r="15" spans="1:25" ht="16" thickBot="1" x14ac:dyDescent="0.4">
      <c r="A15" s="7">
        <v>10</v>
      </c>
      <c r="B15" s="21" t="s">
        <v>49</v>
      </c>
      <c r="C15" s="23">
        <v>190</v>
      </c>
      <c r="D15" s="23">
        <v>155.80000000000001</v>
      </c>
      <c r="E15" s="23">
        <v>204.6</v>
      </c>
      <c r="F15" s="10">
        <f t="shared" si="0"/>
        <v>550.4</v>
      </c>
      <c r="G15" s="3">
        <f t="shared" si="1"/>
        <v>183.46666666666667</v>
      </c>
      <c r="J15" s="1" t="s">
        <v>19</v>
      </c>
      <c r="K15" s="1">
        <f>K16-K11-K10</f>
        <v>22</v>
      </c>
      <c r="L15" s="1">
        <f>L16-L11-L10</f>
        <v>20798.293333332986</v>
      </c>
      <c r="M15" s="1">
        <f t="shared" si="3"/>
        <v>945.37696969695389</v>
      </c>
      <c r="N15" s="1"/>
      <c r="O15" s="1"/>
      <c r="P15" s="1"/>
      <c r="Q15" s="1"/>
      <c r="U15" s="7">
        <f>G15</f>
        <v>183.46666666666667</v>
      </c>
      <c r="V15" s="7" t="s">
        <v>69</v>
      </c>
      <c r="W15" s="7">
        <v>266.13333333333338</v>
      </c>
      <c r="X15" s="7" t="s">
        <v>73</v>
      </c>
      <c r="Y15" s="7">
        <f t="shared" si="2"/>
        <v>357.53724324492043</v>
      </c>
    </row>
    <row r="16" spans="1:25" ht="16" thickBot="1" x14ac:dyDescent="0.4">
      <c r="A16" s="7">
        <v>11</v>
      </c>
      <c r="B16" s="21" t="s">
        <v>50</v>
      </c>
      <c r="C16" s="23">
        <v>241.9</v>
      </c>
      <c r="D16" s="23">
        <v>267.7</v>
      </c>
      <c r="E16" s="23">
        <v>199.7</v>
      </c>
      <c r="F16" s="10">
        <f t="shared" si="0"/>
        <v>709.3</v>
      </c>
      <c r="G16" s="3">
        <f t="shared" si="1"/>
        <v>236.43333333333331</v>
      </c>
      <c r="J16" s="1" t="s">
        <v>11</v>
      </c>
      <c r="K16" s="1">
        <f>K4*K5*K6-1</f>
        <v>35</v>
      </c>
      <c r="L16" s="1">
        <f>SUMSQ(C6:E17)-K7</f>
        <v>368285.6875</v>
      </c>
      <c r="M16" s="1"/>
      <c r="N16" s="1"/>
      <c r="O16" s="1"/>
      <c r="P16" s="1"/>
      <c r="Q16" s="1"/>
      <c r="U16" s="7">
        <f>G16</f>
        <v>236.43333333333331</v>
      </c>
      <c r="V16" s="7" t="s">
        <v>70</v>
      </c>
      <c r="W16" s="7">
        <v>350.83333333333331</v>
      </c>
      <c r="X16" s="7" t="s">
        <v>76</v>
      </c>
      <c r="Y16" s="7">
        <f t="shared" si="2"/>
        <v>442.23724324492036</v>
      </c>
    </row>
    <row r="17" spans="1:25" ht="16" thickBot="1" x14ac:dyDescent="0.4">
      <c r="A17" s="7">
        <v>12</v>
      </c>
      <c r="B17" s="21" t="s">
        <v>51</v>
      </c>
      <c r="C17" s="23">
        <v>311</v>
      </c>
      <c r="D17" s="23">
        <v>395.3</v>
      </c>
      <c r="E17" s="23">
        <v>346.2</v>
      </c>
      <c r="F17" s="10">
        <f t="shared" si="0"/>
        <v>1052.5</v>
      </c>
      <c r="G17" s="3">
        <f t="shared" si="1"/>
        <v>350.83333333333331</v>
      </c>
      <c r="U17" s="7">
        <f>G17</f>
        <v>350.83333333333331</v>
      </c>
      <c r="V17" s="7" t="s">
        <v>76</v>
      </c>
      <c r="W17" s="7">
        <v>365.5</v>
      </c>
      <c r="X17" s="7" t="s">
        <v>77</v>
      </c>
      <c r="Y17" s="7">
        <f t="shared" si="2"/>
        <v>456.90390991158705</v>
      </c>
    </row>
    <row r="18" spans="1:25" x14ac:dyDescent="0.35">
      <c r="B18" s="3"/>
      <c r="C18" s="6">
        <f>SUM(C6:C17)</f>
        <v>2241.7000000000003</v>
      </c>
      <c r="D18" s="6">
        <f t="shared" ref="D18:F18" si="8">SUM(D6:D17)</f>
        <v>2332.6999999999998</v>
      </c>
      <c r="E18" s="6">
        <f t="shared" si="8"/>
        <v>2400.2999999999997</v>
      </c>
      <c r="F18" s="11">
        <f t="shared" si="8"/>
        <v>6974.7</v>
      </c>
      <c r="G18" s="3"/>
      <c r="U18">
        <f>E29*((M15/3)^0.5)</f>
        <v>91.403909911587036</v>
      </c>
    </row>
    <row r="21" spans="1:25" ht="15" thickBot="1" x14ac:dyDescent="0.4"/>
    <row r="22" spans="1:25" ht="16" thickBot="1" x14ac:dyDescent="0.4">
      <c r="B22" s="13"/>
      <c r="C22" s="14" t="s">
        <v>34</v>
      </c>
      <c r="D22" s="15" t="s">
        <v>35</v>
      </c>
      <c r="E22" s="15" t="s">
        <v>36</v>
      </c>
      <c r="F22" s="13"/>
      <c r="I22" s="1"/>
      <c r="J22" s="13" t="s">
        <v>52</v>
      </c>
      <c r="K22" s="13" t="s">
        <v>53</v>
      </c>
      <c r="L22" s="13" t="s">
        <v>54</v>
      </c>
      <c r="M22" s="13" t="s">
        <v>55</v>
      </c>
      <c r="N22" s="1" t="s">
        <v>5</v>
      </c>
      <c r="O22"/>
      <c r="P22"/>
      <c r="Q22"/>
      <c r="R22"/>
      <c r="S22"/>
      <c r="T22"/>
      <c r="U22"/>
    </row>
    <row r="23" spans="1:25" ht="19" thickBot="1" x14ac:dyDescent="0.5">
      <c r="B23" s="13" t="s">
        <v>52</v>
      </c>
      <c r="C23" s="13">
        <f>F6</f>
        <v>270.8</v>
      </c>
      <c r="D23" s="13">
        <f>F10</f>
        <v>199.8</v>
      </c>
      <c r="E23" s="13">
        <f>F14</f>
        <v>222.5</v>
      </c>
      <c r="F23" s="13">
        <f>SUM(C23:E23)</f>
        <v>693.1</v>
      </c>
      <c r="I23" s="14" t="s">
        <v>34</v>
      </c>
      <c r="J23" s="3">
        <f>G6</f>
        <v>90.266666666666666</v>
      </c>
      <c r="K23" s="16">
        <f>G7</f>
        <v>101</v>
      </c>
      <c r="L23" s="3">
        <f>G8</f>
        <v>163.73333333333332</v>
      </c>
      <c r="M23" s="3">
        <f>G9</f>
        <v>266.13333333333338</v>
      </c>
      <c r="N23" s="1">
        <f>AVERAGE(J23:M23)</f>
        <v>155.28333333333336</v>
      </c>
      <c r="O23"/>
      <c r="P23" s="1" t="s">
        <v>18</v>
      </c>
      <c r="Q23" s="1">
        <v>11.089583333333334</v>
      </c>
      <c r="R23"/>
      <c r="S23"/>
      <c r="T23"/>
      <c r="U23">
        <f>N23+N$26</f>
        <v>155.28333333333336</v>
      </c>
    </row>
    <row r="24" spans="1:25" ht="16" thickBot="1" x14ac:dyDescent="0.4">
      <c r="B24" s="13" t="s">
        <v>53</v>
      </c>
      <c r="C24" s="13">
        <f>F7</f>
        <v>303</v>
      </c>
      <c r="D24" s="13">
        <f>F11</f>
        <v>530.20000000000005</v>
      </c>
      <c r="E24" s="13">
        <f>F15</f>
        <v>550.4</v>
      </c>
      <c r="F24" s="13">
        <f t="shared" ref="F24:F26" si="9">SUM(C24:E24)</f>
        <v>1383.6</v>
      </c>
      <c r="I24" s="15" t="s">
        <v>35</v>
      </c>
      <c r="J24" s="3">
        <f>G10</f>
        <v>66.600000000000009</v>
      </c>
      <c r="K24" s="3">
        <f>G11</f>
        <v>176.73333333333335</v>
      </c>
      <c r="L24" s="3">
        <f>G12</f>
        <v>250.03333333333333</v>
      </c>
      <c r="M24" s="3">
        <f>G13</f>
        <v>365.5</v>
      </c>
      <c r="N24" s="1">
        <f t="shared" ref="N24:N25" si="10">AVERAGE(J24:M24)</f>
        <v>214.71666666666667</v>
      </c>
      <c r="O24"/>
      <c r="P24" s="1" t="s">
        <v>17</v>
      </c>
      <c r="Q24" s="1">
        <v>10.122916666666667</v>
      </c>
      <c r="R24"/>
      <c r="S24"/>
      <c r="T24"/>
      <c r="U24">
        <f t="shared" ref="U24:U25" si="11">N24+N$26</f>
        <v>214.71666666666667</v>
      </c>
    </row>
    <row r="25" spans="1:25" ht="19" thickBot="1" x14ac:dyDescent="0.5">
      <c r="B25" s="13" t="s">
        <v>54</v>
      </c>
      <c r="C25" s="13">
        <f>F8</f>
        <v>491.2</v>
      </c>
      <c r="D25" s="13">
        <f>F12</f>
        <v>750.1</v>
      </c>
      <c r="E25" s="13">
        <f>F16</f>
        <v>709.3</v>
      </c>
      <c r="F25" s="13">
        <f t="shared" si="9"/>
        <v>1950.6</v>
      </c>
      <c r="I25" s="15" t="s">
        <v>36</v>
      </c>
      <c r="J25" s="3">
        <f>G14</f>
        <v>74.166666666666671</v>
      </c>
      <c r="K25" s="16">
        <f>G15</f>
        <v>183.46666666666667</v>
      </c>
      <c r="L25" s="3">
        <f>G16</f>
        <v>236.43333333333331</v>
      </c>
      <c r="M25" s="3">
        <f>G17</f>
        <v>350.83333333333331</v>
      </c>
      <c r="N25" s="1">
        <f t="shared" si="10"/>
        <v>211.22499999999997</v>
      </c>
      <c r="O25"/>
      <c r="P25" s="1" t="s">
        <v>16</v>
      </c>
      <c r="Q25" s="1">
        <v>9.9791666666666679</v>
      </c>
      <c r="R25"/>
      <c r="S25"/>
      <c r="T25"/>
      <c r="U25">
        <f t="shared" si="11"/>
        <v>211.22499999999997</v>
      </c>
    </row>
    <row r="26" spans="1:25" ht="18.5" x14ac:dyDescent="0.45">
      <c r="B26" s="13" t="s">
        <v>55</v>
      </c>
      <c r="C26" s="13">
        <f>F9</f>
        <v>798.40000000000009</v>
      </c>
      <c r="D26" s="13">
        <f>F13</f>
        <v>1096.5</v>
      </c>
      <c r="E26" s="13">
        <f>F17</f>
        <v>1052.5</v>
      </c>
      <c r="F26" s="13">
        <f t="shared" si="9"/>
        <v>2947.4</v>
      </c>
      <c r="I26"/>
      <c r="J26"/>
      <c r="K26" s="2"/>
      <c r="L26"/>
      <c r="M26" t="s">
        <v>24</v>
      </c>
      <c r="N26">
        <f>D31*((M15/12)^0.5)</f>
        <v>0</v>
      </c>
      <c r="O26"/>
      <c r="P26"/>
      <c r="Q26">
        <v>1.6970124878379924</v>
      </c>
      <c r="R26"/>
      <c r="S26"/>
      <c r="T26"/>
      <c r="U26"/>
    </row>
    <row r="27" spans="1:25" ht="19" thickBot="1" x14ac:dyDescent="0.5">
      <c r="B27" s="13"/>
      <c r="C27" s="13">
        <f>SUM(C23:C26)</f>
        <v>1863.4</v>
      </c>
      <c r="D27" s="13">
        <f t="shared" ref="D27:E27" si="12">SUM(D23:D26)</f>
        <v>2576.6</v>
      </c>
      <c r="E27" s="13">
        <f t="shared" si="12"/>
        <v>2534.6999999999998</v>
      </c>
      <c r="F27" s="13"/>
      <c r="I27"/>
      <c r="J27"/>
      <c r="K27" s="2"/>
      <c r="L27"/>
      <c r="M27"/>
      <c r="N27"/>
      <c r="O27"/>
      <c r="P27"/>
      <c r="Q27"/>
      <c r="R27"/>
      <c r="S27"/>
      <c r="T27"/>
      <c r="U27"/>
    </row>
    <row r="28" spans="1:25" ht="16" thickBot="1" x14ac:dyDescent="0.4">
      <c r="I28"/>
      <c r="J28" s="1"/>
      <c r="K28" s="14" t="s">
        <v>34</v>
      </c>
      <c r="L28" s="15" t="s">
        <v>35</v>
      </c>
      <c r="M28" s="15" t="s">
        <v>36</v>
      </c>
      <c r="N28" s="1" t="s">
        <v>5</v>
      </c>
      <c r="O28"/>
      <c r="P28"/>
      <c r="Q28"/>
      <c r="R28"/>
      <c r="S28"/>
      <c r="T28"/>
      <c r="U28"/>
    </row>
    <row r="29" spans="1:25" x14ac:dyDescent="0.35">
      <c r="C29" s="25" t="s">
        <v>29</v>
      </c>
      <c r="D29" s="25"/>
      <c r="E29" s="7">
        <v>5.149</v>
      </c>
      <c r="I29"/>
      <c r="J29" s="13" t="s">
        <v>52</v>
      </c>
      <c r="K29" s="7">
        <f>G6</f>
        <v>90.266666666666666</v>
      </c>
      <c r="L29" s="7">
        <f>G10</f>
        <v>66.600000000000009</v>
      </c>
      <c r="M29" s="7">
        <f>G14</f>
        <v>74.166666666666671</v>
      </c>
      <c r="N29" s="1">
        <f>AVERAGE(J29:M29)</f>
        <v>77.01111111111112</v>
      </c>
      <c r="O29"/>
      <c r="P29" s="4" t="s">
        <v>20</v>
      </c>
      <c r="Q29" s="4">
        <v>32.391666666666666</v>
      </c>
      <c r="R29"/>
      <c r="S29"/>
      <c r="T29"/>
      <c r="U29"/>
    </row>
    <row r="30" spans="1:25" x14ac:dyDescent="0.35">
      <c r="C30" s="25" t="s">
        <v>28</v>
      </c>
      <c r="D30" s="25"/>
      <c r="E30" s="7">
        <v>3.5550000000000002</v>
      </c>
      <c r="I30"/>
      <c r="J30" s="13" t="s">
        <v>53</v>
      </c>
      <c r="K30" s="7">
        <f t="shared" ref="K30:K32" si="13">G7</f>
        <v>101</v>
      </c>
      <c r="L30" s="7">
        <f t="shared" ref="L30:L32" si="14">G11</f>
        <v>176.73333333333335</v>
      </c>
      <c r="M30" s="7">
        <f t="shared" ref="M30:M32" si="15">G15</f>
        <v>183.46666666666667</v>
      </c>
      <c r="N30" s="1">
        <f>AVERAGE(J30:M30)</f>
        <v>153.73333333333335</v>
      </c>
      <c r="O30"/>
      <c r="P30" s="4" t="s">
        <v>21</v>
      </c>
      <c r="Q30" s="4">
        <v>30.224999999999998</v>
      </c>
      <c r="R30"/>
      <c r="S30"/>
      <c r="T30"/>
      <c r="U30"/>
    </row>
    <row r="31" spans="1:25" x14ac:dyDescent="0.35">
      <c r="C31" s="25" t="s">
        <v>30</v>
      </c>
      <c r="D31" s="25"/>
      <c r="E31" s="7">
        <v>3.93</v>
      </c>
      <c r="I31"/>
      <c r="J31" s="13" t="s">
        <v>54</v>
      </c>
      <c r="K31" s="7">
        <f t="shared" si="13"/>
        <v>163.73333333333332</v>
      </c>
      <c r="L31" s="7">
        <f t="shared" si="14"/>
        <v>250.03333333333333</v>
      </c>
      <c r="M31" s="7">
        <f t="shared" si="15"/>
        <v>236.43333333333331</v>
      </c>
      <c r="N31" s="1">
        <f>AVERAGE(J31:M31)</f>
        <v>216.73333333333332</v>
      </c>
      <c r="O31"/>
      <c r="P31" s="4" t="s">
        <v>22</v>
      </c>
      <c r="Q31" s="4">
        <v>31.525000000000002</v>
      </c>
      <c r="R31"/>
      <c r="S31"/>
      <c r="T31"/>
      <c r="U31"/>
    </row>
    <row r="32" spans="1:25" x14ac:dyDescent="0.35">
      <c r="I32"/>
      <c r="J32" s="13" t="s">
        <v>55</v>
      </c>
      <c r="K32" s="7">
        <f t="shared" si="13"/>
        <v>266.13333333333338</v>
      </c>
      <c r="L32" s="7">
        <f t="shared" si="14"/>
        <v>365.5</v>
      </c>
      <c r="M32" s="7">
        <f t="shared" si="15"/>
        <v>350.83333333333331</v>
      </c>
      <c r="N32" s="1">
        <f>AVERAGE(J32:M32)</f>
        <v>327.48888888888888</v>
      </c>
      <c r="O32"/>
      <c r="P32" s="4" t="s">
        <v>23</v>
      </c>
      <c r="Q32" s="4">
        <v>30.625</v>
      </c>
      <c r="R32"/>
      <c r="S32"/>
      <c r="T32"/>
      <c r="U32"/>
    </row>
    <row r="33" spans="9:21" ht="18.5" x14ac:dyDescent="0.45">
      <c r="I33"/>
      <c r="J33"/>
      <c r="K33" s="2"/>
      <c r="L33"/>
      <c r="M33" t="s">
        <v>24</v>
      </c>
      <c r="N33">
        <f>D32*((M15/9)^0.5)</f>
        <v>0</v>
      </c>
      <c r="O33"/>
      <c r="P33"/>
      <c r="Q33" t="s">
        <v>25</v>
      </c>
      <c r="R33"/>
      <c r="S33"/>
      <c r="T33"/>
      <c r="U33"/>
    </row>
    <row r="50" spans="11:11" ht="18.5" x14ac:dyDescent="0.45">
      <c r="K50" s="12"/>
    </row>
  </sheetData>
  <sortState xmlns:xlrd2="http://schemas.microsoft.com/office/spreadsheetml/2017/richdata2" ref="W6:W17">
    <sortCondition ref="W6:W17"/>
  </sortState>
  <mergeCells count="7">
    <mergeCell ref="G4:G5"/>
    <mergeCell ref="C29:D29"/>
    <mergeCell ref="C30:D30"/>
    <mergeCell ref="C31:D31"/>
    <mergeCell ref="B4:B5"/>
    <mergeCell ref="C4:E4"/>
    <mergeCell ref="F4:F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U50"/>
  <sheetViews>
    <sheetView topLeftCell="A7" zoomScale="80" zoomScaleNormal="80" workbookViewId="0">
      <selection activeCell="H24" sqref="H24"/>
    </sheetView>
  </sheetViews>
  <sheetFormatPr defaultColWidth="9.1796875" defaultRowHeight="14.5" x14ac:dyDescent="0.35"/>
  <cols>
    <col min="1" max="1" width="5.81640625" style="7" customWidth="1"/>
    <col min="2" max="2" width="14" style="7" customWidth="1"/>
    <col min="3" max="5" width="9.1796875" style="7"/>
    <col min="6" max="6" width="9.81640625" style="7" customWidth="1"/>
    <col min="7" max="7" width="11" style="7" customWidth="1"/>
    <col min="8" max="17" width="9.1796875" style="7"/>
    <col min="18" max="18" width="8.26953125" style="7" customWidth="1"/>
    <col min="19" max="19" width="3.453125" style="7" customWidth="1"/>
    <col min="20" max="20" width="3.7265625" style="7" customWidth="1"/>
    <col min="21" max="16384" width="9.1796875" style="7"/>
  </cols>
  <sheetData>
    <row r="3" spans="1:17" ht="15.5" x14ac:dyDescent="0.35">
      <c r="E3" s="8"/>
    </row>
    <row r="4" spans="1:17" x14ac:dyDescent="0.35">
      <c r="B4" s="24" t="s">
        <v>0</v>
      </c>
      <c r="C4" s="26" t="s">
        <v>1</v>
      </c>
      <c r="D4" s="26"/>
      <c r="E4" s="26"/>
      <c r="F4" s="24" t="s">
        <v>6</v>
      </c>
      <c r="G4" s="24" t="s">
        <v>5</v>
      </c>
      <c r="J4" t="s">
        <v>7</v>
      </c>
      <c r="K4">
        <v>3</v>
      </c>
      <c r="L4"/>
      <c r="M4"/>
      <c r="N4"/>
      <c r="O4"/>
      <c r="P4"/>
      <c r="Q4"/>
    </row>
    <row r="5" spans="1:17" ht="15.5" x14ac:dyDescent="0.35">
      <c r="B5" s="24"/>
      <c r="C5" s="9" t="s">
        <v>2</v>
      </c>
      <c r="D5" s="9" t="s">
        <v>3</v>
      </c>
      <c r="E5" s="9" t="s">
        <v>4</v>
      </c>
      <c r="F5" s="24"/>
      <c r="G5" s="24"/>
      <c r="J5" t="s">
        <v>32</v>
      </c>
      <c r="K5">
        <v>3</v>
      </c>
      <c r="L5"/>
      <c r="M5"/>
      <c r="N5"/>
      <c r="O5"/>
      <c r="P5"/>
      <c r="Q5"/>
    </row>
    <row r="6" spans="1:17" ht="15.5" x14ac:dyDescent="0.35">
      <c r="A6" s="7">
        <v>1</v>
      </c>
      <c r="B6" s="21" t="s">
        <v>40</v>
      </c>
      <c r="C6" s="21">
        <v>5</v>
      </c>
      <c r="D6" s="22">
        <v>8</v>
      </c>
      <c r="E6" s="22">
        <v>9</v>
      </c>
      <c r="F6" s="10">
        <f>C6+D6+E6</f>
        <v>22</v>
      </c>
      <c r="G6" s="3">
        <f>AVERAGE(C6:E6)</f>
        <v>7.333333333333333</v>
      </c>
      <c r="J6" t="s">
        <v>56</v>
      </c>
      <c r="K6">
        <v>4</v>
      </c>
      <c r="L6"/>
      <c r="M6"/>
      <c r="N6"/>
      <c r="O6"/>
      <c r="P6"/>
      <c r="Q6"/>
    </row>
    <row r="7" spans="1:17" ht="15.5" x14ac:dyDescent="0.35">
      <c r="A7" s="7">
        <v>2</v>
      </c>
      <c r="B7" s="21" t="s">
        <v>41</v>
      </c>
      <c r="C7" s="21">
        <v>11</v>
      </c>
      <c r="D7" s="22">
        <v>7</v>
      </c>
      <c r="E7" s="22">
        <v>9</v>
      </c>
      <c r="F7" s="10">
        <f t="shared" ref="F7:F17" si="0">C7+D7+E7</f>
        <v>27</v>
      </c>
      <c r="G7" s="3">
        <f t="shared" ref="G7:G17" si="1">AVERAGE(C7:E7)</f>
        <v>9</v>
      </c>
      <c r="J7" t="s">
        <v>9</v>
      </c>
      <c r="K7">
        <f>(F18^2)/(K4*K5*K6)</f>
        <v>5280.4444444444443</v>
      </c>
      <c r="L7"/>
      <c r="M7"/>
      <c r="N7"/>
      <c r="O7"/>
      <c r="P7"/>
      <c r="Q7"/>
    </row>
    <row r="8" spans="1:17" ht="15.5" x14ac:dyDescent="0.35">
      <c r="A8" s="7">
        <v>3</v>
      </c>
      <c r="B8" s="21" t="s">
        <v>42</v>
      </c>
      <c r="C8" s="27">
        <v>14</v>
      </c>
      <c r="D8" s="22">
        <v>11</v>
      </c>
      <c r="E8" s="22">
        <v>16</v>
      </c>
      <c r="F8" s="10">
        <f t="shared" si="0"/>
        <v>41</v>
      </c>
      <c r="G8" s="3">
        <f t="shared" si="1"/>
        <v>13.666666666666666</v>
      </c>
      <c r="J8"/>
      <c r="K8"/>
      <c r="L8"/>
      <c r="M8"/>
      <c r="N8"/>
      <c r="O8"/>
      <c r="P8"/>
      <c r="Q8"/>
    </row>
    <row r="9" spans="1:17" ht="15.5" x14ac:dyDescent="0.35">
      <c r="A9" s="7">
        <v>4</v>
      </c>
      <c r="B9" s="21" t="s">
        <v>43</v>
      </c>
      <c r="C9" s="21">
        <v>20</v>
      </c>
      <c r="D9" s="22">
        <v>19</v>
      </c>
      <c r="E9" s="22">
        <v>20</v>
      </c>
      <c r="F9" s="10">
        <f t="shared" si="0"/>
        <v>59</v>
      </c>
      <c r="G9" s="3">
        <f t="shared" si="1"/>
        <v>19.666666666666668</v>
      </c>
      <c r="J9" s="1" t="s">
        <v>10</v>
      </c>
      <c r="K9" s="1" t="s">
        <v>12</v>
      </c>
      <c r="L9" s="1" t="s">
        <v>14</v>
      </c>
      <c r="M9" s="1" t="s">
        <v>13</v>
      </c>
      <c r="N9" s="1" t="s">
        <v>15</v>
      </c>
      <c r="O9" s="1"/>
      <c r="P9" s="5">
        <v>0.05</v>
      </c>
      <c r="Q9" s="5">
        <v>0.01</v>
      </c>
    </row>
    <row r="10" spans="1:17" ht="15.5" x14ac:dyDescent="0.35">
      <c r="A10" s="7">
        <v>5</v>
      </c>
      <c r="B10" s="21" t="s">
        <v>44</v>
      </c>
      <c r="C10" s="21">
        <v>9</v>
      </c>
      <c r="D10" s="22">
        <v>5</v>
      </c>
      <c r="E10" s="22">
        <v>6</v>
      </c>
      <c r="F10" s="10">
        <f t="shared" si="0"/>
        <v>20</v>
      </c>
      <c r="G10" s="3">
        <f t="shared" si="1"/>
        <v>6.666666666666667</v>
      </c>
      <c r="J10" s="1" t="s">
        <v>7</v>
      </c>
      <c r="K10" s="1">
        <f>K4-1</f>
        <v>2</v>
      </c>
      <c r="L10" s="1">
        <f>SUMSQ(C18:E18)/12-K7</f>
        <v>1.5555555555556566</v>
      </c>
      <c r="M10" s="1">
        <f>L10/K10</f>
        <v>0.77777777777782831</v>
      </c>
      <c r="N10" s="1">
        <f>M10/$M$15</f>
        <v>0.18509615384616609</v>
      </c>
      <c r="O10" s="1" t="str">
        <f>IF(N10&lt;P10,"TN",IF(N10&lt;Q10,"*","**"))</f>
        <v>TN</v>
      </c>
      <c r="P10" s="1">
        <f>FINV(5%,$K10,$K$15)</f>
        <v>3.4433567793667246</v>
      </c>
      <c r="Q10" s="1">
        <f>FINV(1%,$K10,$K$15)</f>
        <v>5.7190219124822725</v>
      </c>
    </row>
    <row r="11" spans="1:17" ht="15.5" x14ac:dyDescent="0.35">
      <c r="A11" s="7">
        <v>6</v>
      </c>
      <c r="B11" s="21" t="s">
        <v>45</v>
      </c>
      <c r="C11" s="21">
        <v>8</v>
      </c>
      <c r="D11" s="22">
        <v>10</v>
      </c>
      <c r="E11" s="22">
        <v>10</v>
      </c>
      <c r="F11" s="10">
        <f t="shared" si="0"/>
        <v>28</v>
      </c>
      <c r="G11" s="3">
        <f t="shared" si="1"/>
        <v>9.3333333333333339</v>
      </c>
      <c r="J11" s="1" t="s">
        <v>8</v>
      </c>
      <c r="K11" s="1">
        <f>K5*K6-1</f>
        <v>11</v>
      </c>
      <c r="L11" s="1">
        <f>SUMSQ(F6:F17)/K4-K7</f>
        <v>631.55555555555566</v>
      </c>
      <c r="M11" s="1">
        <f t="shared" ref="M11:M15" si="2">L11/K11</f>
        <v>57.414141414141426</v>
      </c>
      <c r="N11" s="1">
        <f t="shared" ref="N11:N14" si="3">M11/$M$15</f>
        <v>13.663461538461558</v>
      </c>
      <c r="O11" s="1" t="str">
        <f t="shared" ref="O11:O14" si="4">IF(N11&lt;P11,"TN",IF(N11&lt;Q11,"*","**"))</f>
        <v>**</v>
      </c>
      <c r="P11" s="1">
        <f t="shared" ref="P11:P14" si="5">FINV(5%,K11,$K$15)</f>
        <v>2.2585183566229916</v>
      </c>
      <c r="Q11" s="1">
        <f t="shared" ref="Q11:Q14" si="6">FINV(1%,$K11,$K$15)</f>
        <v>3.1837421959607717</v>
      </c>
    </row>
    <row r="12" spans="1:17" ht="15.5" x14ac:dyDescent="0.35">
      <c r="A12" s="7">
        <v>7</v>
      </c>
      <c r="B12" s="21" t="s">
        <v>46</v>
      </c>
      <c r="C12" s="21">
        <v>10</v>
      </c>
      <c r="D12" s="22">
        <v>15</v>
      </c>
      <c r="E12" s="22">
        <v>11</v>
      </c>
      <c r="F12" s="10">
        <f t="shared" si="0"/>
        <v>36</v>
      </c>
      <c r="G12" s="3">
        <f t="shared" si="1"/>
        <v>12</v>
      </c>
      <c r="J12" s="1" t="s">
        <v>32</v>
      </c>
      <c r="K12" s="1">
        <f>K5-1</f>
        <v>2</v>
      </c>
      <c r="L12" s="1">
        <f>SUMSQ(C27:E27)/(K5*K6)-K7</f>
        <v>27.722222222222626</v>
      </c>
      <c r="M12" s="1">
        <f t="shared" si="2"/>
        <v>13.861111111111313</v>
      </c>
      <c r="N12" s="1">
        <f t="shared" si="3"/>
        <v>3.2986778846154365</v>
      </c>
      <c r="O12" s="1" t="str">
        <f t="shared" si="4"/>
        <v>TN</v>
      </c>
      <c r="P12" s="1">
        <f t="shared" si="5"/>
        <v>3.4433567793667246</v>
      </c>
      <c r="Q12" s="1">
        <f t="shared" si="6"/>
        <v>5.7190219124822725</v>
      </c>
    </row>
    <row r="13" spans="1:17" ht="15.5" x14ac:dyDescent="0.35">
      <c r="A13" s="7">
        <v>8</v>
      </c>
      <c r="B13" s="21" t="s">
        <v>47</v>
      </c>
      <c r="C13" s="21">
        <v>14</v>
      </c>
      <c r="D13" s="22">
        <v>16</v>
      </c>
      <c r="E13" s="22">
        <v>17</v>
      </c>
      <c r="F13" s="10">
        <f t="shared" si="0"/>
        <v>47</v>
      </c>
      <c r="G13" s="3">
        <f t="shared" si="1"/>
        <v>15.666666666666666</v>
      </c>
      <c r="J13" s="1" t="s">
        <v>56</v>
      </c>
      <c r="K13" s="1">
        <f>K6-1</f>
        <v>3</v>
      </c>
      <c r="L13" s="1">
        <f>SUMSQ(F23:F26)/(K5*K4)-K7</f>
        <v>580.22222222222263</v>
      </c>
      <c r="M13" s="1">
        <f t="shared" si="2"/>
        <v>193.40740740740753</v>
      </c>
      <c r="N13" s="1">
        <f t="shared" si="3"/>
        <v>46.027243589743676</v>
      </c>
      <c r="O13" s="1" t="str">
        <f t="shared" si="4"/>
        <v>**</v>
      </c>
      <c r="P13" s="1">
        <f t="shared" si="5"/>
        <v>3.0491249886524128</v>
      </c>
      <c r="Q13" s="1">
        <f t="shared" si="6"/>
        <v>4.8166057778160596</v>
      </c>
    </row>
    <row r="14" spans="1:17" ht="15.5" x14ac:dyDescent="0.35">
      <c r="A14" s="7">
        <v>9</v>
      </c>
      <c r="B14" s="21" t="s">
        <v>48</v>
      </c>
      <c r="C14" s="21">
        <v>8</v>
      </c>
      <c r="D14" s="22">
        <v>6</v>
      </c>
      <c r="E14" s="22">
        <v>8</v>
      </c>
      <c r="F14" s="10">
        <f t="shared" si="0"/>
        <v>22</v>
      </c>
      <c r="G14" s="3">
        <f t="shared" si="1"/>
        <v>7.333333333333333</v>
      </c>
      <c r="J14" s="1" t="s">
        <v>33</v>
      </c>
      <c r="K14" s="1">
        <f>K12*K13</f>
        <v>6</v>
      </c>
      <c r="L14" s="1">
        <f>L11-L12-L13</f>
        <v>23.611111111110404</v>
      </c>
      <c r="M14" s="1">
        <f t="shared" si="2"/>
        <v>3.9351851851850674</v>
      </c>
      <c r="N14" s="1">
        <f t="shared" si="3"/>
        <v>0.93649839743587049</v>
      </c>
      <c r="O14" s="1" t="str">
        <f t="shared" si="4"/>
        <v>TN</v>
      </c>
      <c r="P14" s="1">
        <f t="shared" si="5"/>
        <v>2.5490614138436585</v>
      </c>
      <c r="Q14" s="1">
        <f t="shared" si="6"/>
        <v>3.7583014350037565</v>
      </c>
    </row>
    <row r="15" spans="1:17" ht="15.5" x14ac:dyDescent="0.35">
      <c r="A15" s="7">
        <v>10</v>
      </c>
      <c r="B15" s="21" t="s">
        <v>49</v>
      </c>
      <c r="C15" s="21">
        <v>12</v>
      </c>
      <c r="D15" s="22">
        <v>13</v>
      </c>
      <c r="E15" s="22">
        <v>9</v>
      </c>
      <c r="F15" s="10">
        <f t="shared" si="0"/>
        <v>34</v>
      </c>
      <c r="G15" s="3">
        <f t="shared" si="1"/>
        <v>11.333333333333334</v>
      </c>
      <c r="J15" s="1" t="s">
        <v>19</v>
      </c>
      <c r="K15" s="1">
        <f>K16-K11-K10</f>
        <v>22</v>
      </c>
      <c r="L15" s="1">
        <f>L16-L11-L10</f>
        <v>92.444444444444343</v>
      </c>
      <c r="M15" s="1">
        <f t="shared" si="2"/>
        <v>4.2020202020201971</v>
      </c>
      <c r="N15" s="1"/>
      <c r="O15" s="1"/>
      <c r="P15" s="1"/>
      <c r="Q15" s="1"/>
    </row>
    <row r="16" spans="1:17" ht="15.5" x14ac:dyDescent="0.35">
      <c r="A16" s="7">
        <v>11</v>
      </c>
      <c r="B16" s="21" t="s">
        <v>50</v>
      </c>
      <c r="C16" s="21">
        <v>16</v>
      </c>
      <c r="D16" s="22">
        <v>17</v>
      </c>
      <c r="E16" s="22">
        <v>13</v>
      </c>
      <c r="F16" s="10">
        <f t="shared" si="0"/>
        <v>46</v>
      </c>
      <c r="G16" s="3">
        <f t="shared" si="1"/>
        <v>15.333333333333334</v>
      </c>
      <c r="J16" s="1" t="s">
        <v>11</v>
      </c>
      <c r="K16" s="1">
        <f>K4*K5*K6-1</f>
        <v>35</v>
      </c>
      <c r="L16" s="1">
        <f>SUMSQ(C6:E17)-K7</f>
        <v>725.55555555555566</v>
      </c>
      <c r="M16" s="1"/>
      <c r="N16" s="1"/>
      <c r="O16" s="1"/>
      <c r="P16" s="1"/>
      <c r="Q16" s="1"/>
    </row>
    <row r="17" spans="1:21" ht="15.5" x14ac:dyDescent="0.35">
      <c r="A17" s="7">
        <v>12</v>
      </c>
      <c r="B17" s="21" t="s">
        <v>51</v>
      </c>
      <c r="C17" s="21">
        <v>15</v>
      </c>
      <c r="D17" s="22">
        <v>19</v>
      </c>
      <c r="E17" s="22">
        <v>20</v>
      </c>
      <c r="F17" s="10">
        <f t="shared" si="0"/>
        <v>54</v>
      </c>
      <c r="G17" s="3">
        <f t="shared" si="1"/>
        <v>18</v>
      </c>
    </row>
    <row r="18" spans="1:21" x14ac:dyDescent="0.35">
      <c r="B18" s="3"/>
      <c r="C18" s="6">
        <f>SUM(C6:C17)</f>
        <v>142</v>
      </c>
      <c r="D18" s="6">
        <f t="shared" ref="D18:F18" si="7">SUM(D6:D17)</f>
        <v>146</v>
      </c>
      <c r="E18" s="6">
        <f t="shared" si="7"/>
        <v>148</v>
      </c>
      <c r="F18" s="11">
        <f t="shared" si="7"/>
        <v>436</v>
      </c>
      <c r="G18" s="3"/>
    </row>
    <row r="21" spans="1:21" ht="15" thickBot="1" x14ac:dyDescent="0.4"/>
    <row r="22" spans="1:21" ht="16" thickBot="1" x14ac:dyDescent="0.4">
      <c r="B22" s="13"/>
      <c r="C22" s="14" t="s">
        <v>34</v>
      </c>
      <c r="D22" s="15" t="s">
        <v>35</v>
      </c>
      <c r="E22" s="15" t="s">
        <v>36</v>
      </c>
      <c r="F22" s="13"/>
      <c r="I22" s="1"/>
      <c r="J22" s="13" t="s">
        <v>52</v>
      </c>
      <c r="K22" s="13" t="s">
        <v>53</v>
      </c>
      <c r="L22" s="13" t="s">
        <v>54</v>
      </c>
      <c r="M22" s="13" t="s">
        <v>55</v>
      </c>
      <c r="N22" s="1" t="s">
        <v>5</v>
      </c>
      <c r="O22"/>
      <c r="P22"/>
      <c r="Q22"/>
      <c r="R22"/>
      <c r="S22"/>
      <c r="T22"/>
      <c r="U22"/>
    </row>
    <row r="23" spans="1:21" ht="19" thickBot="1" x14ac:dyDescent="0.5">
      <c r="B23" s="13" t="s">
        <v>52</v>
      </c>
      <c r="C23" s="13">
        <f>F6</f>
        <v>22</v>
      </c>
      <c r="D23" s="13">
        <f>F10</f>
        <v>20</v>
      </c>
      <c r="E23" s="13">
        <f>F14</f>
        <v>22</v>
      </c>
      <c r="F23" s="13">
        <f>SUM(C23:E23)</f>
        <v>64</v>
      </c>
      <c r="I23" s="14" t="s">
        <v>34</v>
      </c>
      <c r="J23" s="3">
        <f>G6</f>
        <v>7.333333333333333</v>
      </c>
      <c r="K23" s="16">
        <f>G7</f>
        <v>9</v>
      </c>
      <c r="L23" s="3">
        <f>G8</f>
        <v>13.666666666666666</v>
      </c>
      <c r="M23" s="3">
        <f>G9</f>
        <v>19.666666666666668</v>
      </c>
      <c r="N23" s="1">
        <f>AVERAGE(J23:M23)</f>
        <v>12.416666666666668</v>
      </c>
      <c r="O23" t="s">
        <v>26</v>
      </c>
      <c r="P23" s="1" t="s">
        <v>18</v>
      </c>
      <c r="Q23" s="1">
        <v>11.089583333333334</v>
      </c>
      <c r="R23"/>
      <c r="S23"/>
      <c r="T23"/>
      <c r="U23">
        <f>N23+N$26</f>
        <v>14.520338780765336</v>
      </c>
    </row>
    <row r="24" spans="1:21" ht="16" thickBot="1" x14ac:dyDescent="0.4">
      <c r="B24" s="13" t="s">
        <v>53</v>
      </c>
      <c r="C24" s="13">
        <f>F7</f>
        <v>27</v>
      </c>
      <c r="D24" s="13">
        <f>F11</f>
        <v>28</v>
      </c>
      <c r="E24" s="13">
        <f>F15</f>
        <v>34</v>
      </c>
      <c r="F24" s="13">
        <f t="shared" ref="F24:F26" si="8">SUM(C24:E24)</f>
        <v>89</v>
      </c>
      <c r="I24" s="15" t="s">
        <v>35</v>
      </c>
      <c r="J24" s="3">
        <f>G10</f>
        <v>6.666666666666667</v>
      </c>
      <c r="K24" s="3">
        <f>G11</f>
        <v>9.3333333333333339</v>
      </c>
      <c r="L24" s="3">
        <f>G12</f>
        <v>12</v>
      </c>
      <c r="M24" s="3">
        <f>G13</f>
        <v>15.666666666666666</v>
      </c>
      <c r="N24" s="1">
        <f t="shared" ref="N24:N25" si="9">AVERAGE(J24:M24)</f>
        <v>10.916666666666666</v>
      </c>
      <c r="O24" t="s">
        <v>26</v>
      </c>
      <c r="P24" s="1" t="s">
        <v>17</v>
      </c>
      <c r="Q24" s="1">
        <v>10.122916666666667</v>
      </c>
      <c r="R24"/>
      <c r="S24"/>
      <c r="T24"/>
      <c r="U24">
        <f t="shared" ref="U24:U25" si="10">N24+N$26</f>
        <v>13.020338780765334</v>
      </c>
    </row>
    <row r="25" spans="1:21" ht="19" thickBot="1" x14ac:dyDescent="0.5">
      <c r="B25" s="13" t="s">
        <v>54</v>
      </c>
      <c r="C25" s="13">
        <f>F8</f>
        <v>41</v>
      </c>
      <c r="D25" s="13">
        <f>F12</f>
        <v>36</v>
      </c>
      <c r="E25" s="13">
        <f>F16</f>
        <v>46</v>
      </c>
      <c r="F25" s="13">
        <f t="shared" si="8"/>
        <v>123</v>
      </c>
      <c r="I25" s="15" t="s">
        <v>36</v>
      </c>
      <c r="J25" s="3">
        <f>G14</f>
        <v>7.333333333333333</v>
      </c>
      <c r="K25" s="16">
        <f>G15</f>
        <v>11.333333333333334</v>
      </c>
      <c r="L25" s="3">
        <f>G16</f>
        <v>15.333333333333334</v>
      </c>
      <c r="M25" s="3">
        <f>G17</f>
        <v>18</v>
      </c>
      <c r="N25" s="1">
        <f t="shared" si="9"/>
        <v>13</v>
      </c>
      <c r="O25" t="s">
        <v>26</v>
      </c>
      <c r="P25" s="1" t="s">
        <v>16</v>
      </c>
      <c r="Q25" s="1">
        <v>9.9791666666666679</v>
      </c>
      <c r="R25"/>
      <c r="S25"/>
      <c r="T25"/>
      <c r="U25">
        <f t="shared" si="10"/>
        <v>15.103672114098668</v>
      </c>
    </row>
    <row r="26" spans="1:21" ht="18.5" x14ac:dyDescent="0.45">
      <c r="B26" s="13" t="s">
        <v>55</v>
      </c>
      <c r="C26" s="13">
        <f>F9</f>
        <v>59</v>
      </c>
      <c r="D26" s="13">
        <f>F13</f>
        <v>47</v>
      </c>
      <c r="E26" s="13">
        <f>F17</f>
        <v>54</v>
      </c>
      <c r="F26" s="13">
        <f t="shared" si="8"/>
        <v>160</v>
      </c>
      <c r="I26"/>
      <c r="J26"/>
      <c r="K26" s="2"/>
      <c r="L26"/>
      <c r="M26" t="s">
        <v>24</v>
      </c>
      <c r="N26">
        <f>E30*((M15/12)^0.5)</f>
        <v>2.1036721140986678</v>
      </c>
      <c r="O26"/>
      <c r="P26"/>
      <c r="Q26">
        <v>1.6970124878379924</v>
      </c>
      <c r="R26"/>
      <c r="S26"/>
      <c r="T26"/>
      <c r="U26"/>
    </row>
    <row r="27" spans="1:21" ht="19" thickBot="1" x14ac:dyDescent="0.5">
      <c r="B27" s="13"/>
      <c r="C27" s="13">
        <f>SUM(C23:C26)</f>
        <v>149</v>
      </c>
      <c r="D27" s="13">
        <f t="shared" ref="D27:E27" si="11">SUM(D23:D26)</f>
        <v>131</v>
      </c>
      <c r="E27" s="13">
        <f t="shared" si="11"/>
        <v>156</v>
      </c>
      <c r="F27" s="13"/>
      <c r="I27"/>
      <c r="J27"/>
      <c r="K27" s="2"/>
      <c r="L27"/>
      <c r="M27"/>
      <c r="N27"/>
      <c r="O27"/>
      <c r="P27"/>
      <c r="Q27"/>
      <c r="R27"/>
      <c r="S27"/>
      <c r="T27"/>
      <c r="U27"/>
    </row>
    <row r="28" spans="1:21" ht="16" thickBot="1" x14ac:dyDescent="0.4">
      <c r="I28"/>
      <c r="J28" s="1"/>
      <c r="K28" s="14" t="s">
        <v>34</v>
      </c>
      <c r="L28" s="15" t="s">
        <v>35</v>
      </c>
      <c r="M28" s="15" t="s">
        <v>36</v>
      </c>
      <c r="N28" s="1" t="s">
        <v>5</v>
      </c>
      <c r="O28"/>
      <c r="P28"/>
      <c r="Q28"/>
      <c r="R28"/>
      <c r="S28"/>
      <c r="T28"/>
      <c r="U28"/>
    </row>
    <row r="29" spans="1:21" x14ac:dyDescent="0.35">
      <c r="C29" s="25" t="s">
        <v>29</v>
      </c>
      <c r="D29" s="25"/>
      <c r="E29" s="7">
        <v>5.149</v>
      </c>
      <c r="I29"/>
      <c r="J29" s="13" t="s">
        <v>52</v>
      </c>
      <c r="K29" s="7">
        <f>G6</f>
        <v>7.333333333333333</v>
      </c>
      <c r="L29" s="7">
        <f>G10</f>
        <v>6.666666666666667</v>
      </c>
      <c r="M29" s="7">
        <f>G14</f>
        <v>7.333333333333333</v>
      </c>
      <c r="N29" s="1">
        <f>AVERAGE(J29:M29)</f>
        <v>7.1111111111111107</v>
      </c>
      <c r="O29"/>
      <c r="P29" s="4" t="s">
        <v>20</v>
      </c>
      <c r="Q29" s="4">
        <v>32.391666666666666</v>
      </c>
      <c r="R29"/>
      <c r="S29"/>
      <c r="T29"/>
      <c r="U29"/>
    </row>
    <row r="30" spans="1:21" x14ac:dyDescent="0.35">
      <c r="C30" s="25" t="s">
        <v>28</v>
      </c>
      <c r="D30" s="25"/>
      <c r="E30" s="7">
        <v>3.5550000000000002</v>
      </c>
      <c r="I30"/>
      <c r="J30" s="13" t="s">
        <v>53</v>
      </c>
      <c r="K30" s="7">
        <f t="shared" ref="K30:K32" si="12">G7</f>
        <v>9</v>
      </c>
      <c r="L30" s="7">
        <f t="shared" ref="L30:L32" si="13">G11</f>
        <v>9.3333333333333339</v>
      </c>
      <c r="M30" s="7">
        <f t="shared" ref="M30:M32" si="14">G15</f>
        <v>11.333333333333334</v>
      </c>
      <c r="N30" s="1">
        <f>AVERAGE(J30:M30)</f>
        <v>9.8888888888888911</v>
      </c>
      <c r="O30"/>
      <c r="P30" s="4" t="s">
        <v>21</v>
      </c>
      <c r="Q30" s="4">
        <v>30.224999999999998</v>
      </c>
      <c r="R30"/>
      <c r="S30"/>
      <c r="T30"/>
      <c r="U30"/>
    </row>
    <row r="31" spans="1:21" x14ac:dyDescent="0.35">
      <c r="C31" s="25" t="s">
        <v>30</v>
      </c>
      <c r="D31" s="25"/>
      <c r="E31" s="7">
        <v>3.93</v>
      </c>
      <c r="I31"/>
      <c r="J31" s="13" t="s">
        <v>54</v>
      </c>
      <c r="K31" s="7">
        <f t="shared" si="12"/>
        <v>13.666666666666666</v>
      </c>
      <c r="L31" s="7">
        <f t="shared" si="13"/>
        <v>12</v>
      </c>
      <c r="M31" s="7">
        <f t="shared" si="14"/>
        <v>15.333333333333334</v>
      </c>
      <c r="N31" s="1">
        <f>AVERAGE(J31:M31)</f>
        <v>13.666666666666666</v>
      </c>
      <c r="O31"/>
      <c r="P31" s="4" t="s">
        <v>22</v>
      </c>
      <c r="Q31" s="4">
        <v>31.525000000000002</v>
      </c>
      <c r="R31"/>
      <c r="S31"/>
      <c r="T31"/>
      <c r="U31"/>
    </row>
    <row r="32" spans="1:21" x14ac:dyDescent="0.35">
      <c r="I32"/>
      <c r="J32" s="13" t="s">
        <v>55</v>
      </c>
      <c r="K32" s="7">
        <f t="shared" si="12"/>
        <v>19.666666666666668</v>
      </c>
      <c r="L32" s="7">
        <f t="shared" si="13"/>
        <v>15.666666666666666</v>
      </c>
      <c r="M32" s="7">
        <f t="shared" si="14"/>
        <v>18</v>
      </c>
      <c r="N32" s="1">
        <f>AVERAGE(J32:M32)</f>
        <v>17.777777777777779</v>
      </c>
      <c r="O32"/>
      <c r="P32" s="4" t="s">
        <v>23</v>
      </c>
      <c r="Q32" s="4">
        <v>30.625</v>
      </c>
      <c r="R32"/>
      <c r="S32"/>
      <c r="T32"/>
      <c r="U32"/>
    </row>
    <row r="33" spans="9:21" ht="18.5" x14ac:dyDescent="0.45">
      <c r="I33"/>
      <c r="J33"/>
      <c r="K33" s="2"/>
      <c r="L33"/>
      <c r="M33" t="s">
        <v>24</v>
      </c>
      <c r="N33">
        <f>D32*((M15/9)^0.5)</f>
        <v>0</v>
      </c>
      <c r="O33"/>
      <c r="P33"/>
      <c r="Q33" t="s">
        <v>25</v>
      </c>
      <c r="R33"/>
      <c r="S33"/>
      <c r="T33"/>
      <c r="U33"/>
    </row>
    <row r="50" spans="11:11" ht="18.5" x14ac:dyDescent="0.45">
      <c r="K50" s="12"/>
    </row>
  </sheetData>
  <mergeCells count="7">
    <mergeCell ref="G4:G5"/>
    <mergeCell ref="C29:D29"/>
    <mergeCell ref="C30:D30"/>
    <mergeCell ref="C31:D31"/>
    <mergeCell ref="B4:B5"/>
    <mergeCell ref="C4:E4"/>
    <mergeCell ref="F4:F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Y50"/>
  <sheetViews>
    <sheetView topLeftCell="H5" zoomScale="90" zoomScaleNormal="90" workbookViewId="0">
      <selection activeCell="V6" sqref="V6:V17"/>
    </sheetView>
  </sheetViews>
  <sheetFormatPr defaultColWidth="9.1796875" defaultRowHeight="14.5" x14ac:dyDescent="0.35"/>
  <cols>
    <col min="1" max="1" width="5.81640625" style="7" customWidth="1"/>
    <col min="2" max="2" width="14" style="7" customWidth="1"/>
    <col min="3" max="5" width="9.1796875" style="7"/>
    <col min="6" max="6" width="9.81640625" style="7" customWidth="1"/>
    <col min="7" max="7" width="11" style="7" customWidth="1"/>
    <col min="8" max="17" width="9.1796875" style="7"/>
    <col min="18" max="18" width="8.26953125" style="7" customWidth="1"/>
    <col min="19" max="19" width="3.453125" style="7" customWidth="1"/>
    <col min="20" max="20" width="3.7265625" style="7" customWidth="1"/>
    <col min="21" max="16384" width="9.1796875" style="7"/>
  </cols>
  <sheetData>
    <row r="3" spans="1:25" ht="15.5" x14ac:dyDescent="0.35">
      <c r="E3" s="8"/>
    </row>
    <row r="4" spans="1:25" x14ac:dyDescent="0.35">
      <c r="B4" s="24" t="s">
        <v>0</v>
      </c>
      <c r="C4" s="26" t="s">
        <v>1</v>
      </c>
      <c r="D4" s="26"/>
      <c r="E4" s="26"/>
      <c r="F4" s="24" t="s">
        <v>6</v>
      </c>
      <c r="G4" s="24" t="s">
        <v>5</v>
      </c>
      <c r="J4" t="s">
        <v>7</v>
      </c>
      <c r="K4">
        <v>3</v>
      </c>
      <c r="L4"/>
      <c r="M4"/>
      <c r="N4"/>
      <c r="O4"/>
      <c r="P4"/>
      <c r="Q4"/>
    </row>
    <row r="5" spans="1:25" ht="15.5" x14ac:dyDescent="0.35">
      <c r="B5" s="24"/>
      <c r="C5" s="9" t="s">
        <v>2</v>
      </c>
      <c r="D5" s="9" t="s">
        <v>3</v>
      </c>
      <c r="E5" s="9" t="s">
        <v>4</v>
      </c>
      <c r="F5" s="24"/>
      <c r="G5" s="24"/>
      <c r="J5" t="s">
        <v>32</v>
      </c>
      <c r="K5">
        <v>3</v>
      </c>
      <c r="L5"/>
      <c r="M5"/>
      <c r="N5"/>
      <c r="O5"/>
      <c r="P5"/>
      <c r="Q5"/>
    </row>
    <row r="6" spans="1:25" ht="15.5" x14ac:dyDescent="0.35">
      <c r="A6" s="7">
        <v>1</v>
      </c>
      <c r="B6" s="21" t="s">
        <v>40</v>
      </c>
      <c r="C6" s="22">
        <v>15</v>
      </c>
      <c r="D6" s="22">
        <v>20</v>
      </c>
      <c r="E6" s="22">
        <v>13</v>
      </c>
      <c r="F6" s="10">
        <f>C6+D6+E6</f>
        <v>48</v>
      </c>
      <c r="G6" s="3">
        <f>AVERAGE(C6:E6)</f>
        <v>16</v>
      </c>
      <c r="J6" t="s">
        <v>56</v>
      </c>
      <c r="K6">
        <v>4</v>
      </c>
      <c r="L6"/>
      <c r="M6"/>
      <c r="N6"/>
      <c r="O6"/>
      <c r="P6"/>
      <c r="Q6"/>
      <c r="U6" s="7">
        <f>G6</f>
        <v>16</v>
      </c>
      <c r="V6" s="7" t="s">
        <v>37</v>
      </c>
      <c r="W6" s="7">
        <v>13.666666666666666</v>
      </c>
      <c r="X6" s="7" t="s">
        <v>26</v>
      </c>
      <c r="Y6" s="7">
        <f>W6+U$18</f>
        <v>35.934947966242405</v>
      </c>
    </row>
    <row r="7" spans="1:25" ht="15.5" x14ac:dyDescent="0.35">
      <c r="A7" s="7">
        <v>2</v>
      </c>
      <c r="B7" s="21" t="s">
        <v>41</v>
      </c>
      <c r="C7" s="22">
        <v>32</v>
      </c>
      <c r="D7" s="22">
        <v>13</v>
      </c>
      <c r="E7" s="22">
        <v>28</v>
      </c>
      <c r="F7" s="10">
        <f t="shared" ref="F7:F17" si="0">C7+D7+E7</f>
        <v>73</v>
      </c>
      <c r="G7" s="3">
        <f t="shared" ref="G7:G17" si="1">AVERAGE(C7:E7)</f>
        <v>24.333333333333332</v>
      </c>
      <c r="J7" t="s">
        <v>9</v>
      </c>
      <c r="K7">
        <f>(F18^2)/(K4*K5*K6)</f>
        <v>80561.361111111109</v>
      </c>
      <c r="L7"/>
      <c r="M7"/>
      <c r="N7"/>
      <c r="O7"/>
      <c r="P7"/>
      <c r="Q7"/>
      <c r="U7" s="7">
        <f>G7</f>
        <v>24.333333333333332</v>
      </c>
      <c r="V7" s="7" t="s">
        <v>63</v>
      </c>
      <c r="W7" s="7">
        <v>16</v>
      </c>
      <c r="X7" s="7" t="s">
        <v>37</v>
      </c>
      <c r="Y7" s="7">
        <f t="shared" ref="Y7:Y17" si="2">W7+U$18</f>
        <v>38.268281299575733</v>
      </c>
    </row>
    <row r="8" spans="1:25" ht="15.5" x14ac:dyDescent="0.35">
      <c r="A8" s="7">
        <v>3</v>
      </c>
      <c r="B8" s="21" t="s">
        <v>42</v>
      </c>
      <c r="C8" s="22">
        <v>58</v>
      </c>
      <c r="D8" s="22">
        <v>41</v>
      </c>
      <c r="E8" s="22">
        <v>50</v>
      </c>
      <c r="F8" s="10">
        <f t="shared" si="0"/>
        <v>149</v>
      </c>
      <c r="G8" s="3">
        <f t="shared" si="1"/>
        <v>49.666666666666664</v>
      </c>
      <c r="J8"/>
      <c r="K8"/>
      <c r="L8"/>
      <c r="M8"/>
      <c r="N8"/>
      <c r="O8"/>
      <c r="P8"/>
      <c r="Q8"/>
      <c r="U8" s="7">
        <f>G8</f>
        <v>49.666666666666664</v>
      </c>
      <c r="V8" s="7" t="s">
        <v>68</v>
      </c>
      <c r="W8" s="7">
        <v>20.666666666666668</v>
      </c>
      <c r="X8" s="7" t="s">
        <v>37</v>
      </c>
      <c r="Y8" s="7">
        <f t="shared" si="2"/>
        <v>42.934947966242405</v>
      </c>
    </row>
    <row r="9" spans="1:25" ht="15.5" x14ac:dyDescent="0.35">
      <c r="A9" s="7">
        <v>4</v>
      </c>
      <c r="B9" s="21" t="s">
        <v>43</v>
      </c>
      <c r="C9" s="22">
        <v>66</v>
      </c>
      <c r="D9" s="22">
        <v>58</v>
      </c>
      <c r="E9" s="22">
        <v>70</v>
      </c>
      <c r="F9" s="10">
        <f t="shared" si="0"/>
        <v>194</v>
      </c>
      <c r="G9" s="3">
        <f t="shared" si="1"/>
        <v>64.666666666666671</v>
      </c>
      <c r="J9" s="1" t="s">
        <v>10</v>
      </c>
      <c r="K9" s="1" t="s">
        <v>12</v>
      </c>
      <c r="L9" s="1" t="s">
        <v>14</v>
      </c>
      <c r="M9" s="1" t="s">
        <v>13</v>
      </c>
      <c r="N9" s="1" t="s">
        <v>15</v>
      </c>
      <c r="O9" s="1"/>
      <c r="P9" s="5">
        <v>0.05</v>
      </c>
      <c r="Q9" s="5">
        <v>0.01</v>
      </c>
      <c r="U9" s="7">
        <f>G9</f>
        <v>64.666666666666671</v>
      </c>
      <c r="V9" s="7" t="s">
        <v>72</v>
      </c>
      <c r="W9" s="7">
        <v>24.333333333333332</v>
      </c>
      <c r="X9" s="7" t="s">
        <v>63</v>
      </c>
      <c r="Y9" s="7">
        <f t="shared" si="2"/>
        <v>46.601614632909069</v>
      </c>
    </row>
    <row r="10" spans="1:25" ht="15.5" x14ac:dyDescent="0.35">
      <c r="A10" s="7">
        <v>5</v>
      </c>
      <c r="B10" s="21" t="s">
        <v>44</v>
      </c>
      <c r="C10" s="22">
        <v>14</v>
      </c>
      <c r="D10" s="22">
        <v>23</v>
      </c>
      <c r="E10" s="22">
        <v>25</v>
      </c>
      <c r="F10" s="10">
        <f t="shared" si="0"/>
        <v>62</v>
      </c>
      <c r="G10" s="3">
        <f t="shared" si="1"/>
        <v>20.666666666666668</v>
      </c>
      <c r="J10" s="1" t="s">
        <v>7</v>
      </c>
      <c r="K10" s="1">
        <f>K4-1</f>
        <v>2</v>
      </c>
      <c r="L10" s="1">
        <f>SUMSQ(C18:E18)/12-K7</f>
        <v>397.55555555556202</v>
      </c>
      <c r="M10" s="1">
        <f>L10/K10</f>
        <v>198.77777777778101</v>
      </c>
      <c r="N10" s="1">
        <f>M10/$M$15</f>
        <v>3.542574257425819</v>
      </c>
      <c r="O10" s="1" t="str">
        <f>IF(N10&lt;P10,"TN",IF(N10&lt;Q10,"*","**"))</f>
        <v>*</v>
      </c>
      <c r="P10" s="1">
        <f>FINV(5%,$K10,$K$15)</f>
        <v>3.4433567793667246</v>
      </c>
      <c r="Q10" s="1">
        <f>FINV(1%,$K10,$K$15)</f>
        <v>5.7190219124822725</v>
      </c>
      <c r="U10" s="7">
        <f>G10</f>
        <v>20.666666666666668</v>
      </c>
      <c r="V10" s="7" t="s">
        <v>37</v>
      </c>
      <c r="W10" s="7">
        <v>38.333333333333336</v>
      </c>
      <c r="X10" s="7" t="s">
        <v>65</v>
      </c>
      <c r="Y10" s="7">
        <f t="shared" si="2"/>
        <v>60.601614632909076</v>
      </c>
    </row>
    <row r="11" spans="1:25" ht="15.5" x14ac:dyDescent="0.35">
      <c r="A11" s="7">
        <v>6</v>
      </c>
      <c r="B11" s="21" t="s">
        <v>45</v>
      </c>
      <c r="C11" s="22">
        <v>35</v>
      </c>
      <c r="D11" s="22">
        <v>33</v>
      </c>
      <c r="E11" s="22">
        <v>47</v>
      </c>
      <c r="F11" s="10">
        <f t="shared" si="0"/>
        <v>115</v>
      </c>
      <c r="G11" s="3">
        <f t="shared" si="1"/>
        <v>38.333333333333336</v>
      </c>
      <c r="J11" s="1" t="s">
        <v>8</v>
      </c>
      <c r="K11" s="1">
        <f>K5*K6-1</f>
        <v>11</v>
      </c>
      <c r="L11" s="1">
        <f>SUMSQ(F6:F17)/K4-K7</f>
        <v>21191.638888888891</v>
      </c>
      <c r="M11" s="1">
        <f t="shared" ref="M11:M15" si="3">L11/K11</f>
        <v>1926.5126262626263</v>
      </c>
      <c r="N11" s="1">
        <f t="shared" ref="N11:N14" si="4">M11/$M$15</f>
        <v>34.333888388839064</v>
      </c>
      <c r="O11" s="1" t="str">
        <f t="shared" ref="O11:O14" si="5">IF(N11&lt;P11,"TN",IF(N11&lt;Q11,"*","**"))</f>
        <v>**</v>
      </c>
      <c r="P11" s="1">
        <f t="shared" ref="P11:P14" si="6">FINV(5%,K11,$K$15)</f>
        <v>2.2585183566229916</v>
      </c>
      <c r="Q11" s="1">
        <f t="shared" ref="Q11:Q14" si="7">FINV(1%,$K11,$K$15)</f>
        <v>3.1837421959607717</v>
      </c>
      <c r="U11" s="7">
        <f>G11</f>
        <v>38.333333333333336</v>
      </c>
      <c r="V11" s="7" t="s">
        <v>65</v>
      </c>
      <c r="W11" s="7">
        <v>45</v>
      </c>
      <c r="X11" s="7" t="s">
        <v>67</v>
      </c>
      <c r="Y11" s="7">
        <f t="shared" si="2"/>
        <v>67.268281299575733</v>
      </c>
    </row>
    <row r="12" spans="1:25" ht="15.5" x14ac:dyDescent="0.35">
      <c r="A12" s="7">
        <v>7</v>
      </c>
      <c r="B12" s="21" t="s">
        <v>46</v>
      </c>
      <c r="C12" s="22">
        <v>69</v>
      </c>
      <c r="D12" s="22">
        <v>46</v>
      </c>
      <c r="E12" s="22">
        <v>51</v>
      </c>
      <c r="F12" s="10">
        <f t="shared" si="0"/>
        <v>166</v>
      </c>
      <c r="G12" s="3">
        <f t="shared" si="1"/>
        <v>55.333333333333336</v>
      </c>
      <c r="J12" s="1" t="s">
        <v>32</v>
      </c>
      <c r="K12" s="1">
        <f>K5-1</f>
        <v>2</v>
      </c>
      <c r="L12" s="1">
        <f>SUMSQ(C27:E27)/(K5*K6)-K7</f>
        <v>1630.3888888888905</v>
      </c>
      <c r="M12" s="1">
        <f t="shared" si="3"/>
        <v>815.19444444444525</v>
      </c>
      <c r="N12" s="1">
        <f t="shared" si="4"/>
        <v>14.528217821782269</v>
      </c>
      <c r="O12" s="1" t="str">
        <f t="shared" si="5"/>
        <v>**</v>
      </c>
      <c r="P12" s="1">
        <f t="shared" si="6"/>
        <v>3.4433567793667246</v>
      </c>
      <c r="Q12" s="1">
        <f t="shared" si="7"/>
        <v>5.7190219124822725</v>
      </c>
      <c r="U12" s="7">
        <f>G12</f>
        <v>55.333333333333336</v>
      </c>
      <c r="V12" s="7" t="s">
        <v>69</v>
      </c>
      <c r="W12" s="7">
        <v>49.666666666666664</v>
      </c>
      <c r="X12" s="7" t="s">
        <v>68</v>
      </c>
      <c r="Y12" s="7">
        <f t="shared" si="2"/>
        <v>71.934947966242405</v>
      </c>
    </row>
    <row r="13" spans="1:25" ht="15.5" x14ac:dyDescent="0.35">
      <c r="A13" s="7">
        <v>8</v>
      </c>
      <c r="B13" s="21" t="s">
        <v>47</v>
      </c>
      <c r="C13" s="22">
        <v>92</v>
      </c>
      <c r="D13" s="22">
        <v>69</v>
      </c>
      <c r="E13" s="22">
        <v>74</v>
      </c>
      <c r="F13" s="10">
        <f t="shared" si="0"/>
        <v>235</v>
      </c>
      <c r="G13" s="3">
        <f t="shared" si="1"/>
        <v>78.333333333333329</v>
      </c>
      <c r="J13" s="1" t="s">
        <v>56</v>
      </c>
      <c r="K13" s="1">
        <f>K6-1</f>
        <v>3</v>
      </c>
      <c r="L13" s="1">
        <f>SUMSQ(F23:F26)/(K5*K4)-K7</f>
        <v>18613.638888888891</v>
      </c>
      <c r="M13" s="1">
        <f t="shared" si="3"/>
        <v>6204.5462962962965</v>
      </c>
      <c r="N13" s="1">
        <f t="shared" si="4"/>
        <v>110.57607260726131</v>
      </c>
      <c r="O13" s="1" t="str">
        <f t="shared" si="5"/>
        <v>**</v>
      </c>
      <c r="P13" s="1">
        <f t="shared" si="6"/>
        <v>3.0491249886524128</v>
      </c>
      <c r="Q13" s="1">
        <f t="shared" si="7"/>
        <v>4.8166057778160596</v>
      </c>
      <c r="U13" s="7">
        <f>G13</f>
        <v>78.333333333333329</v>
      </c>
      <c r="V13" s="7" t="s">
        <v>74</v>
      </c>
      <c r="W13" s="7">
        <v>55.333333333333336</v>
      </c>
      <c r="X13" s="7" t="s">
        <v>69</v>
      </c>
      <c r="Y13" s="7">
        <f t="shared" si="2"/>
        <v>77.601614632909076</v>
      </c>
    </row>
    <row r="14" spans="1:25" ht="15.5" x14ac:dyDescent="0.35">
      <c r="A14" s="7">
        <v>9</v>
      </c>
      <c r="B14" s="21" t="s">
        <v>48</v>
      </c>
      <c r="C14" s="22">
        <v>17</v>
      </c>
      <c r="D14" s="22">
        <v>10</v>
      </c>
      <c r="E14" s="22">
        <v>14</v>
      </c>
      <c r="F14" s="10">
        <f t="shared" si="0"/>
        <v>41</v>
      </c>
      <c r="G14" s="3">
        <f t="shared" si="1"/>
        <v>13.666666666666666</v>
      </c>
      <c r="J14" s="1" t="s">
        <v>33</v>
      </c>
      <c r="K14" s="1">
        <f>K12*K13</f>
        <v>6</v>
      </c>
      <c r="L14" s="1">
        <f>L11-L12-L13</f>
        <v>947.61111111110949</v>
      </c>
      <c r="M14" s="1">
        <f t="shared" si="3"/>
        <v>157.93518518518491</v>
      </c>
      <c r="N14" s="1">
        <f t="shared" si="4"/>
        <v>2.8146864686468747</v>
      </c>
      <c r="O14" s="1" t="str">
        <f t="shared" si="5"/>
        <v>*</v>
      </c>
      <c r="P14" s="1">
        <f t="shared" si="6"/>
        <v>2.5490614138436585</v>
      </c>
      <c r="Q14" s="1">
        <f t="shared" si="7"/>
        <v>3.7583014350037565</v>
      </c>
      <c r="U14" s="7">
        <f>G14</f>
        <v>13.666666666666666</v>
      </c>
      <c r="V14" s="7" t="s">
        <v>26</v>
      </c>
      <c r="W14" s="7">
        <v>64.666666666666671</v>
      </c>
      <c r="X14" s="7" t="s">
        <v>72</v>
      </c>
      <c r="Y14" s="7">
        <f t="shared" si="2"/>
        <v>86.934947966242405</v>
      </c>
    </row>
    <row r="15" spans="1:25" ht="15.5" x14ac:dyDescent="0.35">
      <c r="A15" s="7">
        <v>10</v>
      </c>
      <c r="B15" s="21" t="s">
        <v>49</v>
      </c>
      <c r="C15" s="22">
        <v>45</v>
      </c>
      <c r="D15" s="22">
        <v>51</v>
      </c>
      <c r="E15" s="22">
        <v>39</v>
      </c>
      <c r="F15" s="10">
        <f t="shared" si="0"/>
        <v>135</v>
      </c>
      <c r="G15" s="3">
        <f t="shared" si="1"/>
        <v>45</v>
      </c>
      <c r="J15" s="1" t="s">
        <v>19</v>
      </c>
      <c r="K15" s="1">
        <f>K16-K11-K10</f>
        <v>22</v>
      </c>
      <c r="L15" s="1">
        <f>L16-L11-L10</f>
        <v>1234.444444444438</v>
      </c>
      <c r="M15" s="1">
        <f t="shared" si="3"/>
        <v>56.111111111110816</v>
      </c>
      <c r="N15" s="1"/>
      <c r="O15" s="1"/>
      <c r="P15" s="1"/>
      <c r="Q15" s="1"/>
      <c r="U15" s="7">
        <f>G15</f>
        <v>45</v>
      </c>
      <c r="V15" s="7" t="s">
        <v>67</v>
      </c>
      <c r="W15" s="7">
        <v>76</v>
      </c>
      <c r="X15" s="7" t="s">
        <v>73</v>
      </c>
      <c r="Y15" s="7">
        <f t="shared" si="2"/>
        <v>98.268281299575733</v>
      </c>
    </row>
    <row r="16" spans="1:25" ht="15.5" x14ac:dyDescent="0.35">
      <c r="A16" s="7">
        <v>11</v>
      </c>
      <c r="B16" s="21" t="s">
        <v>50</v>
      </c>
      <c r="C16" s="22">
        <v>85</v>
      </c>
      <c r="D16" s="22">
        <v>66</v>
      </c>
      <c r="E16" s="22">
        <v>77</v>
      </c>
      <c r="F16" s="10">
        <f t="shared" si="0"/>
        <v>228</v>
      </c>
      <c r="G16" s="3">
        <f t="shared" si="1"/>
        <v>76</v>
      </c>
      <c r="J16" s="1" t="s">
        <v>11</v>
      </c>
      <c r="K16" s="1">
        <f>K4*K5*K6-1</f>
        <v>35</v>
      </c>
      <c r="L16" s="1">
        <f>SUMSQ(C6:E17)-K7</f>
        <v>22823.638888888891</v>
      </c>
      <c r="M16" s="1"/>
      <c r="N16" s="1"/>
      <c r="O16" s="1"/>
      <c r="P16" s="1"/>
      <c r="Q16" s="1"/>
      <c r="U16" s="7">
        <f>G16</f>
        <v>76</v>
      </c>
      <c r="V16" s="7" t="s">
        <v>73</v>
      </c>
      <c r="W16" s="7">
        <v>78.333333333333329</v>
      </c>
      <c r="X16" s="7" t="s">
        <v>74</v>
      </c>
      <c r="Y16" s="7">
        <f t="shared" si="2"/>
        <v>100.60161463290906</v>
      </c>
    </row>
    <row r="17" spans="1:25" ht="15.5" x14ac:dyDescent="0.35">
      <c r="A17" s="7">
        <v>12</v>
      </c>
      <c r="B17" s="21" t="s">
        <v>51</v>
      </c>
      <c r="C17" s="22">
        <v>79</v>
      </c>
      <c r="D17" s="22">
        <v>83</v>
      </c>
      <c r="E17" s="22">
        <v>95</v>
      </c>
      <c r="F17" s="10">
        <f t="shared" si="0"/>
        <v>257</v>
      </c>
      <c r="G17" s="3">
        <f t="shared" si="1"/>
        <v>85.666666666666671</v>
      </c>
      <c r="U17" s="7">
        <f>G17</f>
        <v>85.666666666666671</v>
      </c>
      <c r="V17" s="7" t="s">
        <v>74</v>
      </c>
      <c r="W17" s="7">
        <v>85.666666666666671</v>
      </c>
      <c r="X17" s="7" t="s">
        <v>74</v>
      </c>
      <c r="Y17" s="7">
        <f t="shared" si="2"/>
        <v>107.9349479662424</v>
      </c>
    </row>
    <row r="18" spans="1:25" x14ac:dyDescent="0.35">
      <c r="B18" s="3"/>
      <c r="C18" s="6">
        <f>SUM(C6:C17)</f>
        <v>607</v>
      </c>
      <c r="D18" s="6">
        <f t="shared" ref="D18:F18" si="8">SUM(D6:D17)</f>
        <v>513</v>
      </c>
      <c r="E18" s="6">
        <f t="shared" si="8"/>
        <v>583</v>
      </c>
      <c r="F18" s="11">
        <f t="shared" si="8"/>
        <v>1703</v>
      </c>
      <c r="G18" s="3"/>
      <c r="U18">
        <f>E29*((M15/3)^0.5)</f>
        <v>22.268281299575737</v>
      </c>
    </row>
    <row r="21" spans="1:25" ht="15" thickBot="1" x14ac:dyDescent="0.4"/>
    <row r="22" spans="1:25" ht="16" thickBot="1" x14ac:dyDescent="0.4">
      <c r="B22" s="13"/>
      <c r="C22" s="14" t="s">
        <v>34</v>
      </c>
      <c r="D22" s="15" t="s">
        <v>35</v>
      </c>
      <c r="E22" s="15" t="s">
        <v>36</v>
      </c>
      <c r="F22" s="13"/>
      <c r="I22" s="1"/>
      <c r="J22" s="13" t="s">
        <v>52</v>
      </c>
      <c r="K22" s="13" t="s">
        <v>53</v>
      </c>
      <c r="L22" s="13" t="s">
        <v>54</v>
      </c>
      <c r="M22" s="13" t="s">
        <v>55</v>
      </c>
      <c r="N22" s="1" t="s">
        <v>5</v>
      </c>
      <c r="O22"/>
      <c r="P22"/>
      <c r="Q22"/>
      <c r="R22"/>
      <c r="S22"/>
      <c r="T22"/>
      <c r="U22"/>
    </row>
    <row r="23" spans="1:25" ht="19" thickBot="1" x14ac:dyDescent="0.5">
      <c r="B23" s="13" t="s">
        <v>52</v>
      </c>
      <c r="C23" s="13">
        <f>F6</f>
        <v>48</v>
      </c>
      <c r="D23" s="13">
        <f>F10</f>
        <v>62</v>
      </c>
      <c r="E23" s="13">
        <f>F14</f>
        <v>41</v>
      </c>
      <c r="F23" s="13">
        <f>SUM(C23:E23)</f>
        <v>151</v>
      </c>
      <c r="I23" s="14" t="s">
        <v>34</v>
      </c>
      <c r="J23" s="3">
        <f>G6</f>
        <v>16</v>
      </c>
      <c r="K23" s="16">
        <f>G7</f>
        <v>24.333333333333332</v>
      </c>
      <c r="L23" s="3">
        <f>G8</f>
        <v>49.666666666666664</v>
      </c>
      <c r="M23" s="3">
        <f>G9</f>
        <v>64.666666666666671</v>
      </c>
      <c r="N23" s="1">
        <f>AVERAGE(J23:M23)</f>
        <v>38.666666666666671</v>
      </c>
      <c r="O23"/>
      <c r="P23" s="1" t="s">
        <v>18</v>
      </c>
      <c r="Q23" s="1">
        <v>11.089583333333334</v>
      </c>
      <c r="R23"/>
      <c r="S23"/>
      <c r="T23"/>
      <c r="U23">
        <f>N23+N$26</f>
        <v>38.666666666666671</v>
      </c>
    </row>
    <row r="24" spans="1:25" ht="16" thickBot="1" x14ac:dyDescent="0.4">
      <c r="B24" s="13" t="s">
        <v>53</v>
      </c>
      <c r="C24" s="13">
        <f>F7</f>
        <v>73</v>
      </c>
      <c r="D24" s="13">
        <f>F11</f>
        <v>115</v>
      </c>
      <c r="E24" s="13">
        <f>F15</f>
        <v>135</v>
      </c>
      <c r="F24" s="13">
        <f t="shared" ref="F24:F26" si="9">SUM(C24:E24)</f>
        <v>323</v>
      </c>
      <c r="I24" s="15" t="s">
        <v>35</v>
      </c>
      <c r="J24" s="3">
        <f>G10</f>
        <v>20.666666666666668</v>
      </c>
      <c r="K24" s="3">
        <f>G11</f>
        <v>38.333333333333336</v>
      </c>
      <c r="L24" s="3">
        <f>G12</f>
        <v>55.333333333333336</v>
      </c>
      <c r="M24" s="3">
        <f>G13</f>
        <v>78.333333333333329</v>
      </c>
      <c r="N24" s="1">
        <f t="shared" ref="N24:N25" si="10">AVERAGE(J24:M24)</f>
        <v>48.166666666666671</v>
      </c>
      <c r="O24"/>
      <c r="P24" s="1" t="s">
        <v>17</v>
      </c>
      <c r="Q24" s="1">
        <v>10.122916666666667</v>
      </c>
      <c r="R24"/>
      <c r="S24"/>
      <c r="T24"/>
      <c r="U24">
        <f t="shared" ref="U24:U25" si="11">N24+N$26</f>
        <v>48.166666666666671</v>
      </c>
    </row>
    <row r="25" spans="1:25" ht="19" thickBot="1" x14ac:dyDescent="0.5">
      <c r="B25" s="13" t="s">
        <v>54</v>
      </c>
      <c r="C25" s="13">
        <f>F8</f>
        <v>149</v>
      </c>
      <c r="D25" s="13">
        <f>F12</f>
        <v>166</v>
      </c>
      <c r="E25" s="13">
        <f>F16</f>
        <v>228</v>
      </c>
      <c r="F25" s="13">
        <f t="shared" si="9"/>
        <v>543</v>
      </c>
      <c r="I25" s="15" t="s">
        <v>36</v>
      </c>
      <c r="J25" s="3">
        <f>G14</f>
        <v>13.666666666666666</v>
      </c>
      <c r="K25" s="16">
        <f>G15</f>
        <v>45</v>
      </c>
      <c r="L25" s="3">
        <f>G16</f>
        <v>76</v>
      </c>
      <c r="M25" s="3">
        <f>G17</f>
        <v>85.666666666666671</v>
      </c>
      <c r="N25" s="1">
        <f t="shared" si="10"/>
        <v>55.083333333333329</v>
      </c>
      <c r="O25"/>
      <c r="P25" s="1" t="s">
        <v>16</v>
      </c>
      <c r="Q25" s="1">
        <v>9.9791666666666679</v>
      </c>
      <c r="R25"/>
      <c r="S25"/>
      <c r="T25"/>
      <c r="U25">
        <f t="shared" si="11"/>
        <v>55.083333333333329</v>
      </c>
    </row>
    <row r="26" spans="1:25" ht="18.5" x14ac:dyDescent="0.45">
      <c r="B26" s="13" t="s">
        <v>55</v>
      </c>
      <c r="C26" s="13">
        <f>F9</f>
        <v>194</v>
      </c>
      <c r="D26" s="13">
        <f>F13</f>
        <v>235</v>
      </c>
      <c r="E26" s="13">
        <f>F17</f>
        <v>257</v>
      </c>
      <c r="F26" s="13">
        <f t="shared" si="9"/>
        <v>686</v>
      </c>
      <c r="I26"/>
      <c r="J26"/>
      <c r="K26" s="2"/>
      <c r="L26"/>
      <c r="M26" t="s">
        <v>24</v>
      </c>
      <c r="N26">
        <f>D31*((M15/12)^0.5)</f>
        <v>0</v>
      </c>
      <c r="O26"/>
      <c r="P26"/>
      <c r="Q26">
        <v>1.6970124878379924</v>
      </c>
      <c r="R26"/>
      <c r="S26"/>
      <c r="T26"/>
      <c r="U26"/>
    </row>
    <row r="27" spans="1:25" ht="19" thickBot="1" x14ac:dyDescent="0.5">
      <c r="B27" s="13"/>
      <c r="C27" s="13">
        <f>SUM(C23:C26)</f>
        <v>464</v>
      </c>
      <c r="D27" s="13">
        <f t="shared" ref="D27:E27" si="12">SUM(D23:D26)</f>
        <v>578</v>
      </c>
      <c r="E27" s="13">
        <f t="shared" si="12"/>
        <v>661</v>
      </c>
      <c r="F27" s="13"/>
      <c r="I27"/>
      <c r="J27"/>
      <c r="K27" s="2"/>
      <c r="L27"/>
      <c r="M27"/>
      <c r="N27"/>
      <c r="O27"/>
      <c r="P27"/>
      <c r="Q27"/>
      <c r="R27"/>
      <c r="S27"/>
      <c r="T27"/>
      <c r="U27"/>
    </row>
    <row r="28" spans="1:25" ht="16" thickBot="1" x14ac:dyDescent="0.4">
      <c r="I28"/>
      <c r="J28" s="1"/>
      <c r="K28" s="14" t="s">
        <v>34</v>
      </c>
      <c r="L28" s="15" t="s">
        <v>35</v>
      </c>
      <c r="M28" s="15" t="s">
        <v>36</v>
      </c>
      <c r="N28" s="1" t="s">
        <v>5</v>
      </c>
      <c r="O28"/>
      <c r="P28"/>
      <c r="Q28"/>
      <c r="R28"/>
      <c r="S28"/>
      <c r="T28"/>
      <c r="U28"/>
    </row>
    <row r="29" spans="1:25" x14ac:dyDescent="0.35">
      <c r="C29" s="25" t="s">
        <v>29</v>
      </c>
      <c r="D29" s="25"/>
      <c r="E29" s="7">
        <v>5.149</v>
      </c>
      <c r="I29"/>
      <c r="J29" s="13" t="s">
        <v>52</v>
      </c>
      <c r="K29" s="7">
        <f>G6</f>
        <v>16</v>
      </c>
      <c r="L29" s="7">
        <f>G10</f>
        <v>20.666666666666668</v>
      </c>
      <c r="M29" s="7">
        <f>G14</f>
        <v>13.666666666666666</v>
      </c>
      <c r="N29" s="1">
        <f>AVERAGE(J29:M29)</f>
        <v>16.777777777777779</v>
      </c>
      <c r="O29"/>
      <c r="P29" s="4" t="s">
        <v>20</v>
      </c>
      <c r="Q29" s="4">
        <v>32.391666666666666</v>
      </c>
      <c r="R29"/>
      <c r="S29"/>
      <c r="T29"/>
      <c r="U29"/>
    </row>
    <row r="30" spans="1:25" x14ac:dyDescent="0.35">
      <c r="C30" s="25" t="s">
        <v>28</v>
      </c>
      <c r="D30" s="25"/>
      <c r="E30" s="7">
        <v>3.5550000000000002</v>
      </c>
      <c r="I30"/>
      <c r="J30" s="13" t="s">
        <v>53</v>
      </c>
      <c r="K30" s="7">
        <f t="shared" ref="K30:K32" si="13">G7</f>
        <v>24.333333333333332</v>
      </c>
      <c r="L30" s="7">
        <f t="shared" ref="L30:L32" si="14">G11</f>
        <v>38.333333333333336</v>
      </c>
      <c r="M30" s="7">
        <f t="shared" ref="M30:M32" si="15">G15</f>
        <v>45</v>
      </c>
      <c r="N30" s="1">
        <f>AVERAGE(J30:M30)</f>
        <v>35.888888888888893</v>
      </c>
      <c r="O30"/>
      <c r="P30" s="4" t="s">
        <v>21</v>
      </c>
      <c r="Q30" s="4">
        <v>30.224999999999998</v>
      </c>
      <c r="R30"/>
      <c r="S30"/>
      <c r="T30"/>
      <c r="U30"/>
    </row>
    <row r="31" spans="1:25" x14ac:dyDescent="0.35">
      <c r="C31" s="25" t="s">
        <v>30</v>
      </c>
      <c r="D31" s="25"/>
      <c r="E31" s="7">
        <v>3.93</v>
      </c>
      <c r="I31"/>
      <c r="J31" s="13" t="s">
        <v>54</v>
      </c>
      <c r="K31" s="7">
        <f t="shared" si="13"/>
        <v>49.666666666666664</v>
      </c>
      <c r="L31" s="7">
        <f t="shared" si="14"/>
        <v>55.333333333333336</v>
      </c>
      <c r="M31" s="7">
        <f t="shared" si="15"/>
        <v>76</v>
      </c>
      <c r="N31" s="1">
        <f>AVERAGE(J31:M31)</f>
        <v>60.333333333333336</v>
      </c>
      <c r="O31"/>
      <c r="P31" s="4" t="s">
        <v>22</v>
      </c>
      <c r="Q31" s="4">
        <v>31.525000000000002</v>
      </c>
      <c r="R31"/>
      <c r="S31"/>
      <c r="T31"/>
      <c r="U31"/>
    </row>
    <row r="32" spans="1:25" x14ac:dyDescent="0.35">
      <c r="I32"/>
      <c r="J32" s="13" t="s">
        <v>55</v>
      </c>
      <c r="K32" s="7">
        <f t="shared" si="13"/>
        <v>64.666666666666671</v>
      </c>
      <c r="L32" s="7">
        <f t="shared" si="14"/>
        <v>78.333333333333329</v>
      </c>
      <c r="M32" s="7">
        <f t="shared" si="15"/>
        <v>85.666666666666671</v>
      </c>
      <c r="N32" s="1">
        <f>AVERAGE(J32:M32)</f>
        <v>76.222222222222229</v>
      </c>
      <c r="O32"/>
      <c r="P32" s="4" t="s">
        <v>23</v>
      </c>
      <c r="Q32" s="4">
        <v>30.625</v>
      </c>
      <c r="R32"/>
      <c r="S32"/>
      <c r="T32"/>
      <c r="U32"/>
    </row>
    <row r="33" spans="9:21" ht="18.5" x14ac:dyDescent="0.45">
      <c r="I33"/>
      <c r="J33"/>
      <c r="K33" s="2"/>
      <c r="L33"/>
      <c r="M33" t="s">
        <v>24</v>
      </c>
      <c r="N33">
        <f>D32*((M15/9)^0.5)</f>
        <v>0</v>
      </c>
      <c r="O33"/>
      <c r="P33"/>
      <c r="Q33" t="s">
        <v>25</v>
      </c>
      <c r="R33"/>
      <c r="S33"/>
      <c r="T33"/>
      <c r="U33"/>
    </row>
    <row r="50" spans="11:11" ht="18.5" x14ac:dyDescent="0.45">
      <c r="K50" s="12"/>
    </row>
  </sheetData>
  <sortState xmlns:xlrd2="http://schemas.microsoft.com/office/spreadsheetml/2017/richdata2" ref="W6:W17">
    <sortCondition ref="W6:W17"/>
  </sortState>
  <mergeCells count="7">
    <mergeCell ref="G4:G5"/>
    <mergeCell ref="C29:D29"/>
    <mergeCell ref="C30:D30"/>
    <mergeCell ref="C31:D31"/>
    <mergeCell ref="B4:B5"/>
    <mergeCell ref="C4:E4"/>
    <mergeCell ref="F4:F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C99AE-B943-4B27-8EF0-05C42D876F02}">
  <dimension ref="A3:Y50"/>
  <sheetViews>
    <sheetView topLeftCell="E1" zoomScale="80" zoomScaleNormal="80" workbookViewId="0">
      <selection activeCell="V6" sqref="V6:V17"/>
    </sheetView>
  </sheetViews>
  <sheetFormatPr defaultColWidth="9.1796875" defaultRowHeight="14.5" x14ac:dyDescent="0.35"/>
  <cols>
    <col min="1" max="1" width="5.81640625" style="7" customWidth="1"/>
    <col min="2" max="2" width="14" style="7" customWidth="1"/>
    <col min="3" max="5" width="9.1796875" style="7"/>
    <col min="6" max="6" width="9.81640625" style="7" customWidth="1"/>
    <col min="7" max="7" width="11" style="7" customWidth="1"/>
    <col min="8" max="17" width="9.1796875" style="7"/>
    <col min="18" max="18" width="8.26953125" style="7" customWidth="1"/>
    <col min="19" max="19" width="3.453125" style="7" customWidth="1"/>
    <col min="20" max="20" width="3.7265625" style="7" customWidth="1"/>
    <col min="21" max="16384" width="9.1796875" style="7"/>
  </cols>
  <sheetData>
    <row r="3" spans="1:25" ht="15.5" x14ac:dyDescent="0.35">
      <c r="E3" s="8"/>
    </row>
    <row r="4" spans="1:25" x14ac:dyDescent="0.35">
      <c r="B4" s="24" t="s">
        <v>0</v>
      </c>
      <c r="C4" s="26" t="s">
        <v>1</v>
      </c>
      <c r="D4" s="26"/>
      <c r="E4" s="26"/>
      <c r="F4" s="24" t="s">
        <v>6</v>
      </c>
      <c r="G4" s="24" t="s">
        <v>5</v>
      </c>
      <c r="J4" t="s">
        <v>7</v>
      </c>
      <c r="K4">
        <v>3</v>
      </c>
      <c r="L4"/>
      <c r="M4"/>
      <c r="N4"/>
      <c r="O4"/>
      <c r="P4"/>
      <c r="Q4"/>
    </row>
    <row r="5" spans="1:25" ht="16" thickBot="1" x14ac:dyDescent="0.4">
      <c r="B5" s="24"/>
      <c r="C5" s="9" t="s">
        <v>2</v>
      </c>
      <c r="D5" s="9" t="s">
        <v>3</v>
      </c>
      <c r="E5" s="9" t="s">
        <v>4</v>
      </c>
      <c r="F5" s="24"/>
      <c r="G5" s="24"/>
      <c r="J5" t="s">
        <v>32</v>
      </c>
      <c r="K5">
        <v>3</v>
      </c>
      <c r="L5"/>
      <c r="M5"/>
      <c r="N5"/>
      <c r="O5"/>
      <c r="P5"/>
      <c r="Q5"/>
    </row>
    <row r="6" spans="1:25" ht="16" thickBot="1" x14ac:dyDescent="0.4">
      <c r="A6" s="7">
        <v>1</v>
      </c>
      <c r="B6" s="21" t="s">
        <v>40</v>
      </c>
      <c r="C6" s="23">
        <v>14</v>
      </c>
      <c r="D6" s="23">
        <v>16.5</v>
      </c>
      <c r="E6" s="23">
        <v>10.199999999999999</v>
      </c>
      <c r="F6" s="10">
        <f>C6+D6+E6</f>
        <v>40.700000000000003</v>
      </c>
      <c r="G6" s="3">
        <f>AVERAGE(C6:E6)</f>
        <v>13.566666666666668</v>
      </c>
      <c r="J6" t="s">
        <v>56</v>
      </c>
      <c r="K6">
        <v>4</v>
      </c>
      <c r="L6"/>
      <c r="M6"/>
      <c r="N6"/>
      <c r="O6"/>
      <c r="P6"/>
      <c r="Q6"/>
      <c r="U6" s="7">
        <f>G6</f>
        <v>13.566666666666668</v>
      </c>
      <c r="V6" s="7" t="s">
        <v>26</v>
      </c>
      <c r="W6" s="7">
        <v>13.566666666666668</v>
      </c>
      <c r="X6" s="7" t="s">
        <v>26</v>
      </c>
      <c r="Y6" s="7">
        <f>W6+U$18</f>
        <v>24.104808059818112</v>
      </c>
    </row>
    <row r="7" spans="1:25" ht="16" thickBot="1" x14ac:dyDescent="0.4">
      <c r="A7" s="7">
        <v>2</v>
      </c>
      <c r="B7" s="21" t="s">
        <v>41</v>
      </c>
      <c r="C7" s="23">
        <v>29.3</v>
      </c>
      <c r="D7" s="23">
        <v>25.5</v>
      </c>
      <c r="E7" s="23">
        <v>27.3</v>
      </c>
      <c r="F7" s="10">
        <f t="shared" ref="F7:F17" si="0">C7+D7+E7</f>
        <v>82.1</v>
      </c>
      <c r="G7" s="3">
        <f t="shared" ref="G7:G17" si="1">AVERAGE(C7:E7)</f>
        <v>27.366666666666664</v>
      </c>
      <c r="J7" t="s">
        <v>9</v>
      </c>
      <c r="K7">
        <f>(F18^2)/(K4*K5*K6)</f>
        <v>26330.471111111099</v>
      </c>
      <c r="L7"/>
      <c r="M7"/>
      <c r="N7"/>
      <c r="O7"/>
      <c r="P7"/>
      <c r="Q7"/>
      <c r="U7" s="7">
        <f>G7</f>
        <v>27.366666666666664</v>
      </c>
      <c r="V7" s="7" t="s">
        <v>67</v>
      </c>
      <c r="W7" s="7">
        <v>16.566666666666666</v>
      </c>
      <c r="X7" s="7" t="s">
        <v>37</v>
      </c>
      <c r="Y7" s="7">
        <f t="shared" ref="Y7:Y17" si="2">W7+U$18</f>
        <v>27.104808059818112</v>
      </c>
    </row>
    <row r="8" spans="1:25" ht="16" thickBot="1" x14ac:dyDescent="0.4">
      <c r="A8" s="7">
        <v>3</v>
      </c>
      <c r="B8" s="21" t="s">
        <v>42</v>
      </c>
      <c r="C8" s="23">
        <v>37</v>
      </c>
      <c r="D8" s="23">
        <v>29.7</v>
      </c>
      <c r="E8" s="23">
        <v>33.799999999999997</v>
      </c>
      <c r="F8" s="10">
        <f t="shared" si="0"/>
        <v>100.5</v>
      </c>
      <c r="G8" s="3">
        <f t="shared" si="1"/>
        <v>33.5</v>
      </c>
      <c r="J8"/>
      <c r="K8"/>
      <c r="L8"/>
      <c r="M8"/>
      <c r="N8"/>
      <c r="O8"/>
      <c r="P8"/>
      <c r="Q8"/>
      <c r="U8" s="7">
        <f>G8</f>
        <v>33.5</v>
      </c>
      <c r="V8" s="7" t="s">
        <v>72</v>
      </c>
      <c r="W8" s="7">
        <v>18.966666666666665</v>
      </c>
      <c r="X8" s="7" t="s">
        <v>63</v>
      </c>
      <c r="Y8" s="7">
        <f t="shared" si="2"/>
        <v>29.50480805981811</v>
      </c>
    </row>
    <row r="9" spans="1:25" ht="16" thickBot="1" x14ac:dyDescent="0.4">
      <c r="A9" s="7">
        <v>4</v>
      </c>
      <c r="B9" s="21" t="s">
        <v>43</v>
      </c>
      <c r="C9" s="23">
        <v>39.799999999999997</v>
      </c>
      <c r="D9" s="23">
        <v>35.700000000000003</v>
      </c>
      <c r="E9" s="23">
        <v>42.1</v>
      </c>
      <c r="F9" s="10">
        <f t="shared" si="0"/>
        <v>117.6</v>
      </c>
      <c r="G9" s="3">
        <f t="shared" si="1"/>
        <v>39.199999999999996</v>
      </c>
      <c r="J9" s="1" t="s">
        <v>10</v>
      </c>
      <c r="K9" s="1" t="s">
        <v>12</v>
      </c>
      <c r="L9" s="1" t="s">
        <v>14</v>
      </c>
      <c r="M9" s="1" t="s">
        <v>13</v>
      </c>
      <c r="N9" s="1" t="s">
        <v>15</v>
      </c>
      <c r="O9" s="1"/>
      <c r="P9" s="5">
        <v>0.05</v>
      </c>
      <c r="Q9" s="5">
        <v>0.01</v>
      </c>
      <c r="U9" s="7">
        <f>G9</f>
        <v>39.199999999999996</v>
      </c>
      <c r="V9" s="7" t="s">
        <v>73</v>
      </c>
      <c r="W9" s="7">
        <v>20.933333333333334</v>
      </c>
      <c r="X9" s="7" t="s">
        <v>64</v>
      </c>
      <c r="Y9" s="7">
        <f t="shared" si="2"/>
        <v>31.471474726484779</v>
      </c>
    </row>
    <row r="10" spans="1:25" ht="16" thickBot="1" x14ac:dyDescent="0.4">
      <c r="A10" s="7">
        <v>5</v>
      </c>
      <c r="B10" s="21" t="s">
        <v>44</v>
      </c>
      <c r="C10" s="23">
        <v>13.2</v>
      </c>
      <c r="D10" s="23">
        <v>17.2</v>
      </c>
      <c r="E10" s="23">
        <v>19.3</v>
      </c>
      <c r="F10" s="10">
        <f t="shared" si="0"/>
        <v>49.7</v>
      </c>
      <c r="G10" s="3">
        <f t="shared" si="1"/>
        <v>16.566666666666666</v>
      </c>
      <c r="J10" s="1" t="s">
        <v>7</v>
      </c>
      <c r="K10" s="1">
        <f>K4-1</f>
        <v>2</v>
      </c>
      <c r="L10" s="1">
        <f>SUMSQ(C18:E18)/12-K7</f>
        <v>50.983888888906222</v>
      </c>
      <c r="M10" s="1">
        <f>L10/K10</f>
        <v>25.491944444453111</v>
      </c>
      <c r="N10" s="1">
        <f>M10/$M$15</f>
        <v>2.0286141461080578</v>
      </c>
      <c r="O10" s="1" t="str">
        <f>IF(N10&lt;P10,"TN",IF(N10&lt;Q10,"*","**"))</f>
        <v>TN</v>
      </c>
      <c r="P10" s="1">
        <f>FINV(5%,$K10,$K$15)</f>
        <v>3.4433567793667246</v>
      </c>
      <c r="Q10" s="1">
        <f>FINV(1%,$K10,$K$15)</f>
        <v>5.7190219124822725</v>
      </c>
      <c r="U10" s="7">
        <f>G10</f>
        <v>16.566666666666666</v>
      </c>
      <c r="V10" s="7" t="s">
        <v>37</v>
      </c>
      <c r="W10" s="7">
        <v>25.966666666666669</v>
      </c>
      <c r="X10" s="7" t="s">
        <v>66</v>
      </c>
      <c r="Y10" s="7">
        <f t="shared" si="2"/>
        <v>36.504808059818117</v>
      </c>
    </row>
    <row r="11" spans="1:25" ht="16" thickBot="1" x14ac:dyDescent="0.4">
      <c r="A11" s="7">
        <v>6</v>
      </c>
      <c r="B11" s="21" t="s">
        <v>45</v>
      </c>
      <c r="C11" s="23">
        <v>21.1</v>
      </c>
      <c r="D11" s="23">
        <v>16.8</v>
      </c>
      <c r="E11" s="23">
        <v>24.9</v>
      </c>
      <c r="F11" s="10">
        <f t="shared" si="0"/>
        <v>62.800000000000004</v>
      </c>
      <c r="G11" s="3">
        <f t="shared" si="1"/>
        <v>20.933333333333334</v>
      </c>
      <c r="J11" s="1" t="s">
        <v>8</v>
      </c>
      <c r="K11" s="1">
        <f>K5*K6-1</f>
        <v>11</v>
      </c>
      <c r="L11" s="1">
        <f>SUMSQ(F6:F17)/K4-K7</f>
        <v>2356.628888888903</v>
      </c>
      <c r="M11" s="1">
        <f t="shared" ref="M11:M15" si="3">L11/K11</f>
        <v>214.23898989899118</v>
      </c>
      <c r="N11" s="1">
        <f t="shared" ref="N11:N14" si="4">M11/$M$15</f>
        <v>17.048846411226307</v>
      </c>
      <c r="O11" s="1" t="str">
        <f t="shared" ref="O11:O14" si="5">IF(N11&lt;P11,"TN",IF(N11&lt;Q11,"*","**"))</f>
        <v>**</v>
      </c>
      <c r="P11" s="1">
        <f t="shared" ref="P11:P14" si="6">FINV(5%,K11,$K$15)</f>
        <v>2.2585183566229916</v>
      </c>
      <c r="Q11" s="1">
        <f t="shared" ref="Q11:Q14" si="7">FINV(1%,$K11,$K$15)</f>
        <v>3.1837421959607717</v>
      </c>
      <c r="U11" s="7">
        <f>G11</f>
        <v>20.933333333333334</v>
      </c>
      <c r="V11" s="7" t="s">
        <v>64</v>
      </c>
      <c r="W11" s="7">
        <v>27.366666666666664</v>
      </c>
      <c r="X11" s="7" t="s">
        <v>67</v>
      </c>
      <c r="Y11" s="7">
        <f t="shared" si="2"/>
        <v>37.904808059818109</v>
      </c>
    </row>
    <row r="12" spans="1:25" ht="16" thickBot="1" x14ac:dyDescent="0.4">
      <c r="A12" s="7">
        <v>7</v>
      </c>
      <c r="B12" s="21" t="s">
        <v>46</v>
      </c>
      <c r="C12" s="23">
        <v>32.799999999999997</v>
      </c>
      <c r="D12" s="23">
        <v>27</v>
      </c>
      <c r="E12" s="23">
        <v>28.9</v>
      </c>
      <c r="F12" s="10">
        <f t="shared" si="0"/>
        <v>88.699999999999989</v>
      </c>
      <c r="G12" s="3">
        <f t="shared" si="1"/>
        <v>29.566666666666663</v>
      </c>
      <c r="J12" s="1" t="s">
        <v>32</v>
      </c>
      <c r="K12" s="1">
        <f>K5-1</f>
        <v>2</v>
      </c>
      <c r="L12" s="1">
        <f>SUMSQ(C27:E27)/(K5*K6)-K7</f>
        <v>123.57722222223674</v>
      </c>
      <c r="M12" s="1">
        <f t="shared" si="3"/>
        <v>61.788611111118371</v>
      </c>
      <c r="N12" s="1">
        <f t="shared" si="4"/>
        <v>4.9170533397917628</v>
      </c>
      <c r="O12" s="1" t="str">
        <f t="shared" si="5"/>
        <v>*</v>
      </c>
      <c r="P12" s="1">
        <f t="shared" si="6"/>
        <v>3.4433567793667246</v>
      </c>
      <c r="Q12" s="1">
        <f t="shared" si="7"/>
        <v>5.7190219124822725</v>
      </c>
      <c r="U12" s="7">
        <f>G12</f>
        <v>29.566666666666663</v>
      </c>
      <c r="V12" s="7" t="s">
        <v>69</v>
      </c>
      <c r="W12" s="7">
        <v>27.766666666666666</v>
      </c>
      <c r="X12" s="7" t="s">
        <v>67</v>
      </c>
      <c r="Y12" s="7">
        <f t="shared" si="2"/>
        <v>38.304808059818114</v>
      </c>
    </row>
    <row r="13" spans="1:25" ht="16" thickBot="1" x14ac:dyDescent="0.4">
      <c r="A13" s="7">
        <v>8</v>
      </c>
      <c r="B13" s="21" t="s">
        <v>47</v>
      </c>
      <c r="C13" s="23">
        <v>36.4</v>
      </c>
      <c r="D13" s="23">
        <v>30.5</v>
      </c>
      <c r="E13" s="23">
        <v>25</v>
      </c>
      <c r="F13" s="10">
        <f t="shared" si="0"/>
        <v>91.9</v>
      </c>
      <c r="G13" s="3">
        <f t="shared" si="1"/>
        <v>30.633333333333336</v>
      </c>
      <c r="J13" s="1" t="s">
        <v>56</v>
      </c>
      <c r="K13" s="1">
        <f>K6-1</f>
        <v>3</v>
      </c>
      <c r="L13" s="1">
        <f>SUMSQ(F23:F26)/(K5*K4)-K7</f>
        <v>2020.0155555555684</v>
      </c>
      <c r="M13" s="1">
        <f t="shared" si="3"/>
        <v>673.33851851852285</v>
      </c>
      <c r="N13" s="1">
        <f t="shared" si="4"/>
        <v>53.583360294955405</v>
      </c>
      <c r="O13" s="1" t="str">
        <f t="shared" si="5"/>
        <v>**</v>
      </c>
      <c r="P13" s="1">
        <f t="shared" si="6"/>
        <v>3.0491249886524128</v>
      </c>
      <c r="Q13" s="1">
        <f t="shared" si="7"/>
        <v>4.8166057778160596</v>
      </c>
      <c r="U13" s="7">
        <f>G13</f>
        <v>30.633333333333336</v>
      </c>
      <c r="V13" s="7" t="s">
        <v>71</v>
      </c>
      <c r="W13" s="7">
        <v>29.566666666666663</v>
      </c>
      <c r="X13" s="7" t="s">
        <v>69</v>
      </c>
      <c r="Y13" s="7">
        <f t="shared" si="2"/>
        <v>40.104808059818112</v>
      </c>
    </row>
    <row r="14" spans="1:25" ht="16" thickBot="1" x14ac:dyDescent="0.4">
      <c r="A14" s="7">
        <v>9</v>
      </c>
      <c r="B14" s="21" t="s">
        <v>48</v>
      </c>
      <c r="C14" s="23">
        <v>23.1</v>
      </c>
      <c r="D14" s="23">
        <v>13.9</v>
      </c>
      <c r="E14" s="23">
        <v>19.899999999999999</v>
      </c>
      <c r="F14" s="10">
        <f t="shared" si="0"/>
        <v>56.9</v>
      </c>
      <c r="G14" s="3">
        <f t="shared" si="1"/>
        <v>18.966666666666665</v>
      </c>
      <c r="J14" s="1" t="s">
        <v>33</v>
      </c>
      <c r="K14" s="1">
        <f>K12*K13</f>
        <v>6</v>
      </c>
      <c r="L14" s="1">
        <f>L11-L12-L13</f>
        <v>213.03611111109785</v>
      </c>
      <c r="M14" s="1">
        <f t="shared" si="3"/>
        <v>35.506018518516306</v>
      </c>
      <c r="N14" s="1">
        <f t="shared" si="4"/>
        <v>2.8255204931732734</v>
      </c>
      <c r="O14" s="1" t="str">
        <f t="shared" si="5"/>
        <v>*</v>
      </c>
      <c r="P14" s="1">
        <f t="shared" si="6"/>
        <v>2.5490614138436585</v>
      </c>
      <c r="Q14" s="1">
        <f t="shared" si="7"/>
        <v>3.7583014350037565</v>
      </c>
      <c r="U14" s="7">
        <f>G14</f>
        <v>18.966666666666665</v>
      </c>
      <c r="V14" s="7" t="s">
        <v>63</v>
      </c>
      <c r="W14" s="7">
        <v>30.633333333333336</v>
      </c>
      <c r="X14" s="7" t="s">
        <v>71</v>
      </c>
      <c r="Y14" s="7">
        <f t="shared" si="2"/>
        <v>41.171474726484782</v>
      </c>
    </row>
    <row r="15" spans="1:25" ht="16" thickBot="1" x14ac:dyDescent="0.4">
      <c r="A15" s="7">
        <v>10</v>
      </c>
      <c r="B15" s="21" t="s">
        <v>49</v>
      </c>
      <c r="C15" s="23">
        <v>24.8</v>
      </c>
      <c r="D15" s="23">
        <v>29.5</v>
      </c>
      <c r="E15" s="23">
        <v>23.6</v>
      </c>
      <c r="F15" s="10">
        <f t="shared" si="0"/>
        <v>77.900000000000006</v>
      </c>
      <c r="G15" s="3">
        <f t="shared" si="1"/>
        <v>25.966666666666669</v>
      </c>
      <c r="J15" s="1" t="s">
        <v>19</v>
      </c>
      <c r="K15" s="1">
        <f>K16-K11-K10</f>
        <v>22</v>
      </c>
      <c r="L15" s="1">
        <f>L16-L11-L10</f>
        <v>276.45611111108519</v>
      </c>
      <c r="M15" s="1">
        <f t="shared" si="3"/>
        <v>12.566186868685691</v>
      </c>
      <c r="N15" s="1"/>
      <c r="O15" s="1"/>
      <c r="P15" s="1"/>
      <c r="Q15" s="1"/>
      <c r="U15" s="7">
        <f>G15</f>
        <v>25.966666666666669</v>
      </c>
      <c r="V15" s="7" t="s">
        <v>66</v>
      </c>
      <c r="W15" s="7">
        <v>33.5</v>
      </c>
      <c r="X15" s="7" t="s">
        <v>72</v>
      </c>
      <c r="Y15" s="7">
        <f t="shared" si="2"/>
        <v>44.038141393151449</v>
      </c>
    </row>
    <row r="16" spans="1:25" ht="16" thickBot="1" x14ac:dyDescent="0.4">
      <c r="A16" s="7">
        <v>11</v>
      </c>
      <c r="B16" s="21" t="s">
        <v>50</v>
      </c>
      <c r="C16" s="23">
        <v>32</v>
      </c>
      <c r="D16" s="23">
        <v>25.1</v>
      </c>
      <c r="E16" s="23">
        <v>26.2</v>
      </c>
      <c r="F16" s="10">
        <f t="shared" si="0"/>
        <v>83.3</v>
      </c>
      <c r="G16" s="3">
        <f t="shared" si="1"/>
        <v>27.766666666666666</v>
      </c>
      <c r="J16" s="1" t="s">
        <v>11</v>
      </c>
      <c r="K16" s="1">
        <f>K4*K5*K6-1</f>
        <v>35</v>
      </c>
      <c r="L16" s="1">
        <f>SUMSQ(C6:E17)-K7</f>
        <v>2684.0688888888944</v>
      </c>
      <c r="M16" s="1"/>
      <c r="N16" s="1"/>
      <c r="O16" s="1"/>
      <c r="P16" s="1"/>
      <c r="Q16" s="1"/>
      <c r="U16" s="7">
        <f>G16</f>
        <v>27.766666666666666</v>
      </c>
      <c r="V16" s="7" t="s">
        <v>67</v>
      </c>
      <c r="W16" s="7">
        <v>39.199999999999996</v>
      </c>
      <c r="X16" s="7" t="s">
        <v>73</v>
      </c>
      <c r="Y16" s="7">
        <f t="shared" si="2"/>
        <v>49.738141393151437</v>
      </c>
    </row>
    <row r="17" spans="1:25" ht="16" thickBot="1" x14ac:dyDescent="0.4">
      <c r="A17" s="7">
        <v>12</v>
      </c>
      <c r="B17" s="21" t="s">
        <v>51</v>
      </c>
      <c r="C17" s="23">
        <v>37.799999999999997</v>
      </c>
      <c r="D17" s="23">
        <v>39</v>
      </c>
      <c r="E17" s="23">
        <v>44.7</v>
      </c>
      <c r="F17" s="10">
        <f t="shared" si="0"/>
        <v>121.5</v>
      </c>
      <c r="G17" s="3">
        <f t="shared" si="1"/>
        <v>40.5</v>
      </c>
      <c r="U17" s="7">
        <f>G17</f>
        <v>40.5</v>
      </c>
      <c r="V17" s="7" t="s">
        <v>74</v>
      </c>
      <c r="W17" s="7">
        <v>40.5</v>
      </c>
      <c r="X17" s="7" t="s">
        <v>74</v>
      </c>
      <c r="Y17" s="7">
        <f t="shared" si="2"/>
        <v>51.038141393151449</v>
      </c>
    </row>
    <row r="18" spans="1:25" x14ac:dyDescent="0.35">
      <c r="B18" s="3"/>
      <c r="C18" s="6">
        <f>SUM(C6:C17)</f>
        <v>341.3</v>
      </c>
      <c r="D18" s="6">
        <f t="shared" ref="D18:F18" si="8">SUM(D6:D17)</f>
        <v>306.40000000000003</v>
      </c>
      <c r="E18" s="6">
        <f t="shared" si="8"/>
        <v>325.90000000000003</v>
      </c>
      <c r="F18" s="11">
        <f t="shared" si="8"/>
        <v>973.5999999999998</v>
      </c>
      <c r="G18" s="3"/>
      <c r="T18" s="7" t="s">
        <v>39</v>
      </c>
      <c r="U18">
        <f>E29*((M15/3)^0.5)</f>
        <v>10.538141393151445</v>
      </c>
    </row>
    <row r="21" spans="1:25" ht="15" thickBot="1" x14ac:dyDescent="0.4"/>
    <row r="22" spans="1:25" ht="16" thickBot="1" x14ac:dyDescent="0.4">
      <c r="B22" s="13"/>
      <c r="C22" s="14" t="s">
        <v>34</v>
      </c>
      <c r="D22" s="15" t="s">
        <v>35</v>
      </c>
      <c r="E22" s="15" t="s">
        <v>36</v>
      </c>
      <c r="F22" s="13"/>
      <c r="I22" s="1"/>
      <c r="J22" s="13" t="s">
        <v>52</v>
      </c>
      <c r="K22" s="13" t="s">
        <v>53</v>
      </c>
      <c r="L22" s="13" t="s">
        <v>54</v>
      </c>
      <c r="M22" s="13" t="s">
        <v>55</v>
      </c>
      <c r="N22" s="1" t="s">
        <v>5</v>
      </c>
      <c r="O22"/>
      <c r="P22"/>
      <c r="Q22"/>
      <c r="R22"/>
      <c r="S22"/>
      <c r="T22"/>
      <c r="U22"/>
    </row>
    <row r="23" spans="1:25" ht="19" thickBot="1" x14ac:dyDescent="0.5">
      <c r="B23" s="13" t="s">
        <v>52</v>
      </c>
      <c r="C23" s="13">
        <f>F6</f>
        <v>40.700000000000003</v>
      </c>
      <c r="D23" s="13">
        <f>F10</f>
        <v>49.7</v>
      </c>
      <c r="E23" s="13">
        <f>F14</f>
        <v>56.9</v>
      </c>
      <c r="F23" s="13">
        <f>SUM(C23:E23)</f>
        <v>147.30000000000001</v>
      </c>
      <c r="I23" s="14" t="s">
        <v>34</v>
      </c>
      <c r="J23" s="3">
        <f>G6</f>
        <v>13.566666666666668</v>
      </c>
      <c r="K23" s="16">
        <f>G7</f>
        <v>27.366666666666664</v>
      </c>
      <c r="L23" s="3">
        <f>G8</f>
        <v>33.5</v>
      </c>
      <c r="M23" s="3">
        <f>G9</f>
        <v>39.199999999999996</v>
      </c>
      <c r="N23" s="1">
        <f>AVERAGE(J23:M23)</f>
        <v>28.408333333333331</v>
      </c>
      <c r="O23"/>
      <c r="P23" s="1" t="s">
        <v>18</v>
      </c>
      <c r="Q23" s="1">
        <v>11.089583333333334</v>
      </c>
      <c r="R23"/>
      <c r="S23"/>
      <c r="T23"/>
      <c r="U23">
        <f>N23+N$26</f>
        <v>28.408333333333331</v>
      </c>
    </row>
    <row r="24" spans="1:25" ht="16" thickBot="1" x14ac:dyDescent="0.4">
      <c r="B24" s="13" t="s">
        <v>53</v>
      </c>
      <c r="C24" s="13">
        <f>F7</f>
        <v>82.1</v>
      </c>
      <c r="D24" s="13">
        <f>F11</f>
        <v>62.800000000000004</v>
      </c>
      <c r="E24" s="13">
        <f>F15</f>
        <v>77.900000000000006</v>
      </c>
      <c r="F24" s="13">
        <f t="shared" ref="F24:F26" si="9">SUM(C24:E24)</f>
        <v>222.8</v>
      </c>
      <c r="I24" s="15" t="s">
        <v>35</v>
      </c>
      <c r="J24" s="3">
        <f>G10</f>
        <v>16.566666666666666</v>
      </c>
      <c r="K24" s="3">
        <f>G11</f>
        <v>20.933333333333334</v>
      </c>
      <c r="L24" s="3">
        <f>G12</f>
        <v>29.566666666666663</v>
      </c>
      <c r="M24" s="3">
        <f>G13</f>
        <v>30.633333333333336</v>
      </c>
      <c r="N24" s="1">
        <f t="shared" ref="N24:N25" si="10">AVERAGE(J24:M24)</f>
        <v>24.425000000000001</v>
      </c>
      <c r="O24"/>
      <c r="P24" s="1" t="s">
        <v>17</v>
      </c>
      <c r="Q24" s="1">
        <v>10.122916666666667</v>
      </c>
      <c r="R24"/>
      <c r="S24"/>
      <c r="T24"/>
      <c r="U24">
        <f t="shared" ref="U24:U25" si="11">N24+N$26</f>
        <v>24.425000000000001</v>
      </c>
    </row>
    <row r="25" spans="1:25" ht="19" thickBot="1" x14ac:dyDescent="0.5">
      <c r="B25" s="13" t="s">
        <v>54</v>
      </c>
      <c r="C25" s="13">
        <f>F8</f>
        <v>100.5</v>
      </c>
      <c r="D25" s="13">
        <f>F12</f>
        <v>88.699999999999989</v>
      </c>
      <c r="E25" s="13">
        <f>F16</f>
        <v>83.3</v>
      </c>
      <c r="F25" s="13">
        <f t="shared" si="9"/>
        <v>272.5</v>
      </c>
      <c r="I25" s="15" t="s">
        <v>36</v>
      </c>
      <c r="J25" s="3">
        <f>G14</f>
        <v>18.966666666666665</v>
      </c>
      <c r="K25" s="16">
        <f>G15</f>
        <v>25.966666666666669</v>
      </c>
      <c r="L25" s="3">
        <f>G16</f>
        <v>27.766666666666666</v>
      </c>
      <c r="M25" s="3">
        <f>G17</f>
        <v>40.5</v>
      </c>
      <c r="N25" s="1">
        <f t="shared" si="10"/>
        <v>28.3</v>
      </c>
      <c r="O25"/>
      <c r="P25" s="1" t="s">
        <v>16</v>
      </c>
      <c r="Q25" s="1">
        <v>9.9791666666666679</v>
      </c>
      <c r="R25"/>
      <c r="S25"/>
      <c r="T25"/>
      <c r="U25">
        <f t="shared" si="11"/>
        <v>28.3</v>
      </c>
    </row>
    <row r="26" spans="1:25" ht="18.5" x14ac:dyDescent="0.45">
      <c r="B26" s="13" t="s">
        <v>55</v>
      </c>
      <c r="C26" s="13">
        <f>F9</f>
        <v>117.6</v>
      </c>
      <c r="D26" s="13">
        <f>F13</f>
        <v>91.9</v>
      </c>
      <c r="E26" s="13">
        <f>F17</f>
        <v>121.5</v>
      </c>
      <c r="F26" s="13">
        <f t="shared" si="9"/>
        <v>331</v>
      </c>
      <c r="I26"/>
      <c r="J26"/>
      <c r="K26" s="2"/>
      <c r="L26"/>
      <c r="M26" t="s">
        <v>24</v>
      </c>
      <c r="N26">
        <f>D31*((M15/12)^0.5)</f>
        <v>0</v>
      </c>
      <c r="O26"/>
      <c r="P26"/>
      <c r="Q26">
        <v>1.6970124878379924</v>
      </c>
      <c r="R26"/>
      <c r="S26"/>
      <c r="T26"/>
      <c r="U26"/>
    </row>
    <row r="27" spans="1:25" ht="19" thickBot="1" x14ac:dyDescent="0.5">
      <c r="B27" s="13"/>
      <c r="C27" s="13">
        <f>SUM(C23:C26)</f>
        <v>340.9</v>
      </c>
      <c r="D27" s="13">
        <f t="shared" ref="D27:E27" si="12">SUM(D23:D26)</f>
        <v>293.10000000000002</v>
      </c>
      <c r="E27" s="13">
        <f t="shared" si="12"/>
        <v>339.6</v>
      </c>
      <c r="F27" s="13"/>
      <c r="I27"/>
      <c r="J27"/>
      <c r="K27" s="2"/>
      <c r="L27"/>
      <c r="M27"/>
      <c r="N27"/>
      <c r="O27"/>
      <c r="P27"/>
      <c r="Q27"/>
      <c r="R27"/>
      <c r="S27"/>
      <c r="T27"/>
      <c r="U27"/>
    </row>
    <row r="28" spans="1:25" ht="16" thickBot="1" x14ac:dyDescent="0.4">
      <c r="I28"/>
      <c r="J28" s="1"/>
      <c r="K28" s="14" t="s">
        <v>34</v>
      </c>
      <c r="L28" s="15" t="s">
        <v>35</v>
      </c>
      <c r="M28" s="15" t="s">
        <v>36</v>
      </c>
      <c r="N28" s="1" t="s">
        <v>5</v>
      </c>
      <c r="O28"/>
      <c r="P28"/>
      <c r="Q28"/>
      <c r="R28"/>
      <c r="S28"/>
      <c r="T28"/>
      <c r="U28"/>
    </row>
    <row r="29" spans="1:25" x14ac:dyDescent="0.35">
      <c r="C29" s="25" t="s">
        <v>29</v>
      </c>
      <c r="D29" s="25"/>
      <c r="E29" s="7">
        <v>5.149</v>
      </c>
      <c r="I29"/>
      <c r="J29" s="13" t="s">
        <v>52</v>
      </c>
      <c r="K29" s="7">
        <f>G6</f>
        <v>13.566666666666668</v>
      </c>
      <c r="L29" s="7">
        <f>G10</f>
        <v>16.566666666666666</v>
      </c>
      <c r="M29" s="7">
        <f>G14</f>
        <v>18.966666666666665</v>
      </c>
      <c r="N29" s="1">
        <f>AVERAGE(J29:M29)</f>
        <v>16.366666666666664</v>
      </c>
      <c r="O29"/>
      <c r="P29" s="4" t="s">
        <v>20</v>
      </c>
      <c r="Q29" s="4">
        <v>32.391666666666666</v>
      </c>
      <c r="R29"/>
      <c r="S29"/>
      <c r="T29"/>
      <c r="U29"/>
    </row>
    <row r="30" spans="1:25" x14ac:dyDescent="0.35">
      <c r="C30" s="25" t="s">
        <v>28</v>
      </c>
      <c r="D30" s="25"/>
      <c r="E30" s="7">
        <v>3.5550000000000002</v>
      </c>
      <c r="I30"/>
      <c r="J30" s="13" t="s">
        <v>53</v>
      </c>
      <c r="K30" s="7">
        <f t="shared" ref="K30:K32" si="13">G7</f>
        <v>27.366666666666664</v>
      </c>
      <c r="L30" s="7">
        <f t="shared" ref="L30:L32" si="14">G11</f>
        <v>20.933333333333334</v>
      </c>
      <c r="M30" s="7">
        <f t="shared" ref="M30:M32" si="15">G15</f>
        <v>25.966666666666669</v>
      </c>
      <c r="N30" s="1">
        <f>AVERAGE(J30:M30)</f>
        <v>24.755555555555556</v>
      </c>
      <c r="O30"/>
      <c r="P30" s="4" t="s">
        <v>21</v>
      </c>
      <c r="Q30" s="4">
        <v>30.224999999999998</v>
      </c>
      <c r="R30"/>
      <c r="S30"/>
      <c r="T30"/>
      <c r="U30"/>
    </row>
    <row r="31" spans="1:25" x14ac:dyDescent="0.35">
      <c r="C31" s="25" t="s">
        <v>30</v>
      </c>
      <c r="D31" s="25"/>
      <c r="E31" s="7">
        <v>3.93</v>
      </c>
      <c r="I31"/>
      <c r="J31" s="13" t="s">
        <v>54</v>
      </c>
      <c r="K31" s="7">
        <f t="shared" si="13"/>
        <v>33.5</v>
      </c>
      <c r="L31" s="7">
        <f t="shared" si="14"/>
        <v>29.566666666666663</v>
      </c>
      <c r="M31" s="7">
        <f t="shared" si="15"/>
        <v>27.766666666666666</v>
      </c>
      <c r="N31" s="1">
        <f>AVERAGE(J31:M31)</f>
        <v>30.277777777777775</v>
      </c>
      <c r="O31"/>
      <c r="P31" s="4" t="s">
        <v>22</v>
      </c>
      <c r="Q31" s="4">
        <v>31.525000000000002</v>
      </c>
      <c r="R31"/>
      <c r="S31"/>
      <c r="T31"/>
      <c r="U31"/>
    </row>
    <row r="32" spans="1:25" x14ac:dyDescent="0.35">
      <c r="I32"/>
      <c r="J32" s="13" t="s">
        <v>55</v>
      </c>
      <c r="K32" s="7">
        <f t="shared" si="13"/>
        <v>39.199999999999996</v>
      </c>
      <c r="L32" s="7">
        <f t="shared" si="14"/>
        <v>30.633333333333336</v>
      </c>
      <c r="M32" s="7">
        <f t="shared" si="15"/>
        <v>40.5</v>
      </c>
      <c r="N32" s="1">
        <f>AVERAGE(J32:M32)</f>
        <v>36.777777777777779</v>
      </c>
      <c r="O32"/>
      <c r="P32" s="4" t="s">
        <v>23</v>
      </c>
      <c r="Q32" s="4">
        <v>30.625</v>
      </c>
      <c r="R32"/>
      <c r="S32"/>
      <c r="T32"/>
      <c r="U32"/>
    </row>
    <row r="33" spans="9:21" ht="18.5" x14ac:dyDescent="0.45">
      <c r="I33"/>
      <c r="J33"/>
      <c r="K33" s="2"/>
      <c r="L33"/>
      <c r="M33" t="s">
        <v>24</v>
      </c>
      <c r="N33">
        <f>D32*((M15/9)^0.5)</f>
        <v>0</v>
      </c>
      <c r="O33"/>
      <c r="P33"/>
      <c r="Q33" t="s">
        <v>25</v>
      </c>
      <c r="R33"/>
      <c r="S33"/>
      <c r="T33"/>
      <c r="U33"/>
    </row>
    <row r="50" spans="11:11" ht="18.5" x14ac:dyDescent="0.45">
      <c r="K50" s="12"/>
    </row>
  </sheetData>
  <sortState xmlns:xlrd2="http://schemas.microsoft.com/office/spreadsheetml/2017/richdata2" ref="W6:W17">
    <sortCondition ref="W6:W17"/>
  </sortState>
  <mergeCells count="7">
    <mergeCell ref="C31:D31"/>
    <mergeCell ref="B4:B5"/>
    <mergeCell ref="C4:E4"/>
    <mergeCell ref="F4:F5"/>
    <mergeCell ref="G4:G5"/>
    <mergeCell ref="C29:D29"/>
    <mergeCell ref="C30:D3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88336-515E-4ABE-8079-DEF3675CD031}">
  <dimension ref="A1:W14"/>
  <sheetViews>
    <sheetView tabSelected="1" topLeftCell="J1" workbookViewId="0">
      <selection activeCell="P1" sqref="P1:T14"/>
    </sheetView>
  </sheetViews>
  <sheetFormatPr defaultRowHeight="14.5" x14ac:dyDescent="0.35"/>
  <cols>
    <col min="2" max="2" width="10.7265625" bestFit="1" customWidth="1"/>
    <col min="3" max="3" width="10.90625" bestFit="1" customWidth="1"/>
    <col min="4" max="6" width="10.90625" customWidth="1"/>
    <col min="7" max="7" width="6.1796875" customWidth="1"/>
    <col min="8" max="8" width="10.90625" customWidth="1"/>
    <col min="9" max="9" width="5.7265625" customWidth="1"/>
    <col min="11" max="11" width="2.90625" bestFit="1" customWidth="1"/>
    <col min="13" max="13" width="11.1796875" customWidth="1"/>
  </cols>
  <sheetData>
    <row r="1" spans="1:23" x14ac:dyDescent="0.35">
      <c r="A1" s="28" t="s">
        <v>38</v>
      </c>
      <c r="B1" s="29" t="s">
        <v>58</v>
      </c>
      <c r="C1" s="29" t="s">
        <v>59</v>
      </c>
      <c r="D1" s="30"/>
      <c r="E1" s="33" t="s">
        <v>38</v>
      </c>
      <c r="F1" s="29" t="s">
        <v>58</v>
      </c>
      <c r="G1" s="29"/>
      <c r="H1" s="29" t="s">
        <v>59</v>
      </c>
      <c r="I1" s="29"/>
      <c r="L1" s="28" t="s">
        <v>38</v>
      </c>
      <c r="M1" s="29" t="s">
        <v>62</v>
      </c>
      <c r="N1" s="29"/>
      <c r="P1" s="33" t="s">
        <v>38</v>
      </c>
      <c r="Q1" s="29" t="s">
        <v>60</v>
      </c>
      <c r="R1" s="29"/>
      <c r="S1" s="29" t="s">
        <v>61</v>
      </c>
      <c r="T1" s="29"/>
      <c r="U1" s="29" t="s">
        <v>60</v>
      </c>
      <c r="V1" s="18"/>
      <c r="W1" t="s">
        <v>61</v>
      </c>
    </row>
    <row r="2" spans="1:23" ht="15.5" x14ac:dyDescent="0.35">
      <c r="A2" s="17" t="s">
        <v>16</v>
      </c>
      <c r="B2" s="7">
        <f>'berat basah'!N29</f>
        <v>318.44444444444451</v>
      </c>
      <c r="C2" s="7">
        <f>'berat kering'!N29</f>
        <v>77.01111111111112</v>
      </c>
      <c r="D2" s="7"/>
      <c r="E2" s="21" t="s">
        <v>40</v>
      </c>
      <c r="F2" s="7">
        <f>'berat basah'!G6</f>
        <v>400.66666666666669</v>
      </c>
      <c r="G2" s="7" t="s">
        <v>63</v>
      </c>
      <c r="H2" s="7">
        <f>'berat kering'!G6</f>
        <v>90.266666666666666</v>
      </c>
      <c r="I2" s="7" t="s">
        <v>63</v>
      </c>
      <c r="L2" s="17" t="s">
        <v>16</v>
      </c>
      <c r="M2" s="7">
        <f>'jumlah anakan'!N29</f>
        <v>7.1111111111111107</v>
      </c>
      <c r="P2" s="21" t="s">
        <v>40</v>
      </c>
      <c r="Q2" s="7">
        <f>'berat akar'!U6</f>
        <v>16</v>
      </c>
      <c r="R2" s="7" t="s">
        <v>37</v>
      </c>
      <c r="S2" s="7">
        <f>'panjang akar'!U6</f>
        <v>13.566666666666668</v>
      </c>
      <c r="T2" s="7" t="s">
        <v>26</v>
      </c>
      <c r="U2" s="7">
        <f>'berat akar'!N29</f>
        <v>16.777777777777779</v>
      </c>
    </row>
    <row r="3" spans="1:23" ht="15.5" x14ac:dyDescent="0.35">
      <c r="A3" s="17" t="s">
        <v>17</v>
      </c>
      <c r="B3" s="7">
        <f>'berat basah'!N30</f>
        <v>504.77777777777783</v>
      </c>
      <c r="C3" s="7">
        <f>'berat kering'!N30</f>
        <v>153.73333333333335</v>
      </c>
      <c r="D3" s="7"/>
      <c r="E3" s="21" t="s">
        <v>41</v>
      </c>
      <c r="F3" s="7">
        <f>'berat basah'!G7</f>
        <v>522.66666666666663</v>
      </c>
      <c r="G3" s="7" t="s">
        <v>67</v>
      </c>
      <c r="H3" s="7">
        <f>'berat kering'!G7</f>
        <v>101</v>
      </c>
      <c r="I3" s="7" t="s">
        <v>64</v>
      </c>
      <c r="L3" s="17" t="s">
        <v>17</v>
      </c>
      <c r="M3" s="7">
        <f>'jumlah anakan'!N30</f>
        <v>9.8888888888888911</v>
      </c>
      <c r="P3" s="21" t="s">
        <v>41</v>
      </c>
      <c r="Q3" s="7">
        <f>'berat akar'!U7</f>
        <v>24.333333333333332</v>
      </c>
      <c r="R3" s="7" t="s">
        <v>63</v>
      </c>
      <c r="S3" s="7">
        <f>'panjang akar'!U7</f>
        <v>27.366666666666664</v>
      </c>
      <c r="T3" s="7" t="s">
        <v>67</v>
      </c>
      <c r="U3" s="7">
        <f>'berat akar'!N30</f>
        <v>35.888888888888893</v>
      </c>
    </row>
    <row r="4" spans="1:23" ht="15.5" x14ac:dyDescent="0.35">
      <c r="A4" s="17" t="s">
        <v>18</v>
      </c>
      <c r="B4" s="7">
        <f>'berat basah'!N31</f>
        <v>621.33333333333337</v>
      </c>
      <c r="C4" s="7">
        <f>'berat kering'!N31</f>
        <v>216.73333333333332</v>
      </c>
      <c r="D4" s="7"/>
      <c r="E4" s="21" t="s">
        <v>42</v>
      </c>
      <c r="F4" s="7">
        <f>'berat basah'!G8</f>
        <v>481.33333333333331</v>
      </c>
      <c r="G4" s="7" t="s">
        <v>65</v>
      </c>
      <c r="H4" s="7">
        <f>'berat kering'!G8</f>
        <v>163.73333333333332</v>
      </c>
      <c r="I4" s="7" t="s">
        <v>66</v>
      </c>
      <c r="L4" s="17" t="s">
        <v>18</v>
      </c>
      <c r="M4" s="7">
        <f>'jumlah anakan'!N31</f>
        <v>13.666666666666666</v>
      </c>
      <c r="P4" s="21" t="s">
        <v>42</v>
      </c>
      <c r="Q4" s="7">
        <f>'berat akar'!U8</f>
        <v>49.666666666666664</v>
      </c>
      <c r="R4" s="7" t="s">
        <v>68</v>
      </c>
      <c r="S4" s="7">
        <f>'panjang akar'!U8</f>
        <v>33.5</v>
      </c>
      <c r="T4" s="7" t="s">
        <v>72</v>
      </c>
      <c r="U4" s="7">
        <f>'berat akar'!N31</f>
        <v>60.333333333333336</v>
      </c>
    </row>
    <row r="5" spans="1:23" ht="15.5" x14ac:dyDescent="0.35">
      <c r="A5" s="17" t="s">
        <v>57</v>
      </c>
      <c r="B5" s="7">
        <f>'berat basah'!N32</f>
        <v>855.55555555555554</v>
      </c>
      <c r="C5" s="7">
        <f>'berat kering'!N32</f>
        <v>327.48888888888888</v>
      </c>
      <c r="D5" s="7"/>
      <c r="E5" s="21" t="s">
        <v>43</v>
      </c>
      <c r="F5" s="7">
        <f>'berat basah'!G9</f>
        <v>777.66666666666663</v>
      </c>
      <c r="G5" s="7" t="s">
        <v>73</v>
      </c>
      <c r="H5" s="7">
        <f>'berat kering'!G9</f>
        <v>266.13333333333338</v>
      </c>
      <c r="I5" s="7" t="s">
        <v>73</v>
      </c>
      <c r="L5" s="17" t="s">
        <v>57</v>
      </c>
      <c r="M5" s="7">
        <f>'jumlah anakan'!N32</f>
        <v>17.777777777777779</v>
      </c>
      <c r="P5" s="21" t="s">
        <v>43</v>
      </c>
      <c r="Q5" s="7">
        <f>'berat akar'!U9</f>
        <v>64.666666666666671</v>
      </c>
      <c r="R5" s="7" t="s">
        <v>72</v>
      </c>
      <c r="S5" s="7">
        <f>'panjang akar'!U9</f>
        <v>39.199999999999996</v>
      </c>
      <c r="T5" s="7" t="s">
        <v>73</v>
      </c>
      <c r="U5" s="7">
        <f>'berat akar'!N32</f>
        <v>76.222222222222229</v>
      </c>
    </row>
    <row r="6" spans="1:23" ht="15.5" x14ac:dyDescent="0.35">
      <c r="A6" s="19" t="s">
        <v>39</v>
      </c>
      <c r="B6" s="20" t="s">
        <v>31</v>
      </c>
      <c r="C6" s="20" t="s">
        <v>31</v>
      </c>
      <c r="D6" s="31"/>
      <c r="E6" s="21" t="s">
        <v>44</v>
      </c>
      <c r="F6" s="7">
        <f>'berat basah'!G10</f>
        <v>236</v>
      </c>
      <c r="G6" s="7" t="s">
        <v>26</v>
      </c>
      <c r="H6" s="7">
        <f>'berat kering'!G10</f>
        <v>66.600000000000009</v>
      </c>
      <c r="I6" s="7" t="s">
        <v>26</v>
      </c>
      <c r="L6" s="19" t="s">
        <v>39</v>
      </c>
      <c r="M6" s="20" t="s">
        <v>31</v>
      </c>
      <c r="N6" s="20"/>
      <c r="P6" s="21" t="s">
        <v>44</v>
      </c>
      <c r="Q6" s="7">
        <f>'berat akar'!U10</f>
        <v>20.666666666666668</v>
      </c>
      <c r="R6" s="7" t="s">
        <v>37</v>
      </c>
      <c r="S6" s="7">
        <f>'panjang akar'!U10</f>
        <v>16.566666666666666</v>
      </c>
      <c r="T6" s="7" t="s">
        <v>37</v>
      </c>
      <c r="U6" s="20" t="s">
        <v>31</v>
      </c>
      <c r="V6" s="18"/>
    </row>
    <row r="7" spans="1:23" ht="15.5" x14ac:dyDescent="0.35">
      <c r="A7" s="17" t="s">
        <v>34</v>
      </c>
      <c r="B7" s="7">
        <f>'berat basah'!N23</f>
        <v>545.58333333333326</v>
      </c>
      <c r="C7" s="7">
        <f>'berat kering'!N23</f>
        <v>155.28333333333336</v>
      </c>
      <c r="D7" s="7"/>
      <c r="E7" s="21" t="s">
        <v>45</v>
      </c>
      <c r="F7" s="7">
        <f>'berat basah'!G11</f>
        <v>422.33333333333331</v>
      </c>
      <c r="G7" s="7" t="s">
        <v>63</v>
      </c>
      <c r="H7" s="7">
        <f>'berat kering'!G11</f>
        <v>176.73333333333335</v>
      </c>
      <c r="I7" s="7" t="s">
        <v>75</v>
      </c>
      <c r="L7" s="17" t="s">
        <v>34</v>
      </c>
      <c r="M7" s="7">
        <f>'jumlah anakan'!N23</f>
        <v>12.416666666666668</v>
      </c>
      <c r="N7" t="s">
        <v>26</v>
      </c>
      <c r="P7" s="21" t="s">
        <v>45</v>
      </c>
      <c r="Q7" s="7">
        <f>'berat akar'!U11</f>
        <v>38.333333333333336</v>
      </c>
      <c r="R7" s="7" t="s">
        <v>65</v>
      </c>
      <c r="S7" s="7">
        <f>'panjang akar'!U11</f>
        <v>20.933333333333334</v>
      </c>
      <c r="T7" s="7" t="s">
        <v>64</v>
      </c>
      <c r="U7" s="7">
        <f>'berat akar'!N23</f>
        <v>38.666666666666671</v>
      </c>
      <c r="V7" t="s">
        <v>26</v>
      </c>
    </row>
    <row r="8" spans="1:23" ht="15.5" x14ac:dyDescent="0.35">
      <c r="A8" s="17" t="s">
        <v>35</v>
      </c>
      <c r="B8" s="7">
        <f>'berat basah'!N24</f>
        <v>537.5</v>
      </c>
      <c r="C8" s="7">
        <f>'berat kering'!N24</f>
        <v>214.71666666666667</v>
      </c>
      <c r="D8" s="7"/>
      <c r="E8" s="21" t="s">
        <v>46</v>
      </c>
      <c r="F8" s="7">
        <f>'berat basah'!G12</f>
        <v>666.33333333333337</v>
      </c>
      <c r="G8" s="7" t="s">
        <v>69</v>
      </c>
      <c r="H8" s="7">
        <f>'berat kering'!G12</f>
        <v>250.03333333333333</v>
      </c>
      <c r="I8" s="7" t="s">
        <v>70</v>
      </c>
      <c r="L8" s="17" t="s">
        <v>35</v>
      </c>
      <c r="M8" s="7">
        <f>'jumlah anakan'!N24</f>
        <v>10.916666666666666</v>
      </c>
      <c r="N8" t="s">
        <v>26</v>
      </c>
      <c r="P8" s="21" t="s">
        <v>46</v>
      </c>
      <c r="Q8" s="7">
        <f>'berat akar'!U12</f>
        <v>55.333333333333336</v>
      </c>
      <c r="R8" s="7" t="s">
        <v>69</v>
      </c>
      <c r="S8" s="7">
        <f>'panjang akar'!U12</f>
        <v>29.566666666666663</v>
      </c>
      <c r="T8" s="7" t="s">
        <v>69</v>
      </c>
      <c r="U8" s="7">
        <f>'berat akar'!N24</f>
        <v>48.166666666666671</v>
      </c>
      <c r="V8" t="s">
        <v>27</v>
      </c>
    </row>
    <row r="9" spans="1:23" ht="15.5" x14ac:dyDescent="0.35">
      <c r="A9" s="17" t="s">
        <v>36</v>
      </c>
      <c r="B9" s="7">
        <f>'berat basah'!N25</f>
        <v>642</v>
      </c>
      <c r="C9" s="7">
        <f>'berat kering'!N25</f>
        <v>211.22499999999997</v>
      </c>
      <c r="D9" s="7"/>
      <c r="E9" s="21" t="s">
        <v>47</v>
      </c>
      <c r="F9" s="7">
        <f>'berat basah'!G13</f>
        <v>825.33333333333337</v>
      </c>
      <c r="G9" s="7" t="s">
        <v>73</v>
      </c>
      <c r="H9" s="7">
        <f>'berat kering'!G13</f>
        <v>365.5</v>
      </c>
      <c r="I9" s="7" t="s">
        <v>77</v>
      </c>
      <c r="L9" s="17" t="s">
        <v>36</v>
      </c>
      <c r="M9" s="7">
        <f>'jumlah anakan'!N25</f>
        <v>13</v>
      </c>
      <c r="N9" t="s">
        <v>26</v>
      </c>
      <c r="P9" s="21" t="s">
        <v>47</v>
      </c>
      <c r="Q9" s="7">
        <f>'berat akar'!U13</f>
        <v>78.333333333333329</v>
      </c>
      <c r="R9" s="7" t="s">
        <v>74</v>
      </c>
      <c r="S9" s="7">
        <f>'panjang akar'!U13</f>
        <v>30.633333333333336</v>
      </c>
      <c r="T9" s="7" t="s">
        <v>71</v>
      </c>
      <c r="U9" s="7">
        <f>'berat akar'!N25</f>
        <v>55.083333333333329</v>
      </c>
      <c r="V9" t="s">
        <v>37</v>
      </c>
    </row>
    <row r="10" spans="1:23" ht="15.5" x14ac:dyDescent="0.35">
      <c r="A10" s="19" t="s">
        <v>39</v>
      </c>
      <c r="B10" s="18" t="s">
        <v>31</v>
      </c>
      <c r="C10" s="18" t="s">
        <v>31</v>
      </c>
      <c r="D10" s="32"/>
      <c r="E10" s="21" t="s">
        <v>48</v>
      </c>
      <c r="F10" s="7">
        <f>'berat basah'!G14</f>
        <v>318.66666666666669</v>
      </c>
      <c r="G10" s="7" t="s">
        <v>37</v>
      </c>
      <c r="H10" s="7">
        <f>'berat kering'!G14</f>
        <v>74.166666666666671</v>
      </c>
      <c r="I10" s="7" t="s">
        <v>37</v>
      </c>
      <c r="L10" s="19" t="s">
        <v>39</v>
      </c>
      <c r="M10" s="20">
        <f>'jumlah anakan'!N26</f>
        <v>2.1036721140986678</v>
      </c>
      <c r="N10" s="20"/>
      <c r="P10" s="21" t="s">
        <v>48</v>
      </c>
      <c r="Q10" s="7">
        <f>'berat akar'!U14</f>
        <v>13.666666666666666</v>
      </c>
      <c r="R10" s="7" t="s">
        <v>26</v>
      </c>
      <c r="S10" s="7">
        <f>'panjang akar'!U14</f>
        <v>18.966666666666665</v>
      </c>
      <c r="T10" s="7" t="s">
        <v>63</v>
      </c>
      <c r="U10" s="20">
        <f>'berat akar'!N26</f>
        <v>0</v>
      </c>
      <c r="V10" s="18"/>
    </row>
    <row r="11" spans="1:23" x14ac:dyDescent="0.35">
      <c r="E11" s="21" t="s">
        <v>49</v>
      </c>
      <c r="F11" s="7">
        <f>'berat basah'!G15</f>
        <v>569.33333333333337</v>
      </c>
      <c r="G11" s="7" t="s">
        <v>67</v>
      </c>
      <c r="H11" s="7">
        <f>'berat kering'!G15</f>
        <v>183.46666666666667</v>
      </c>
      <c r="I11" s="7" t="s">
        <v>69</v>
      </c>
      <c r="P11" s="21" t="s">
        <v>49</v>
      </c>
      <c r="Q11" s="7">
        <f>'berat akar'!U15</f>
        <v>45</v>
      </c>
      <c r="R11" s="7" t="s">
        <v>67</v>
      </c>
      <c r="S11" s="7">
        <f>'panjang akar'!U15</f>
        <v>25.966666666666669</v>
      </c>
      <c r="T11" s="7" t="s">
        <v>66</v>
      </c>
    </row>
    <row r="12" spans="1:23" x14ac:dyDescent="0.35">
      <c r="E12" s="21" t="s">
        <v>50</v>
      </c>
      <c r="F12" s="7">
        <f>'berat basah'!G16</f>
        <v>716.33333333333337</v>
      </c>
      <c r="G12" s="7" t="s">
        <v>70</v>
      </c>
      <c r="H12" s="7">
        <f>'berat kering'!G16</f>
        <v>236.43333333333331</v>
      </c>
      <c r="I12" s="7" t="s">
        <v>70</v>
      </c>
      <c r="P12" s="21" t="s">
        <v>50</v>
      </c>
      <c r="Q12" s="7">
        <f>'berat akar'!U16</f>
        <v>76</v>
      </c>
      <c r="R12" s="7" t="s">
        <v>73</v>
      </c>
      <c r="S12" s="7">
        <f>'panjang akar'!U16</f>
        <v>27.766666666666666</v>
      </c>
      <c r="T12" s="7" t="s">
        <v>67</v>
      </c>
    </row>
    <row r="13" spans="1:23" x14ac:dyDescent="0.35">
      <c r="E13" s="21" t="s">
        <v>51</v>
      </c>
      <c r="F13" s="7">
        <f>'berat basah'!G17</f>
        <v>963.66666666666663</v>
      </c>
      <c r="G13" s="7" t="s">
        <v>74</v>
      </c>
      <c r="H13" s="7">
        <f>'berat kering'!G17</f>
        <v>350.83333333333331</v>
      </c>
      <c r="I13" s="7" t="s">
        <v>76</v>
      </c>
      <c r="P13" s="21" t="s">
        <v>51</v>
      </c>
      <c r="Q13" s="7">
        <f>'berat akar'!U17</f>
        <v>85.666666666666671</v>
      </c>
      <c r="R13" s="7" t="s">
        <v>74</v>
      </c>
      <c r="S13" s="7">
        <f>'panjang akar'!U17</f>
        <v>40.5</v>
      </c>
      <c r="T13" s="7" t="s">
        <v>74</v>
      </c>
    </row>
    <row r="14" spans="1:23" x14ac:dyDescent="0.35">
      <c r="E14" s="34" t="s">
        <v>39</v>
      </c>
      <c r="F14" s="18">
        <f>'berat basah'!U18</f>
        <v>197.30024620262299</v>
      </c>
      <c r="G14" s="18"/>
      <c r="H14" s="18">
        <f>'berat kering'!U18</f>
        <v>91.403909911587036</v>
      </c>
      <c r="I14" s="18"/>
      <c r="P14" s="34" t="s">
        <v>39</v>
      </c>
      <c r="Q14" s="20">
        <f>'berat akar'!U18</f>
        <v>22.268281299575737</v>
      </c>
      <c r="R14" s="18"/>
      <c r="S14" s="20">
        <f>'panjang akar'!U18</f>
        <v>10.538141393151445</v>
      </c>
      <c r="T14" s="18"/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berat basah</vt:lpstr>
      <vt:lpstr>berat kering</vt:lpstr>
      <vt:lpstr>jumlah anakan</vt:lpstr>
      <vt:lpstr>berat akar</vt:lpstr>
      <vt:lpstr>panjang akar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ryu</dc:creator>
  <cp:lastModifiedBy>user</cp:lastModifiedBy>
  <dcterms:created xsi:type="dcterms:W3CDTF">2015-05-12T14:29:47Z</dcterms:created>
  <dcterms:modified xsi:type="dcterms:W3CDTF">2023-09-20T00:13:35Z</dcterms:modified>
</cp:coreProperties>
</file>