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Skripsi Muti\File Mutiara\"/>
    </mc:Choice>
  </mc:AlternateContent>
  <bookViews>
    <workbookView xWindow="0" yWindow="0" windowWidth="15345" windowHeight="4545"/>
  </bookViews>
  <sheets>
    <sheet name="35HST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5" i="1" l="1"/>
  <c r="J32" i="1" l="1"/>
  <c r="J41" i="1" l="1"/>
  <c r="J42" i="1" l="1"/>
  <c r="J44" i="1" l="1"/>
  <c r="J43" i="1"/>
  <c r="J50" i="1"/>
  <c r="J49" i="1"/>
  <c r="J48" i="1"/>
  <c r="J47" i="1"/>
  <c r="Q10" i="1" l="1"/>
  <c r="D30" i="1" s="1"/>
  <c r="I33" i="1" l="1"/>
  <c r="I30" i="1"/>
  <c r="I29" i="1"/>
  <c r="I28" i="1"/>
  <c r="I27" i="1"/>
  <c r="I31" i="1" l="1"/>
  <c r="I32" i="1"/>
  <c r="N30" i="1" s="1"/>
  <c r="N27" i="1"/>
  <c r="O27" i="1"/>
  <c r="E14" i="1"/>
  <c r="B28" i="1" s="1"/>
  <c r="Q16" i="1"/>
  <c r="D32" i="1" s="1"/>
  <c r="K16" i="1"/>
  <c r="C24" i="1" s="1"/>
  <c r="E16" i="1"/>
  <c r="B29" i="1" s="1"/>
  <c r="Q15" i="1"/>
  <c r="D29" i="1" s="1"/>
  <c r="K15" i="1"/>
  <c r="C27" i="1" s="1"/>
  <c r="E15" i="1"/>
  <c r="B22" i="1" s="1"/>
  <c r="Q14" i="1"/>
  <c r="D22" i="1" s="1"/>
  <c r="K14" i="1"/>
  <c r="C26" i="1" s="1"/>
  <c r="Q13" i="1"/>
  <c r="D26" i="1" s="1"/>
  <c r="K13" i="1"/>
  <c r="C28" i="1" s="1"/>
  <c r="E13" i="1"/>
  <c r="B30" i="1" s="1"/>
  <c r="Q12" i="1"/>
  <c r="D25" i="1" s="1"/>
  <c r="K12" i="1"/>
  <c r="C23" i="1" s="1"/>
  <c r="E12" i="1"/>
  <c r="B27" i="1" s="1"/>
  <c r="Q11" i="1"/>
  <c r="D23" i="1" s="1"/>
  <c r="K11" i="1"/>
  <c r="C33" i="1" s="1"/>
  <c r="E11" i="1"/>
  <c r="B26" i="1" s="1"/>
  <c r="K10" i="1"/>
  <c r="C25" i="1" s="1"/>
  <c r="E10" i="1"/>
  <c r="B32" i="1" s="1"/>
  <c r="Q9" i="1"/>
  <c r="D28" i="1" s="1"/>
  <c r="K9" i="1"/>
  <c r="C29" i="1" s="1"/>
  <c r="E9" i="1"/>
  <c r="B25" i="1" s="1"/>
  <c r="Q8" i="1"/>
  <c r="D24" i="1" s="1"/>
  <c r="K8" i="1"/>
  <c r="C22" i="1" s="1"/>
  <c r="E8" i="1"/>
  <c r="B33" i="1" s="1"/>
  <c r="Q7" i="1"/>
  <c r="D27" i="1" s="1"/>
  <c r="K7" i="1"/>
  <c r="C32" i="1" s="1"/>
  <c r="E7" i="1"/>
  <c r="B24" i="1" s="1"/>
  <c r="Q6" i="1"/>
  <c r="D31" i="1" s="1"/>
  <c r="K6" i="1"/>
  <c r="C31" i="1" s="1"/>
  <c r="E6" i="1"/>
  <c r="B23" i="1" s="1"/>
  <c r="Q5" i="1"/>
  <c r="D33" i="1" s="1"/>
  <c r="K5" i="1"/>
  <c r="C30" i="1" s="1"/>
  <c r="E5" i="1"/>
  <c r="B31" i="1" s="1"/>
  <c r="E26" i="1" l="1"/>
  <c r="B41" i="1" s="1"/>
  <c r="N29" i="1"/>
  <c r="N31" i="1"/>
  <c r="E31" i="1"/>
  <c r="E23" i="1"/>
  <c r="C40" i="1" s="1"/>
  <c r="E22" i="1"/>
  <c r="B40" i="1" s="1"/>
  <c r="E28" i="1"/>
  <c r="E27" i="1"/>
  <c r="E32" i="1"/>
  <c r="E29" i="1"/>
  <c r="E41" i="1" s="1"/>
  <c r="E33" i="1"/>
  <c r="E42" i="1" s="1"/>
  <c r="E25" i="1"/>
  <c r="E40" i="1" s="1"/>
  <c r="D35" i="1"/>
  <c r="D34" i="1"/>
  <c r="B34" i="1"/>
  <c r="B35" i="1" s="1"/>
  <c r="E24" i="1"/>
  <c r="E30" i="1"/>
  <c r="C35" i="1"/>
  <c r="C34" i="1"/>
  <c r="O28" i="1"/>
  <c r="O30" i="1"/>
  <c r="N28" i="1"/>
  <c r="O29" i="1"/>
  <c r="O31" i="1"/>
  <c r="D42" i="1"/>
  <c r="C42" i="1"/>
  <c r="D41" i="1"/>
  <c r="C41" i="1"/>
  <c r="F26" i="1"/>
  <c r="F24" i="1"/>
  <c r="F23" i="1"/>
  <c r="F28" i="1"/>
  <c r="F33" i="1"/>
  <c r="F32" i="1"/>
  <c r="F31" i="1"/>
  <c r="F30" i="1"/>
  <c r="F29" i="1"/>
  <c r="F27" i="1"/>
  <c r="F25" i="1"/>
  <c r="D40" i="1"/>
  <c r="F22" i="1"/>
  <c r="E43" i="1" l="1"/>
  <c r="E44" i="1" s="1"/>
  <c r="E34" i="1"/>
  <c r="I23" i="1" s="1"/>
  <c r="B42" i="1"/>
  <c r="F42" i="1" s="1"/>
  <c r="D43" i="1"/>
  <c r="D44" i="1" s="1"/>
  <c r="C43" i="1"/>
  <c r="C44" i="1" s="1"/>
  <c r="F41" i="1"/>
  <c r="G41" i="1" s="1"/>
  <c r="F40" i="1"/>
  <c r="F34" i="1"/>
  <c r="F35" i="1"/>
  <c r="D45" i="1" l="1"/>
  <c r="C45" i="1"/>
  <c r="J29" i="1"/>
  <c r="K29" i="1" s="1"/>
  <c r="G42" i="1"/>
  <c r="J28" i="1"/>
  <c r="K28" i="1" s="1"/>
  <c r="J33" i="1"/>
  <c r="B43" i="1"/>
  <c r="F43" i="1"/>
  <c r="G40" i="1"/>
  <c r="J27" i="1"/>
  <c r="K27" i="1" s="1"/>
  <c r="B44" i="1" l="1"/>
  <c r="J30" i="1"/>
  <c r="K30" i="1" s="1"/>
  <c r="B45" i="1" l="1"/>
  <c r="J31" i="1"/>
  <c r="K31" i="1" s="1"/>
  <c r="K32" i="1"/>
  <c r="J35" i="1" l="1"/>
  <c r="L31" i="1"/>
  <c r="M31" i="1" s="1"/>
  <c r="L28" i="1"/>
  <c r="M28" i="1" s="1"/>
  <c r="L30" i="1"/>
  <c r="M30" i="1" s="1"/>
  <c r="L27" i="1"/>
  <c r="M27" i="1" s="1"/>
  <c r="L29" i="1"/>
  <c r="M29" i="1" s="1"/>
  <c r="M45" i="1" l="1"/>
  <c r="M44" i="1"/>
</calcChain>
</file>

<file path=xl/sharedStrings.xml><?xml version="1.0" encoding="utf-8"?>
<sst xmlns="http://schemas.openxmlformats.org/spreadsheetml/2006/main" count="123" uniqueCount="68">
  <si>
    <t>Perlakuan</t>
  </si>
  <si>
    <t>Ulangan 1</t>
  </si>
  <si>
    <t>Rata-rata</t>
  </si>
  <si>
    <t>Ulangan 2</t>
  </si>
  <si>
    <t>Ulangan 3</t>
  </si>
  <si>
    <t>Rata-rata Tinggi Tanaman Selada Hijau Umur 7 HST</t>
  </si>
  <si>
    <t>Tabel Anova RAK Faktorial</t>
  </si>
  <si>
    <t>Ulangan</t>
  </si>
  <si>
    <t>Jumlah</t>
  </si>
  <si>
    <t>Rata²</t>
  </si>
  <si>
    <t>I</t>
  </si>
  <si>
    <t>II</t>
  </si>
  <si>
    <t>III</t>
  </si>
  <si>
    <t>r</t>
  </si>
  <si>
    <t>Fk</t>
  </si>
  <si>
    <t>Analisis Ragam</t>
  </si>
  <si>
    <t>SK</t>
  </si>
  <si>
    <t>db</t>
  </si>
  <si>
    <t>JK</t>
  </si>
  <si>
    <t>KT</t>
  </si>
  <si>
    <t>Fhitung</t>
  </si>
  <si>
    <t>F 5%</t>
  </si>
  <si>
    <t>F 1%</t>
  </si>
  <si>
    <t>kelompok</t>
  </si>
  <si>
    <t>perlakuan</t>
  </si>
  <si>
    <t>Galat</t>
  </si>
  <si>
    <t xml:space="preserve">total </t>
  </si>
  <si>
    <t>Total</t>
  </si>
  <si>
    <t xml:space="preserve">Tabel dua arah </t>
  </si>
  <si>
    <t>Rerata</t>
  </si>
  <si>
    <t>ab</t>
  </si>
  <si>
    <t>a</t>
  </si>
  <si>
    <t>sd(4;22)</t>
  </si>
  <si>
    <t>BNJ</t>
  </si>
  <si>
    <t>b</t>
  </si>
  <si>
    <t>Rataan</t>
  </si>
  <si>
    <t>J3P2</t>
  </si>
  <si>
    <t>J1P2</t>
  </si>
  <si>
    <t>J1P3</t>
  </si>
  <si>
    <t>J3P4</t>
  </si>
  <si>
    <t>J1P4</t>
  </si>
  <si>
    <t>J3P3</t>
  </si>
  <si>
    <t>J2P1</t>
  </si>
  <si>
    <t>J2P2</t>
  </si>
  <si>
    <t>J3P1</t>
  </si>
  <si>
    <t>J2P3</t>
  </si>
  <si>
    <t>J1P1</t>
  </si>
  <si>
    <t>J2P4</t>
  </si>
  <si>
    <t>Pengamatan Berat Ekonomis Kenikir Umur 35 HST</t>
  </si>
  <si>
    <t>P</t>
  </si>
  <si>
    <t>J</t>
  </si>
  <si>
    <t>PJ</t>
  </si>
  <si>
    <t>P1</t>
  </si>
  <si>
    <t>P2</t>
  </si>
  <si>
    <t>P3</t>
  </si>
  <si>
    <t>P4</t>
  </si>
  <si>
    <t>J1</t>
  </si>
  <si>
    <t>J2</t>
  </si>
  <si>
    <t>J3</t>
  </si>
  <si>
    <t>rata-rata</t>
  </si>
  <si>
    <t>p1</t>
  </si>
  <si>
    <t>p2</t>
  </si>
  <si>
    <t>p3</t>
  </si>
  <si>
    <t>p4</t>
  </si>
  <si>
    <t>BNJ 5%</t>
  </si>
  <si>
    <t>sd(3;22)</t>
  </si>
  <si>
    <t xml:space="preserve">Perlakuan </t>
  </si>
  <si>
    <t>rerata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</si>
</sst>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"/>
    <numFmt numFmtId="166" formatCode="#,##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48">
    <xf numFmtId="0" fontId="0" fillId="0" borderId="0" xfId="0"/>
    <xf numFmtId="0" fontId="0" fillId="0" borderId="0" xfId="0" applyBorder="1"/>
    <xf numFmtId="0" fontId="0" fillId="0" borderId="6" xfId="0" applyBorder="1"/>
    <xf numFmtId="0" fontId="0" fillId="0" borderId="6" xfId="0" applyFont="1" applyBorder="1"/>
    <xf numFmtId="0" fontId="0" fillId="2" borderId="6" xfId="0" applyFill="1" applyBorder="1"/>
    <xf numFmtId="0" fontId="1" fillId="0" borderId="0" xfId="0" applyFont="1"/>
    <xf numFmtId="0" fontId="3" fillId="2" borderId="6" xfId="1" applyFont="1" applyFill="1" applyBorder="1" applyAlignment="1">
      <alignment horizontal="center"/>
    </xf>
    <xf numFmtId="4" fontId="0" fillId="0" borderId="6" xfId="0" applyNumberFormat="1" applyBorder="1"/>
    <xf numFmtId="4" fontId="0" fillId="0" borderId="0" xfId="0" applyNumberFormat="1"/>
    <xf numFmtId="4" fontId="0" fillId="0" borderId="6" xfId="0" applyNumberFormat="1" applyFont="1" applyBorder="1"/>
    <xf numFmtId="0" fontId="0" fillId="0" borderId="6" xfId="0" applyFill="1" applyBorder="1"/>
    <xf numFmtId="164" fontId="0" fillId="3" borderId="6" xfId="0" applyNumberFormat="1" applyFill="1" applyBorder="1"/>
    <xf numFmtId="0" fontId="0" fillId="3" borderId="6" xfId="0" applyFill="1" applyBorder="1"/>
    <xf numFmtId="0" fontId="1" fillId="0" borderId="6" xfId="0" applyFont="1" applyFill="1" applyBorder="1"/>
    <xf numFmtId="0" fontId="0" fillId="0" borderId="0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165" fontId="0" fillId="0" borderId="0" xfId="0" applyNumberFormat="1"/>
    <xf numFmtId="0" fontId="0" fillId="0" borderId="0" xfId="0" applyFill="1" applyBorder="1" applyAlignment="1">
      <alignment horizontal="center"/>
    </xf>
    <xf numFmtId="0" fontId="0" fillId="2" borderId="6" xfId="0" applyFont="1" applyFill="1" applyBorder="1" applyAlignment="1">
      <alignment vertical="center"/>
    </xf>
    <xf numFmtId="166" fontId="0" fillId="0" borderId="6" xfId="0" applyNumberFormat="1" applyBorder="1"/>
    <xf numFmtId="4" fontId="0" fillId="4" borderId="6" xfId="0" applyNumberFormat="1" applyFill="1" applyBorder="1" applyAlignment="1">
      <alignment horizontal="left"/>
    </xf>
    <xf numFmtId="4" fontId="0" fillId="4" borderId="6" xfId="0" applyNumberFormat="1" applyFill="1" applyBorder="1" applyAlignment="1">
      <alignment horizontal="center"/>
    </xf>
    <xf numFmtId="2" fontId="0" fillId="0" borderId="6" xfId="0" applyNumberFormat="1" applyBorder="1"/>
    <xf numFmtId="2" fontId="0" fillId="0" borderId="0" xfId="0" applyNumberFormat="1"/>
    <xf numFmtId="2" fontId="0" fillId="3" borderId="6" xfId="0" applyNumberFormat="1" applyFill="1" applyBorder="1"/>
    <xf numFmtId="2" fontId="0" fillId="0" borderId="0" xfId="0" applyNumberFormat="1" applyBorder="1"/>
    <xf numFmtId="2" fontId="0" fillId="5" borderId="0" xfId="0" applyNumberFormat="1" applyFont="1" applyFill="1" applyAlignment="1">
      <alignment horizontal="left"/>
    </xf>
    <xf numFmtId="0" fontId="0" fillId="0" borderId="0" xfId="0" applyFont="1"/>
    <xf numFmtId="165" fontId="0" fillId="0" borderId="6" xfId="0" applyNumberFormat="1" applyBorder="1"/>
    <xf numFmtId="0" fontId="0" fillId="5" borderId="0" xfId="0" applyFont="1" applyFill="1" applyAlignment="1">
      <alignment horizontal="left"/>
    </xf>
    <xf numFmtId="0" fontId="0" fillId="5" borderId="0" xfId="0" applyFill="1"/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/>
    </xf>
    <xf numFmtId="0" fontId="0" fillId="2" borderId="3" xfId="0" applyFont="1" applyFill="1" applyBorder="1" applyAlignment="1">
      <alignment horizontal="center"/>
    </xf>
    <xf numFmtId="0" fontId="0" fillId="2" borderId="4" xfId="0" applyFont="1" applyFill="1" applyBorder="1" applyAlignment="1">
      <alignment horizontal="center"/>
    </xf>
    <xf numFmtId="0" fontId="0" fillId="2" borderId="6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2" borderId="6" xfId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horizontal="center"/>
    </xf>
    <xf numFmtId="0" fontId="3" fillId="2" borderId="1" xfId="1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51"/>
  <sheetViews>
    <sheetView tabSelected="1" topLeftCell="A26" zoomScale="80" zoomScaleNormal="80" workbookViewId="0">
      <selection activeCell="K44" sqref="K44"/>
    </sheetView>
  </sheetViews>
  <sheetFormatPr defaultRowHeight="15" x14ac:dyDescent="0.25"/>
  <cols>
    <col min="5" max="5" width="13.28515625" customWidth="1"/>
    <col min="6" max="6" width="11.140625" customWidth="1"/>
    <col min="10" max="10" width="14.85546875" customWidth="1"/>
    <col min="11" max="11" width="12.85546875" bestFit="1" customWidth="1"/>
    <col min="12" max="12" width="9.85546875" bestFit="1" customWidth="1"/>
    <col min="14" max="15" width="9.85546875" bestFit="1" customWidth="1"/>
  </cols>
  <sheetData>
    <row r="2" spans="1:18" x14ac:dyDescent="0.25">
      <c r="A2" t="s">
        <v>48</v>
      </c>
    </row>
    <row r="3" spans="1:18" x14ac:dyDescent="0.25">
      <c r="A3" s="37" t="s">
        <v>0</v>
      </c>
      <c r="B3" s="39" t="s">
        <v>1</v>
      </c>
      <c r="C3" s="40"/>
      <c r="D3" s="41"/>
      <c r="E3" s="37" t="s">
        <v>2</v>
      </c>
      <c r="G3" s="37" t="s">
        <v>0</v>
      </c>
      <c r="H3" s="34" t="s">
        <v>3</v>
      </c>
      <c r="I3" s="35"/>
      <c r="J3" s="36"/>
      <c r="K3" s="37" t="s">
        <v>2</v>
      </c>
      <c r="L3" s="1"/>
      <c r="M3" s="37" t="s">
        <v>0</v>
      </c>
      <c r="N3" s="34" t="s">
        <v>4</v>
      </c>
      <c r="O3" s="35"/>
      <c r="P3" s="36"/>
      <c r="Q3" s="37" t="s">
        <v>2</v>
      </c>
    </row>
    <row r="4" spans="1:18" x14ac:dyDescent="0.25">
      <c r="A4" s="38"/>
      <c r="B4" s="4">
        <v>1</v>
      </c>
      <c r="C4" s="4">
        <v>2</v>
      </c>
      <c r="D4" s="4">
        <v>3</v>
      </c>
      <c r="E4" s="38"/>
      <c r="G4" s="38"/>
      <c r="H4" s="4">
        <v>1</v>
      </c>
      <c r="I4" s="4">
        <v>2</v>
      </c>
      <c r="J4" s="4">
        <v>3</v>
      </c>
      <c r="K4" s="38"/>
      <c r="L4" s="1"/>
      <c r="M4" s="38"/>
      <c r="N4" s="4">
        <v>1</v>
      </c>
      <c r="O4" s="4">
        <v>2</v>
      </c>
      <c r="P4" s="4">
        <v>3</v>
      </c>
      <c r="Q4" s="38"/>
    </row>
    <row r="5" spans="1:18" x14ac:dyDescent="0.25">
      <c r="A5" s="2" t="s">
        <v>36</v>
      </c>
      <c r="B5" s="2">
        <v>111.9</v>
      </c>
      <c r="C5" s="2">
        <v>117.5</v>
      </c>
      <c r="D5" s="3">
        <v>106.9</v>
      </c>
      <c r="E5" s="25">
        <f>AVERAGE(B5:D5)</f>
        <v>112.10000000000001</v>
      </c>
      <c r="G5" s="2" t="s">
        <v>44</v>
      </c>
      <c r="H5" s="3">
        <v>77.400000000000006</v>
      </c>
      <c r="I5" s="2">
        <v>80.400000000000006</v>
      </c>
      <c r="J5" s="2">
        <v>100.3</v>
      </c>
      <c r="K5" s="25">
        <f>AVERAGE(H5:J5)</f>
        <v>86.033333333333346</v>
      </c>
      <c r="L5" s="28"/>
      <c r="M5" s="2" t="s">
        <v>39</v>
      </c>
      <c r="N5" s="3"/>
      <c r="O5" s="2">
        <v>96.3</v>
      </c>
      <c r="P5" s="2">
        <v>98.4</v>
      </c>
      <c r="Q5" s="25">
        <f>AVERAGE(N5:P5)</f>
        <v>97.35</v>
      </c>
      <c r="R5" s="26"/>
    </row>
    <row r="6" spans="1:18" x14ac:dyDescent="0.25">
      <c r="A6" s="2" t="s">
        <v>37</v>
      </c>
      <c r="B6" s="2">
        <v>90.3</v>
      </c>
      <c r="C6" s="2">
        <v>114.3</v>
      </c>
      <c r="D6" s="2">
        <v>80.7</v>
      </c>
      <c r="E6" s="25">
        <f t="shared" ref="E6:E16" si="0">AVERAGE(B6:D6)</f>
        <v>95.100000000000009</v>
      </c>
      <c r="G6" s="2" t="s">
        <v>36</v>
      </c>
      <c r="H6" s="2">
        <v>90.3</v>
      </c>
      <c r="I6" s="2">
        <v>50.3</v>
      </c>
      <c r="J6" s="2"/>
      <c r="K6" s="25">
        <f t="shared" ref="K6:K16" si="1">AVERAGE(H6:J6)</f>
        <v>70.3</v>
      </c>
      <c r="L6" s="28"/>
      <c r="M6" s="2" t="s">
        <v>36</v>
      </c>
      <c r="N6" s="2">
        <v>46.3</v>
      </c>
      <c r="O6" s="2">
        <v>50.2</v>
      </c>
      <c r="P6" s="2">
        <v>40.299999999999997</v>
      </c>
      <c r="Q6" s="25">
        <f t="shared" ref="Q6:Q16" si="2">AVERAGE(N6:P6)</f>
        <v>45.6</v>
      </c>
      <c r="R6" s="26"/>
    </row>
    <row r="7" spans="1:18" x14ac:dyDescent="0.25">
      <c r="A7" s="2" t="s">
        <v>38</v>
      </c>
      <c r="B7" s="2">
        <v>70.099999999999994</v>
      </c>
      <c r="C7" s="3">
        <v>44.3</v>
      </c>
      <c r="D7" s="2">
        <v>60.8</v>
      </c>
      <c r="E7" s="25">
        <f t="shared" si="0"/>
        <v>58.4</v>
      </c>
      <c r="G7" s="2" t="s">
        <v>41</v>
      </c>
      <c r="H7" s="2">
        <v>60.3</v>
      </c>
      <c r="I7" s="2">
        <v>50.3</v>
      </c>
      <c r="J7" s="2">
        <v>90.2</v>
      </c>
      <c r="K7" s="25">
        <f t="shared" si="1"/>
        <v>66.933333333333337</v>
      </c>
      <c r="L7" s="28"/>
      <c r="M7" s="2" t="s">
        <v>43</v>
      </c>
      <c r="N7" s="3">
        <v>80.099999999999994</v>
      </c>
      <c r="O7" s="2">
        <v>75.099999999999994</v>
      </c>
      <c r="P7" s="2">
        <v>71.3</v>
      </c>
      <c r="Q7" s="25">
        <f t="shared" si="2"/>
        <v>75.5</v>
      </c>
      <c r="R7" s="26"/>
    </row>
    <row r="8" spans="1:18" x14ac:dyDescent="0.25">
      <c r="A8" s="2" t="s">
        <v>39</v>
      </c>
      <c r="B8" s="2">
        <v>93.3</v>
      </c>
      <c r="C8" s="2"/>
      <c r="D8" s="2">
        <v>91.4</v>
      </c>
      <c r="E8" s="25">
        <f t="shared" si="0"/>
        <v>92.35</v>
      </c>
      <c r="G8" s="3" t="s">
        <v>46</v>
      </c>
      <c r="H8" s="2">
        <v>25.1</v>
      </c>
      <c r="I8" s="2">
        <v>55.3</v>
      </c>
      <c r="J8" s="2">
        <v>25.3</v>
      </c>
      <c r="K8" s="25">
        <f t="shared" si="1"/>
        <v>35.233333333333334</v>
      </c>
      <c r="L8" s="28"/>
      <c r="M8" s="2" t="s">
        <v>38</v>
      </c>
      <c r="N8" s="2">
        <v>40.299999999999997</v>
      </c>
      <c r="O8" s="2">
        <v>20.399999999999999</v>
      </c>
      <c r="P8" s="2">
        <v>36.6</v>
      </c>
      <c r="Q8" s="25">
        <f t="shared" si="2"/>
        <v>32.43333333333333</v>
      </c>
      <c r="R8" s="26"/>
    </row>
    <row r="9" spans="1:18" x14ac:dyDescent="0.25">
      <c r="A9" s="2" t="s">
        <v>40</v>
      </c>
      <c r="B9" s="2">
        <v>94.3</v>
      </c>
      <c r="C9" s="2"/>
      <c r="D9" s="2"/>
      <c r="E9" s="25">
        <f t="shared" si="0"/>
        <v>94.3</v>
      </c>
      <c r="G9" s="2" t="s">
        <v>47</v>
      </c>
      <c r="H9" s="2">
        <v>95.3</v>
      </c>
      <c r="I9" s="2"/>
      <c r="J9" s="2"/>
      <c r="K9" s="25">
        <f t="shared" si="1"/>
        <v>95.3</v>
      </c>
      <c r="L9" s="28"/>
      <c r="M9" s="2" t="s">
        <v>45</v>
      </c>
      <c r="N9" s="2">
        <v>72.400000000000006</v>
      </c>
      <c r="O9" s="2">
        <v>71.7</v>
      </c>
      <c r="P9" s="2">
        <v>50.4</v>
      </c>
      <c r="Q9" s="25">
        <f t="shared" si="2"/>
        <v>64.833333333333343</v>
      </c>
      <c r="R9" s="26"/>
    </row>
    <row r="10" spans="1:18" x14ac:dyDescent="0.25">
      <c r="A10" s="2" t="s">
        <v>41</v>
      </c>
      <c r="B10" s="2">
        <v>95.4</v>
      </c>
      <c r="C10" s="2">
        <v>80.400000000000006</v>
      </c>
      <c r="D10" s="2">
        <v>77.400000000000006</v>
      </c>
      <c r="E10" s="25">
        <f t="shared" si="0"/>
        <v>84.4</v>
      </c>
      <c r="G10" s="2" t="s">
        <v>40</v>
      </c>
      <c r="H10" s="2"/>
      <c r="I10" s="2">
        <v>90.2</v>
      </c>
      <c r="J10" s="2"/>
      <c r="K10" s="25">
        <f t="shared" si="1"/>
        <v>90.2</v>
      </c>
      <c r="L10" s="28"/>
      <c r="M10" s="2" t="s">
        <v>44</v>
      </c>
      <c r="N10" s="2">
        <v>20.6</v>
      </c>
      <c r="O10" s="2"/>
      <c r="P10" s="2">
        <v>30.9</v>
      </c>
      <c r="Q10" s="25">
        <f>AVERAGE(N10:P10)</f>
        <v>25.75</v>
      </c>
      <c r="R10" s="26"/>
    </row>
    <row r="11" spans="1:18" x14ac:dyDescent="0.25">
      <c r="A11" s="2" t="s">
        <v>42</v>
      </c>
      <c r="B11" s="2">
        <v>95.4</v>
      </c>
      <c r="C11" s="2">
        <v>78.900000000000006</v>
      </c>
      <c r="D11" s="2">
        <v>80.2</v>
      </c>
      <c r="E11" s="25">
        <f t="shared" si="0"/>
        <v>84.833333333333329</v>
      </c>
      <c r="G11" s="2" t="s">
        <v>39</v>
      </c>
      <c r="H11" s="2">
        <v>99.2</v>
      </c>
      <c r="I11" s="2"/>
      <c r="J11" s="2"/>
      <c r="K11" s="25">
        <f t="shared" si="1"/>
        <v>99.2</v>
      </c>
      <c r="L11" s="28"/>
      <c r="M11" s="2" t="s">
        <v>37</v>
      </c>
      <c r="N11" s="2">
        <v>40.5</v>
      </c>
      <c r="O11" s="2">
        <v>70.7</v>
      </c>
      <c r="P11" s="2">
        <v>45.3</v>
      </c>
      <c r="Q11" s="25">
        <f t="shared" si="2"/>
        <v>52.166666666666664</v>
      </c>
      <c r="R11" s="26"/>
    </row>
    <row r="12" spans="1:18" x14ac:dyDescent="0.25">
      <c r="A12" s="2" t="s">
        <v>43</v>
      </c>
      <c r="B12" s="2">
        <v>75.400000000000006</v>
      </c>
      <c r="C12" s="2">
        <v>60.4</v>
      </c>
      <c r="D12" s="2">
        <v>41.3</v>
      </c>
      <c r="E12" s="25">
        <f t="shared" si="0"/>
        <v>59.033333333333339</v>
      </c>
      <c r="G12" s="2" t="s">
        <v>37</v>
      </c>
      <c r="H12" s="2">
        <v>71.3</v>
      </c>
      <c r="I12" s="2">
        <v>75.5</v>
      </c>
      <c r="J12" s="2">
        <v>79.5</v>
      </c>
      <c r="K12" s="25">
        <f t="shared" si="1"/>
        <v>75.433333333333337</v>
      </c>
      <c r="L12" s="28"/>
      <c r="M12" s="2" t="s">
        <v>40</v>
      </c>
      <c r="N12" s="2"/>
      <c r="O12" s="2">
        <v>93.8</v>
      </c>
      <c r="P12" s="2"/>
      <c r="Q12" s="25">
        <f t="shared" si="2"/>
        <v>93.8</v>
      </c>
      <c r="R12" s="26"/>
    </row>
    <row r="13" spans="1:18" x14ac:dyDescent="0.25">
      <c r="A13" s="2" t="s">
        <v>44</v>
      </c>
      <c r="B13" s="2">
        <v>32.5</v>
      </c>
      <c r="C13" s="2">
        <v>79.400000000000006</v>
      </c>
      <c r="D13" s="2">
        <v>43.1</v>
      </c>
      <c r="E13" s="25">
        <f t="shared" si="0"/>
        <v>51.666666666666664</v>
      </c>
      <c r="G13" s="2" t="s">
        <v>45</v>
      </c>
      <c r="H13" s="2">
        <v>90.2</v>
      </c>
      <c r="I13" s="2">
        <v>94.5</v>
      </c>
      <c r="J13" s="2">
        <v>80.099999999999994</v>
      </c>
      <c r="K13" s="25">
        <f t="shared" si="1"/>
        <v>88.266666666666652</v>
      </c>
      <c r="L13" s="28"/>
      <c r="M13" s="2" t="s">
        <v>42</v>
      </c>
      <c r="N13" s="2"/>
      <c r="O13" s="2">
        <v>72.8</v>
      </c>
      <c r="P13" s="2">
        <v>42.2</v>
      </c>
      <c r="Q13" s="25">
        <f t="shared" si="2"/>
        <v>57.5</v>
      </c>
      <c r="R13" s="26"/>
    </row>
    <row r="14" spans="1:18" x14ac:dyDescent="0.25">
      <c r="A14" s="2" t="s">
        <v>45</v>
      </c>
      <c r="B14" s="2">
        <v>87.5</v>
      </c>
      <c r="C14" s="2">
        <v>80.3</v>
      </c>
      <c r="D14" s="2">
        <v>76.400000000000006</v>
      </c>
      <c r="E14" s="25">
        <f t="shared" si="0"/>
        <v>81.400000000000006</v>
      </c>
      <c r="G14" s="2" t="s">
        <v>42</v>
      </c>
      <c r="H14" s="2">
        <v>80.099999999999994</v>
      </c>
      <c r="I14" s="2">
        <v>73.400000000000006</v>
      </c>
      <c r="J14" s="2">
        <v>93.3</v>
      </c>
      <c r="K14" s="25">
        <f t="shared" si="1"/>
        <v>82.266666666666666</v>
      </c>
      <c r="L14" s="28"/>
      <c r="M14" s="2" t="s">
        <v>46</v>
      </c>
      <c r="N14" s="2">
        <v>40.200000000000003</v>
      </c>
      <c r="O14" s="2">
        <v>43.7</v>
      </c>
      <c r="P14" s="2">
        <v>44.9</v>
      </c>
      <c r="Q14" s="25">
        <f t="shared" si="2"/>
        <v>42.933333333333337</v>
      </c>
      <c r="R14" s="26"/>
    </row>
    <row r="15" spans="1:18" x14ac:dyDescent="0.25">
      <c r="A15" s="2" t="s">
        <v>46</v>
      </c>
      <c r="B15" s="2">
        <v>51.3</v>
      </c>
      <c r="C15" s="2">
        <v>80.3</v>
      </c>
      <c r="D15" s="2">
        <v>72.3</v>
      </c>
      <c r="E15" s="25">
        <f t="shared" si="0"/>
        <v>67.966666666666654</v>
      </c>
      <c r="G15" s="2" t="s">
        <v>43</v>
      </c>
      <c r="H15" s="2">
        <v>91.2</v>
      </c>
      <c r="I15" s="2">
        <v>98.1</v>
      </c>
      <c r="J15" s="2">
        <v>74.400000000000006</v>
      </c>
      <c r="K15" s="25">
        <f t="shared" si="1"/>
        <v>87.90000000000002</v>
      </c>
      <c r="L15" s="28"/>
      <c r="M15" s="2" t="s">
        <v>47</v>
      </c>
      <c r="N15" s="2">
        <v>61</v>
      </c>
      <c r="O15" s="2">
        <v>55.5</v>
      </c>
      <c r="P15" s="2">
        <v>45.8</v>
      </c>
      <c r="Q15" s="25">
        <f t="shared" si="2"/>
        <v>54.1</v>
      </c>
      <c r="R15" s="26"/>
    </row>
    <row r="16" spans="1:18" x14ac:dyDescent="0.25">
      <c r="A16" s="2" t="s">
        <v>47</v>
      </c>
      <c r="B16" s="2"/>
      <c r="C16" s="2">
        <v>100.4</v>
      </c>
      <c r="D16" s="2">
        <v>102.4</v>
      </c>
      <c r="E16" s="25">
        <f t="shared" si="0"/>
        <v>101.4</v>
      </c>
      <c r="G16" s="2" t="s">
        <v>38</v>
      </c>
      <c r="H16" s="2">
        <v>72.2</v>
      </c>
      <c r="I16" s="2">
        <v>64.400000000000006</v>
      </c>
      <c r="J16" s="2">
        <v>77.599999999999994</v>
      </c>
      <c r="K16" s="25">
        <f t="shared" si="1"/>
        <v>71.400000000000006</v>
      </c>
      <c r="L16" s="28"/>
      <c r="M16" s="2" t="s">
        <v>41</v>
      </c>
      <c r="N16" s="2">
        <v>41.1</v>
      </c>
      <c r="O16" s="2">
        <v>44.8</v>
      </c>
      <c r="P16" s="2">
        <v>44.5</v>
      </c>
      <c r="Q16" s="25">
        <f t="shared" si="2"/>
        <v>43.466666666666669</v>
      </c>
      <c r="R16" s="26"/>
    </row>
    <row r="17" spans="1:16" x14ac:dyDescent="0.25">
      <c r="K17" s="26"/>
      <c r="L17" s="26"/>
    </row>
    <row r="19" spans="1:16" x14ac:dyDescent="0.25">
      <c r="A19" s="43" t="s">
        <v>5</v>
      </c>
      <c r="B19" s="43"/>
      <c r="C19" s="43"/>
      <c r="D19" s="43"/>
      <c r="E19" s="43"/>
      <c r="H19" s="5" t="s">
        <v>6</v>
      </c>
    </row>
    <row r="20" spans="1:16" ht="15.75" x14ac:dyDescent="0.25">
      <c r="A20" s="44" t="s">
        <v>0</v>
      </c>
      <c r="B20" s="45" t="s">
        <v>7</v>
      </c>
      <c r="C20" s="45"/>
      <c r="D20" s="45"/>
      <c r="E20" s="46" t="s">
        <v>8</v>
      </c>
      <c r="F20" s="46" t="s">
        <v>9</v>
      </c>
      <c r="H20" s="2" t="s">
        <v>50</v>
      </c>
      <c r="I20" s="2">
        <v>3</v>
      </c>
    </row>
    <row r="21" spans="1:16" ht="15.75" x14ac:dyDescent="0.25">
      <c r="A21" s="44"/>
      <c r="B21" s="6" t="s">
        <v>10</v>
      </c>
      <c r="C21" s="6" t="s">
        <v>11</v>
      </c>
      <c r="D21" s="6" t="s">
        <v>12</v>
      </c>
      <c r="E21" s="47"/>
      <c r="F21" s="47"/>
      <c r="H21" s="2" t="s">
        <v>49</v>
      </c>
      <c r="I21" s="2">
        <v>4</v>
      </c>
    </row>
    <row r="22" spans="1:16" x14ac:dyDescent="0.25">
      <c r="A22" s="2" t="s">
        <v>46</v>
      </c>
      <c r="B22" s="7">
        <f>SUM(E15)</f>
        <v>67.966666666666654</v>
      </c>
      <c r="C22" s="7">
        <f>K8</f>
        <v>35.233333333333334</v>
      </c>
      <c r="D22" s="7">
        <f>Q14</f>
        <v>42.933333333333337</v>
      </c>
      <c r="E22" s="7">
        <f>SUM(B22:D22)</f>
        <v>146.13333333333333</v>
      </c>
      <c r="F22" s="7">
        <f>AVERAGE(B22:D22)</f>
        <v>48.711111111111109</v>
      </c>
      <c r="G22" s="8"/>
      <c r="H22" s="2" t="s">
        <v>13</v>
      </c>
      <c r="I22" s="2">
        <v>3</v>
      </c>
    </row>
    <row r="23" spans="1:16" x14ac:dyDescent="0.25">
      <c r="A23" s="2" t="s">
        <v>37</v>
      </c>
      <c r="B23" s="7">
        <f>E6</f>
        <v>95.100000000000009</v>
      </c>
      <c r="C23" s="7">
        <f>K12</f>
        <v>75.433333333333337</v>
      </c>
      <c r="D23" s="7">
        <f>Q11</f>
        <v>52.166666666666664</v>
      </c>
      <c r="E23" s="7">
        <f t="shared" ref="E23:E33" si="3">SUM(B23:D23)</f>
        <v>222.70000000000002</v>
      </c>
      <c r="F23" s="7">
        <f t="shared" ref="F23:F33" si="4">AVERAGE(B23:D23)</f>
        <v>74.233333333333334</v>
      </c>
      <c r="H23" s="2" t="s">
        <v>14</v>
      </c>
      <c r="I23" s="2">
        <f>(E34^2)/(I20*I21*I22)</f>
        <v>190219.55340277785</v>
      </c>
    </row>
    <row r="24" spans="1:16" x14ac:dyDescent="0.25">
      <c r="A24" s="2" t="s">
        <v>38</v>
      </c>
      <c r="B24" s="7">
        <f>E7</f>
        <v>58.4</v>
      </c>
      <c r="C24" s="7">
        <f>K16</f>
        <v>71.400000000000006</v>
      </c>
      <c r="D24" s="7">
        <f>Q8</f>
        <v>32.43333333333333</v>
      </c>
      <c r="E24" s="7">
        <f t="shared" si="3"/>
        <v>162.23333333333335</v>
      </c>
      <c r="F24" s="7">
        <f t="shared" si="4"/>
        <v>54.077777777777783</v>
      </c>
    </row>
    <row r="25" spans="1:16" x14ac:dyDescent="0.25">
      <c r="A25" s="2" t="s">
        <v>40</v>
      </c>
      <c r="B25" s="7">
        <f>E9</f>
        <v>94.3</v>
      </c>
      <c r="C25" s="7">
        <f>K10</f>
        <v>90.2</v>
      </c>
      <c r="D25" s="7">
        <f>Q12</f>
        <v>93.8</v>
      </c>
      <c r="E25" s="7">
        <f t="shared" si="3"/>
        <v>278.3</v>
      </c>
      <c r="F25" s="7">
        <f t="shared" si="4"/>
        <v>92.766666666666666</v>
      </c>
      <c r="H25" t="s">
        <v>15</v>
      </c>
    </row>
    <row r="26" spans="1:16" ht="15.75" x14ac:dyDescent="0.25">
      <c r="A26" s="2" t="s">
        <v>42</v>
      </c>
      <c r="B26" s="7">
        <f>E11</f>
        <v>84.833333333333329</v>
      </c>
      <c r="C26" s="7">
        <f>K14</f>
        <v>82.266666666666666</v>
      </c>
      <c r="D26" s="7">
        <f>Q13</f>
        <v>57.5</v>
      </c>
      <c r="E26" s="7">
        <f t="shared" si="3"/>
        <v>224.6</v>
      </c>
      <c r="F26" s="7">
        <f t="shared" si="4"/>
        <v>74.86666666666666</v>
      </c>
      <c r="H26" s="6" t="s">
        <v>16</v>
      </c>
      <c r="I26" s="6" t="s">
        <v>17</v>
      </c>
      <c r="J26" s="6" t="s">
        <v>18</v>
      </c>
      <c r="K26" s="6" t="s">
        <v>19</v>
      </c>
      <c r="L26" s="6" t="s">
        <v>20</v>
      </c>
      <c r="M26" s="6"/>
      <c r="N26" s="6" t="s">
        <v>21</v>
      </c>
      <c r="O26" s="6" t="s">
        <v>22</v>
      </c>
    </row>
    <row r="27" spans="1:16" x14ac:dyDescent="0.25">
      <c r="A27" s="2" t="s">
        <v>43</v>
      </c>
      <c r="B27" s="7">
        <f>E12</f>
        <v>59.033333333333339</v>
      </c>
      <c r="C27" s="7">
        <f>K15</f>
        <v>87.90000000000002</v>
      </c>
      <c r="D27" s="7">
        <f>Q7</f>
        <v>75.5</v>
      </c>
      <c r="E27" s="7">
        <f t="shared" si="3"/>
        <v>222.43333333333337</v>
      </c>
      <c r="F27" s="7">
        <f t="shared" si="4"/>
        <v>74.14444444444446</v>
      </c>
      <c r="H27" s="2" t="s">
        <v>23</v>
      </c>
      <c r="I27" s="2">
        <f>I22-1</f>
        <v>2</v>
      </c>
      <c r="J27" s="25">
        <f>SUMSQ(B34:D34)/(I20*I21)-I23</f>
        <v>4413.6611574073613</v>
      </c>
      <c r="K27" s="25">
        <f>J27/I27</f>
        <v>2206.8305787036807</v>
      </c>
      <c r="L27" s="25">
        <f>K27/$K$32</f>
        <v>9.0915144547183537</v>
      </c>
      <c r="M27" s="25" t="str">
        <f>IF(L27&lt;N27,"tn",IF(L27&lt;O27,"*","**"))</f>
        <v>**</v>
      </c>
      <c r="N27" s="25">
        <f>FINV(5%,$I27,$I$32)</f>
        <v>3.4433567793667246</v>
      </c>
      <c r="O27" s="25">
        <f>FINV(1%,$I27,$I$32)</f>
        <v>5.7190219124822725</v>
      </c>
      <c r="P27" s="26"/>
    </row>
    <row r="28" spans="1:16" x14ac:dyDescent="0.25">
      <c r="A28" s="2" t="s">
        <v>45</v>
      </c>
      <c r="B28" s="7">
        <f>E14</f>
        <v>81.400000000000006</v>
      </c>
      <c r="C28" s="7">
        <f>K13</f>
        <v>88.266666666666652</v>
      </c>
      <c r="D28" s="9">
        <f>Q9</f>
        <v>64.833333333333343</v>
      </c>
      <c r="E28" s="7">
        <f t="shared" si="3"/>
        <v>234.5</v>
      </c>
      <c r="F28" s="7">
        <f t="shared" si="4"/>
        <v>78.166666666666671</v>
      </c>
      <c r="H28" s="2" t="s">
        <v>24</v>
      </c>
      <c r="I28" s="2">
        <f>(I20*I21)-1</f>
        <v>11</v>
      </c>
      <c r="J28" s="25">
        <f>SUMSQ(E22:E33)/I22-I23</f>
        <v>7328.3052083332441</v>
      </c>
      <c r="K28" s="25">
        <f t="shared" ref="K28:K32" si="5">J28/I28</f>
        <v>666.20956439393126</v>
      </c>
      <c r="L28" s="25">
        <f t="shared" ref="L28:L31" si="6">K28/$K$32</f>
        <v>2.7445939634010847</v>
      </c>
      <c r="M28" s="25" t="str">
        <f t="shared" ref="M28:M31" si="7">IF(L28&lt;N28,"tn",IF(L28&lt;O28,"*","**"))</f>
        <v>*</v>
      </c>
      <c r="N28" s="25">
        <f t="shared" ref="N28:N31" si="8">FINV(5%,$I28,$I$32)</f>
        <v>2.2585183566229916</v>
      </c>
      <c r="O28" s="25">
        <f t="shared" ref="O28:O31" si="9">FINV(1%,$I28,$I$32)</f>
        <v>3.1837421959607717</v>
      </c>
      <c r="P28" s="26"/>
    </row>
    <row r="29" spans="1:16" x14ac:dyDescent="0.25">
      <c r="A29" s="2" t="s">
        <v>47</v>
      </c>
      <c r="B29" s="7">
        <f>E16</f>
        <v>101.4</v>
      </c>
      <c r="C29" s="7">
        <f>K9</f>
        <v>95.3</v>
      </c>
      <c r="D29" s="7">
        <f>Q15</f>
        <v>54.1</v>
      </c>
      <c r="E29" s="7">
        <f t="shared" si="3"/>
        <v>250.79999999999998</v>
      </c>
      <c r="F29" s="7">
        <f t="shared" si="4"/>
        <v>83.6</v>
      </c>
      <c r="H29" s="2" t="s">
        <v>50</v>
      </c>
      <c r="I29" s="2">
        <f>I20-1</f>
        <v>2</v>
      </c>
      <c r="J29" s="25">
        <f>SUMSQ(F40:F42)/(I22*I21)-I23</f>
        <v>631.06060185178649</v>
      </c>
      <c r="K29" s="25">
        <f>J29/I29</f>
        <v>315.53030092589324</v>
      </c>
      <c r="L29" s="25">
        <f t="shared" si="6"/>
        <v>1.2998951163049723</v>
      </c>
      <c r="M29" s="25" t="str">
        <f t="shared" si="7"/>
        <v>tn</v>
      </c>
      <c r="N29" s="25">
        <f t="shared" si="8"/>
        <v>3.4433567793667246</v>
      </c>
      <c r="O29" s="25">
        <f t="shared" si="9"/>
        <v>5.7190219124822725</v>
      </c>
      <c r="P29" s="26"/>
    </row>
    <row r="30" spans="1:16" x14ac:dyDescent="0.25">
      <c r="A30" s="2" t="s">
        <v>44</v>
      </c>
      <c r="B30" s="7">
        <f>E13</f>
        <v>51.666666666666664</v>
      </c>
      <c r="C30" s="7">
        <f>K5</f>
        <v>86.033333333333346</v>
      </c>
      <c r="D30" s="7">
        <f>Q10</f>
        <v>25.75</v>
      </c>
      <c r="E30" s="7">
        <f t="shared" si="3"/>
        <v>163.45000000000002</v>
      </c>
      <c r="F30" s="7">
        <f t="shared" si="4"/>
        <v>54.483333333333341</v>
      </c>
      <c r="H30" s="2" t="s">
        <v>49</v>
      </c>
      <c r="I30" s="2">
        <f>I21-1</f>
        <v>3</v>
      </c>
      <c r="J30" s="25">
        <f>SUMSQ(B43:E43)/(I22*I20)-I23</f>
        <v>5057.780208333279</v>
      </c>
      <c r="K30" s="25">
        <f t="shared" si="5"/>
        <v>1685.9267361110931</v>
      </c>
      <c r="L30" s="25">
        <f t="shared" si="6"/>
        <v>6.9455387463199711</v>
      </c>
      <c r="M30" s="25" t="str">
        <f t="shared" si="7"/>
        <v>**</v>
      </c>
      <c r="N30" s="25">
        <f t="shared" si="8"/>
        <v>3.0491249886524128</v>
      </c>
      <c r="O30" s="25">
        <f t="shared" si="9"/>
        <v>4.8166057778160596</v>
      </c>
      <c r="P30" s="26"/>
    </row>
    <row r="31" spans="1:16" x14ac:dyDescent="0.25">
      <c r="A31" s="2" t="s">
        <v>36</v>
      </c>
      <c r="B31" s="7">
        <f>E5</f>
        <v>112.10000000000001</v>
      </c>
      <c r="C31" s="7">
        <f>K6</f>
        <v>70.3</v>
      </c>
      <c r="D31" s="7">
        <f>Q6</f>
        <v>45.6</v>
      </c>
      <c r="E31" s="7">
        <f t="shared" si="3"/>
        <v>228</v>
      </c>
      <c r="F31" s="7">
        <f t="shared" si="4"/>
        <v>76</v>
      </c>
      <c r="H31" s="2" t="s">
        <v>51</v>
      </c>
      <c r="I31" s="2">
        <f>I28-I29-I30</f>
        <v>6</v>
      </c>
      <c r="J31" s="25">
        <f>J28-J29-J30</f>
        <v>1639.4643981481786</v>
      </c>
      <c r="K31" s="25">
        <f t="shared" si="5"/>
        <v>273.24406635802978</v>
      </c>
      <c r="L31" s="25">
        <f t="shared" si="6"/>
        <v>1.1256878543070123</v>
      </c>
      <c r="M31" s="25" t="str">
        <f t="shared" si="7"/>
        <v>tn</v>
      </c>
      <c r="N31" s="25">
        <f t="shared" si="8"/>
        <v>2.5490614138436585</v>
      </c>
      <c r="O31" s="25">
        <f t="shared" si="9"/>
        <v>3.7583014350037565</v>
      </c>
      <c r="P31" s="26"/>
    </row>
    <row r="32" spans="1:16" x14ac:dyDescent="0.25">
      <c r="A32" s="10" t="s">
        <v>41</v>
      </c>
      <c r="B32" s="7">
        <f>E10</f>
        <v>84.4</v>
      </c>
      <c r="C32" s="7">
        <f>K7</f>
        <v>66.933333333333337</v>
      </c>
      <c r="D32" s="7">
        <f>Q16</f>
        <v>43.466666666666669</v>
      </c>
      <c r="E32" s="7">
        <f t="shared" si="3"/>
        <v>194.8</v>
      </c>
      <c r="F32" s="7">
        <f t="shared" si="4"/>
        <v>64.933333333333337</v>
      </c>
      <c r="H32" s="2" t="s">
        <v>25</v>
      </c>
      <c r="I32" s="2">
        <f>I33-I27-I28</f>
        <v>22</v>
      </c>
      <c r="J32" s="25">
        <f>J33-J27-J28</f>
        <v>5340.1743981481704</v>
      </c>
      <c r="K32" s="25">
        <f t="shared" si="5"/>
        <v>242.73519991582592</v>
      </c>
      <c r="L32" s="11"/>
      <c r="M32" s="12"/>
      <c r="N32" s="12"/>
      <c r="O32" s="12"/>
    </row>
    <row r="33" spans="1:16" x14ac:dyDescent="0.25">
      <c r="A33" s="10" t="s">
        <v>39</v>
      </c>
      <c r="B33" s="7">
        <f>E8</f>
        <v>92.35</v>
      </c>
      <c r="C33" s="7">
        <f>K11</f>
        <v>99.2</v>
      </c>
      <c r="D33" s="7">
        <f>Q5</f>
        <v>97.35</v>
      </c>
      <c r="E33" s="7">
        <f t="shared" si="3"/>
        <v>288.89999999999998</v>
      </c>
      <c r="F33" s="7">
        <f t="shared" si="4"/>
        <v>96.3</v>
      </c>
      <c r="H33" s="2" t="s">
        <v>26</v>
      </c>
      <c r="I33" s="2">
        <f>I20*I21*I22-1</f>
        <v>35</v>
      </c>
      <c r="J33" s="25">
        <f>SUMSQ(B22:D33)-I23</f>
        <v>17082.140763888776</v>
      </c>
      <c r="K33" s="27"/>
      <c r="L33" s="11"/>
      <c r="M33" s="12"/>
      <c r="N33" s="12"/>
      <c r="O33" s="12"/>
    </row>
    <row r="34" spans="1:16" x14ac:dyDescent="0.25">
      <c r="A34" s="13" t="s">
        <v>27</v>
      </c>
      <c r="B34" s="7">
        <f>SUM(B22:B33)</f>
        <v>982.94999999999993</v>
      </c>
      <c r="C34" s="7">
        <f>SUM(C22:C33)</f>
        <v>948.4666666666667</v>
      </c>
      <c r="D34" s="7">
        <f>SUM(D22:D33)</f>
        <v>685.43333333333339</v>
      </c>
      <c r="E34" s="22">
        <f>SUM(E22:E33)</f>
        <v>2616.8500000000004</v>
      </c>
      <c r="F34" s="7">
        <f t="shared" ref="F34" si="10">SUM(F22:F33)</f>
        <v>872.2833333333333</v>
      </c>
    </row>
    <row r="35" spans="1:16" x14ac:dyDescent="0.25">
      <c r="A35" s="10" t="s">
        <v>35</v>
      </c>
      <c r="B35" s="7">
        <f>AVERAGE(B22:B34)</f>
        <v>151.22307692307692</v>
      </c>
      <c r="C35" s="7">
        <f>AVERAGE(C22:C33)</f>
        <v>79.038888888888891</v>
      </c>
      <c r="D35" s="7">
        <f>AVERAGE(D22:D33)</f>
        <v>57.119444444444447</v>
      </c>
      <c r="E35" s="7"/>
      <c r="F35" s="7">
        <f t="shared" ref="F35" si="11">AVERAGE(F22:F33)</f>
        <v>72.69027777777778</v>
      </c>
      <c r="J35">
        <f>SQRT(K32/2)</f>
        <v>11.016696417615989</v>
      </c>
    </row>
    <row r="37" spans="1:16" x14ac:dyDescent="0.25">
      <c r="A37" s="43" t="s">
        <v>28</v>
      </c>
      <c r="B37" s="43"/>
      <c r="C37" s="43"/>
      <c r="I37" s="14"/>
      <c r="J37" s="14"/>
      <c r="K37" s="14"/>
      <c r="L37" s="1"/>
      <c r="M37" s="14"/>
      <c r="N37" s="14"/>
      <c r="O37" s="14"/>
      <c r="P37" s="14"/>
    </row>
    <row r="38" spans="1:16" x14ac:dyDescent="0.25">
      <c r="A38" s="37" t="s">
        <v>50</v>
      </c>
      <c r="B38" s="34" t="s">
        <v>49</v>
      </c>
      <c r="C38" s="35"/>
      <c r="D38" s="35"/>
      <c r="E38" s="36"/>
      <c r="F38" s="42" t="s">
        <v>27</v>
      </c>
      <c r="G38" s="42" t="s">
        <v>2</v>
      </c>
      <c r="I38" s="15"/>
      <c r="J38" s="14"/>
      <c r="K38" s="20"/>
      <c r="L38" s="1"/>
      <c r="M38" s="14"/>
      <c r="N38" s="14"/>
      <c r="O38" s="1"/>
      <c r="P38" s="14"/>
    </row>
    <row r="39" spans="1:16" x14ac:dyDescent="0.25">
      <c r="A39" s="38"/>
      <c r="B39" s="16" t="s">
        <v>52</v>
      </c>
      <c r="C39" s="16" t="s">
        <v>53</v>
      </c>
      <c r="D39" s="16" t="s">
        <v>54</v>
      </c>
      <c r="E39" s="21" t="s">
        <v>55</v>
      </c>
      <c r="F39" s="42"/>
      <c r="G39" s="42"/>
      <c r="J39" s="1"/>
      <c r="K39" s="1"/>
      <c r="L39" s="1"/>
      <c r="M39" s="14"/>
      <c r="N39" s="14"/>
      <c r="O39" s="1"/>
      <c r="P39" s="14"/>
    </row>
    <row r="40" spans="1:16" x14ac:dyDescent="0.25">
      <c r="A40" s="17" t="s">
        <v>56</v>
      </c>
      <c r="B40" s="7">
        <f>E22</f>
        <v>146.13333333333333</v>
      </c>
      <c r="C40" s="7">
        <f>E23</f>
        <v>222.70000000000002</v>
      </c>
      <c r="D40" s="9">
        <f>E24</f>
        <v>162.23333333333335</v>
      </c>
      <c r="E40" s="9">
        <f>E25</f>
        <v>278.3</v>
      </c>
      <c r="F40" s="7">
        <f>SUM(B40:E40)</f>
        <v>809.36666666666679</v>
      </c>
      <c r="G40" s="7">
        <f>F40/12</f>
        <v>67.447222222222237</v>
      </c>
      <c r="I40" s="10" t="s">
        <v>0</v>
      </c>
      <c r="J40" s="2" t="s">
        <v>29</v>
      </c>
      <c r="K40" s="2"/>
      <c r="M40" s="14"/>
      <c r="N40" s="14"/>
      <c r="O40" s="1"/>
      <c r="P40" s="14"/>
    </row>
    <row r="41" spans="1:16" x14ac:dyDescent="0.25">
      <c r="A41" s="17" t="s">
        <v>57</v>
      </c>
      <c r="B41" s="7">
        <f>E26</f>
        <v>224.6</v>
      </c>
      <c r="C41" s="7">
        <f>E27</f>
        <v>222.43333333333337</v>
      </c>
      <c r="D41" s="7">
        <f>E28</f>
        <v>234.5</v>
      </c>
      <c r="E41" s="7">
        <f>E29</f>
        <v>250.79999999999998</v>
      </c>
      <c r="F41" s="7">
        <f>SUM(B41:E41)</f>
        <v>932.33333333333326</v>
      </c>
      <c r="G41" s="7">
        <f t="shared" ref="G41:G42" si="12">F41/12</f>
        <v>77.694444444444443</v>
      </c>
      <c r="I41" s="2" t="s">
        <v>60</v>
      </c>
      <c r="J41" s="25">
        <f>B43/9</f>
        <v>59.353703703703708</v>
      </c>
      <c r="K41" s="2" t="s">
        <v>31</v>
      </c>
      <c r="M41" s="14"/>
      <c r="N41" s="14"/>
      <c r="O41" s="1"/>
      <c r="P41" s="14"/>
    </row>
    <row r="42" spans="1:16" x14ac:dyDescent="0.25">
      <c r="A42" s="17" t="s">
        <v>58</v>
      </c>
      <c r="B42" s="7">
        <f>E30</f>
        <v>163.45000000000002</v>
      </c>
      <c r="C42" s="7">
        <f>E31</f>
        <v>228</v>
      </c>
      <c r="D42" s="7">
        <f>E32</f>
        <v>194.8</v>
      </c>
      <c r="E42" s="7">
        <f>E33</f>
        <v>288.89999999999998</v>
      </c>
      <c r="F42" s="7">
        <f t="shared" ref="F42" si="13">SUM(B42:E42)</f>
        <v>875.15</v>
      </c>
      <c r="G42" s="7">
        <f t="shared" si="12"/>
        <v>72.92916666666666</v>
      </c>
      <c r="I42" s="2" t="s">
        <v>61</v>
      </c>
      <c r="J42" s="25">
        <f>C43/9</f>
        <v>74.792592592592598</v>
      </c>
      <c r="K42" s="2" t="s">
        <v>30</v>
      </c>
      <c r="M42" s="14"/>
      <c r="N42" s="14"/>
      <c r="O42" s="1"/>
      <c r="P42" s="14"/>
    </row>
    <row r="43" spans="1:16" x14ac:dyDescent="0.25">
      <c r="A43" s="18" t="s">
        <v>27</v>
      </c>
      <c r="B43" s="7">
        <f>SUM(B40:B42)</f>
        <v>534.18333333333339</v>
      </c>
      <c r="C43" s="7">
        <f>SUM(C40:C42)</f>
        <v>673.13333333333344</v>
      </c>
      <c r="D43" s="7">
        <f t="shared" ref="D43:E43" si="14">SUM(D40:D42)</f>
        <v>591.5333333333333</v>
      </c>
      <c r="E43" s="7">
        <f t="shared" si="14"/>
        <v>818</v>
      </c>
      <c r="F43" s="7">
        <f>SUM(F40:F42)</f>
        <v>2616.85</v>
      </c>
      <c r="G43" s="7"/>
      <c r="I43" s="2" t="s">
        <v>62</v>
      </c>
      <c r="J43" s="25">
        <f>D43/9</f>
        <v>65.725925925925921</v>
      </c>
      <c r="K43" s="2" t="s">
        <v>31</v>
      </c>
      <c r="M43" s="14"/>
      <c r="N43" s="14"/>
      <c r="O43" s="1"/>
      <c r="P43" s="14"/>
    </row>
    <row r="44" spans="1:16" x14ac:dyDescent="0.25">
      <c r="A44" s="17" t="s">
        <v>59</v>
      </c>
      <c r="B44" s="23">
        <f>B43/9</f>
        <v>59.353703703703708</v>
      </c>
      <c r="C44" s="23">
        <f t="shared" ref="C44:E44" si="15">C43/9</f>
        <v>74.792592592592598</v>
      </c>
      <c r="D44" s="23">
        <f t="shared" si="15"/>
        <v>65.725925925925921</v>
      </c>
      <c r="E44" s="23">
        <f t="shared" si="15"/>
        <v>90.888888888888886</v>
      </c>
      <c r="F44" s="24"/>
      <c r="G44" s="24"/>
      <c r="I44" s="2" t="s">
        <v>63</v>
      </c>
      <c r="J44" s="25">
        <f>E43/9</f>
        <v>90.888888888888886</v>
      </c>
      <c r="K44" s="2" t="s">
        <v>34</v>
      </c>
      <c r="M44" s="19">
        <f>J45+J44</f>
        <v>111.29604177574606</v>
      </c>
      <c r="N44" s="14"/>
      <c r="O44" s="1"/>
      <c r="P44" s="14"/>
    </row>
    <row r="45" spans="1:16" x14ac:dyDescent="0.25">
      <c r="A45" s="17" t="s">
        <v>2</v>
      </c>
      <c r="B45" s="7">
        <f>B44/12</f>
        <v>4.9461419753086426</v>
      </c>
      <c r="C45" s="7">
        <f t="shared" ref="C45:D45" si="16">C44/12</f>
        <v>6.2327160493827165</v>
      </c>
      <c r="D45" s="7">
        <f t="shared" si="16"/>
        <v>5.4771604938271601</v>
      </c>
      <c r="E45" s="2"/>
      <c r="F45" s="2"/>
      <c r="G45" t="s">
        <v>32</v>
      </c>
      <c r="H45" s="29">
        <v>3.9295</v>
      </c>
      <c r="I45" s="10" t="s">
        <v>64</v>
      </c>
      <c r="J45" s="25">
        <f>H45*(K32/9)^0.5</f>
        <v>20.40715288685718</v>
      </c>
      <c r="K45" s="2"/>
      <c r="M45" s="19">
        <f>J45+J43</f>
        <v>86.133078812783097</v>
      </c>
      <c r="N45" s="14"/>
      <c r="O45" s="1"/>
      <c r="P45" s="14"/>
    </row>
    <row r="46" spans="1:16" x14ac:dyDescent="0.25">
      <c r="G46" s="30"/>
      <c r="I46" s="10" t="s">
        <v>66</v>
      </c>
      <c r="J46" s="31" t="s">
        <v>67</v>
      </c>
      <c r="K46" s="2"/>
      <c r="L46" s="14"/>
      <c r="O46" s="1"/>
      <c r="P46" s="14"/>
    </row>
    <row r="47" spans="1:16" x14ac:dyDescent="0.25">
      <c r="G47" t="s">
        <v>32</v>
      </c>
      <c r="H47" s="32">
        <v>4.9625000000000004</v>
      </c>
      <c r="I47" s="10" t="s">
        <v>56</v>
      </c>
      <c r="J47" s="2">
        <f>F40/12</f>
        <v>67.447222222222237</v>
      </c>
      <c r="K47" s="2"/>
      <c r="L47" s="14"/>
      <c r="O47" s="1"/>
      <c r="P47" s="14"/>
    </row>
    <row r="48" spans="1:16" x14ac:dyDescent="0.25">
      <c r="I48" s="10" t="s">
        <v>57</v>
      </c>
      <c r="J48" s="2">
        <f>F41/12</f>
        <v>77.694444444444443</v>
      </c>
      <c r="K48" s="2"/>
      <c r="L48" s="14"/>
      <c r="O48" s="1"/>
      <c r="P48" s="14"/>
    </row>
    <row r="49" spans="7:16" x14ac:dyDescent="0.25">
      <c r="I49" s="10" t="s">
        <v>58</v>
      </c>
      <c r="J49" s="2">
        <f>F42/12</f>
        <v>72.92916666666666</v>
      </c>
      <c r="K49" s="2"/>
      <c r="L49" s="14"/>
      <c r="O49" s="1"/>
      <c r="P49" s="14"/>
    </row>
    <row r="50" spans="7:16" x14ac:dyDescent="0.25">
      <c r="I50" s="10" t="s">
        <v>33</v>
      </c>
      <c r="J50" s="2">
        <f>H51*(M34/12)^0.5</f>
        <v>0</v>
      </c>
      <c r="K50" s="2"/>
    </row>
    <row r="51" spans="7:16" x14ac:dyDescent="0.25">
      <c r="G51" t="s">
        <v>65</v>
      </c>
      <c r="H51" s="33">
        <v>4.5925000000000002</v>
      </c>
    </row>
  </sheetData>
  <mergeCells count="19">
    <mergeCell ref="A38:A39"/>
    <mergeCell ref="F38:F39"/>
    <mergeCell ref="B38:E38"/>
    <mergeCell ref="G38:G39"/>
    <mergeCell ref="M3:M4"/>
    <mergeCell ref="A19:E19"/>
    <mergeCell ref="A20:A21"/>
    <mergeCell ref="B20:D20"/>
    <mergeCell ref="E20:E21"/>
    <mergeCell ref="F20:F21"/>
    <mergeCell ref="A37:C37"/>
    <mergeCell ref="N3:P3"/>
    <mergeCell ref="Q3:Q4"/>
    <mergeCell ref="A3:A4"/>
    <mergeCell ref="B3:D3"/>
    <mergeCell ref="E3:E4"/>
    <mergeCell ref="G3:G4"/>
    <mergeCell ref="H3:J3"/>
    <mergeCell ref="K3:K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35HST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Verlita</dc:creator>
  <cp:lastModifiedBy>Windows User</cp:lastModifiedBy>
  <dcterms:created xsi:type="dcterms:W3CDTF">2023-01-14T02:22:04Z</dcterms:created>
  <dcterms:modified xsi:type="dcterms:W3CDTF">2023-09-15T13:04:17Z</dcterms:modified>
</cp:coreProperties>
</file>