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wmf" ContentType="image/x-w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16212" windowHeight="5784" firstSheet="5" activeTab="7"/>
  </bookViews>
  <sheets>
    <sheet name="Data Omax  " sheetId="10" r:id="rId1"/>
    <sheet name="Data perhitungan rasio " sheetId="7" r:id="rId2"/>
    <sheet name="PEMBOBOTAN (AHP)" sheetId="2" r:id="rId3"/>
    <sheet name="Rasio dan Penentuan Level" sheetId="3" r:id="rId4"/>
    <sheet name="Perhitungan OMAX (2021)" sheetId="8" r:id="rId5"/>
    <sheet name="Perhitungan OMAX (2022)" sheetId="9" r:id="rId6"/>
    <sheet name="Rekapitulasi Skor dan Indeks" sheetId="11" r:id="rId7"/>
    <sheet name="Grafik Indeks Produktivitas" sheetId="12" r:id="rId8"/>
  </sheets>
  <calcPr calcId="124519"/>
</workbook>
</file>

<file path=xl/calcChain.xml><?xml version="1.0" encoding="utf-8"?>
<calcChain xmlns="http://schemas.openxmlformats.org/spreadsheetml/2006/main">
  <c r="AM40" i="2"/>
  <c r="AM39"/>
  <c r="AM38"/>
  <c r="AM37"/>
  <c r="AL40"/>
  <c r="AL39"/>
  <c r="AL38"/>
  <c r="AL37"/>
  <c r="AE37"/>
  <c r="AH48"/>
  <c r="AH46"/>
  <c r="AH45"/>
  <c r="AD50"/>
  <c r="AD49"/>
  <c r="AD48"/>
  <c r="AD47"/>
  <c r="AD46"/>
  <c r="F19" i="10"/>
  <c r="F18"/>
  <c r="M19"/>
  <c r="N19"/>
  <c r="N18"/>
  <c r="N17"/>
  <c r="N16"/>
  <c r="N15"/>
  <c r="N14"/>
  <c r="N9"/>
  <c r="N8"/>
  <c r="N7"/>
  <c r="N6"/>
  <c r="N5"/>
  <c r="N4"/>
  <c r="M9"/>
  <c r="M8"/>
  <c r="M4"/>
  <c r="M5"/>
  <c r="M7"/>
  <c r="M6"/>
  <c r="L9"/>
  <c r="L4"/>
  <c r="F8"/>
  <c r="F7"/>
  <c r="F6"/>
  <c r="F5"/>
  <c r="F4"/>
  <c r="F9"/>
  <c r="K9"/>
  <c r="K5"/>
  <c r="K4"/>
  <c r="F165" i="8"/>
  <c r="E165"/>
  <c r="C165"/>
  <c r="F142"/>
  <c r="E142"/>
  <c r="C142"/>
  <c r="E119"/>
  <c r="D119"/>
  <c r="F96"/>
  <c r="E96"/>
  <c r="D73"/>
  <c r="F50"/>
  <c r="F99"/>
  <c r="K8" i="11"/>
  <c r="K7"/>
  <c r="L6"/>
  <c r="L5"/>
  <c r="C23" i="9"/>
  <c r="D23"/>
  <c r="E23"/>
  <c r="F23"/>
  <c r="F13"/>
  <c r="E13"/>
  <c r="D13"/>
  <c r="C13"/>
  <c r="C20"/>
  <c r="D20"/>
  <c r="E20"/>
  <c r="D22"/>
  <c r="F14"/>
  <c r="L6"/>
  <c r="L7"/>
  <c r="I7"/>
  <c r="J7"/>
  <c r="K7"/>
  <c r="K6"/>
  <c r="I6"/>
  <c r="J6"/>
  <c r="F22" i="8"/>
  <c r="E22"/>
  <c r="F21"/>
  <c r="C18"/>
  <c r="D18"/>
  <c r="E18"/>
  <c r="F18"/>
  <c r="L7"/>
  <c r="K7"/>
  <c r="J7"/>
  <c r="I7"/>
  <c r="I6"/>
  <c r="L6"/>
  <c r="K6"/>
  <c r="J6"/>
  <c r="F25" i="3"/>
  <c r="D11"/>
  <c r="E11"/>
  <c r="F11"/>
  <c r="F17" i="8"/>
  <c r="F16" s="1"/>
  <c r="F15" s="1"/>
  <c r="F14" s="1"/>
  <c r="F19"/>
  <c r="X9" i="3"/>
  <c r="X6"/>
  <c r="X7"/>
  <c r="X8"/>
  <c r="E21" i="8"/>
  <c r="E19"/>
  <c r="E17"/>
  <c r="E16" s="1"/>
  <c r="E15" s="1"/>
  <c r="E14" s="1"/>
  <c r="D14"/>
  <c r="D17"/>
  <c r="D16" s="1"/>
  <c r="D15" s="1"/>
  <c r="D19"/>
  <c r="D21"/>
  <c r="D22"/>
  <c r="D6"/>
  <c r="Q6" i="3"/>
  <c r="Q7"/>
  <c r="Q8"/>
  <c r="R9"/>
  <c r="R8"/>
  <c r="D25"/>
  <c r="C25"/>
  <c r="C24"/>
  <c r="E6" i="7"/>
  <c r="C11" i="3"/>
  <c r="W39" i="2"/>
  <c r="W27"/>
  <c r="W18"/>
  <c r="X38"/>
  <c r="X40"/>
  <c r="X41"/>
  <c r="X54"/>
  <c r="Y38" l="1"/>
  <c r="Y27"/>
  <c r="Y39" s="1"/>
  <c r="X39"/>
  <c r="Z39"/>
  <c r="W40"/>
  <c r="Y40"/>
  <c r="Z40"/>
  <c r="W41"/>
  <c r="Y41"/>
  <c r="Z41"/>
  <c r="Z38"/>
  <c r="W38"/>
  <c r="Y29"/>
  <c r="Z27"/>
  <c r="Y26"/>
  <c r="W29"/>
  <c r="Z18"/>
  <c r="Z17"/>
  <c r="Y17"/>
  <c r="Z26" l="1"/>
  <c r="W19"/>
  <c r="E25" i="11"/>
  <c r="F25"/>
  <c r="F10" i="12"/>
  <c r="F9"/>
  <c r="F8"/>
  <c r="F7"/>
  <c r="F5"/>
  <c r="F167" i="9"/>
  <c r="J23" i="11" s="1"/>
  <c r="F144" i="9"/>
  <c r="F121"/>
  <c r="F75"/>
  <c r="AA53" i="2"/>
  <c r="X55"/>
  <c r="Y56"/>
  <c r="Z57"/>
  <c r="W54"/>
  <c r="AY37"/>
  <c r="K19" i="10"/>
  <c r="G19"/>
  <c r="L19"/>
  <c r="K18"/>
  <c r="G18"/>
  <c r="L18"/>
  <c r="J22" i="11"/>
  <c r="J21"/>
  <c r="J19"/>
  <c r="K18"/>
  <c r="R11" s="1"/>
  <c r="J18"/>
  <c r="K5"/>
  <c r="P11" s="1"/>
  <c r="J5"/>
  <c r="D24"/>
  <c r="E24"/>
  <c r="F24"/>
  <c r="C24"/>
  <c r="D23"/>
  <c r="E23"/>
  <c r="F23"/>
  <c r="C23"/>
  <c r="D22"/>
  <c r="E22"/>
  <c r="F22"/>
  <c r="C22"/>
  <c r="D21"/>
  <c r="E21"/>
  <c r="F21"/>
  <c r="C21"/>
  <c r="D20"/>
  <c r="E20"/>
  <c r="F20"/>
  <c r="C20"/>
  <c r="D19"/>
  <c r="E19"/>
  <c r="F19"/>
  <c r="C19"/>
  <c r="C25" s="1"/>
  <c r="D11"/>
  <c r="E11"/>
  <c r="F11"/>
  <c r="C11"/>
  <c r="D10"/>
  <c r="E10"/>
  <c r="F10"/>
  <c r="C10"/>
  <c r="D9"/>
  <c r="E9"/>
  <c r="F9"/>
  <c r="C9"/>
  <c r="D8"/>
  <c r="E8"/>
  <c r="F8"/>
  <c r="C8"/>
  <c r="D7"/>
  <c r="E7"/>
  <c r="F7"/>
  <c r="C7"/>
  <c r="D6"/>
  <c r="E6"/>
  <c r="F6"/>
  <c r="C6"/>
  <c r="AY40" i="2"/>
  <c r="D25" i="11" l="1"/>
  <c r="F26" i="3"/>
  <c r="F149" i="9"/>
  <c r="D35"/>
  <c r="D7"/>
  <c r="D6"/>
  <c r="D19" s="1"/>
  <c r="D18" s="1"/>
  <c r="D17" s="1"/>
  <c r="E80" i="7"/>
  <c r="E81"/>
  <c r="E82"/>
  <c r="E79"/>
  <c r="C80"/>
  <c r="C81"/>
  <c r="C82"/>
  <c r="C83"/>
  <c r="E83" s="1"/>
  <c r="C84"/>
  <c r="E84" s="1"/>
  <c r="C79"/>
  <c r="E70"/>
  <c r="E71"/>
  <c r="E72"/>
  <c r="E73"/>
  <c r="E74"/>
  <c r="C70"/>
  <c r="C71"/>
  <c r="C72"/>
  <c r="C73"/>
  <c r="C74"/>
  <c r="C69"/>
  <c r="E69" s="1"/>
  <c r="E48"/>
  <c r="E49"/>
  <c r="E50"/>
  <c r="E51"/>
  <c r="E52"/>
  <c r="E47"/>
  <c r="E58"/>
  <c r="E59"/>
  <c r="E60"/>
  <c r="E62"/>
  <c r="E57"/>
  <c r="D58"/>
  <c r="D59"/>
  <c r="D60"/>
  <c r="D61"/>
  <c r="E61" s="1"/>
  <c r="D62"/>
  <c r="D57"/>
  <c r="D48"/>
  <c r="D49"/>
  <c r="D50"/>
  <c r="D51"/>
  <c r="D52"/>
  <c r="D47"/>
  <c r="M14" i="10"/>
  <c r="C58" i="7"/>
  <c r="C59"/>
  <c r="C60"/>
  <c r="C61"/>
  <c r="C62"/>
  <c r="C57"/>
  <c r="C48"/>
  <c r="C49"/>
  <c r="C50"/>
  <c r="C51"/>
  <c r="C52"/>
  <c r="C47"/>
  <c r="L14" i="10"/>
  <c r="L15"/>
  <c r="L16"/>
  <c r="L17"/>
  <c r="E37" i="7"/>
  <c r="E38"/>
  <c r="E39"/>
  <c r="E36"/>
  <c r="E27"/>
  <c r="E28"/>
  <c r="E29"/>
  <c r="E30"/>
  <c r="E31"/>
  <c r="E26"/>
  <c r="D37"/>
  <c r="D38"/>
  <c r="D39"/>
  <c r="D40"/>
  <c r="D41"/>
  <c r="D36"/>
  <c r="D27"/>
  <c r="D28"/>
  <c r="D29"/>
  <c r="D30"/>
  <c r="D31"/>
  <c r="D26"/>
  <c r="C37"/>
  <c r="C38"/>
  <c r="C39"/>
  <c r="C40"/>
  <c r="E40" s="1"/>
  <c r="C41"/>
  <c r="E41" s="1"/>
  <c r="C36"/>
  <c r="C27"/>
  <c r="C28"/>
  <c r="C29"/>
  <c r="C30"/>
  <c r="C31"/>
  <c r="C26"/>
  <c r="D15"/>
  <c r="D16"/>
  <c r="D17"/>
  <c r="D18"/>
  <c r="D19"/>
  <c r="E19" s="1"/>
  <c r="D14"/>
  <c r="E14" s="1"/>
  <c r="D5"/>
  <c r="D6"/>
  <c r="D7"/>
  <c r="D8"/>
  <c r="D9"/>
  <c r="D4"/>
  <c r="E4" s="1"/>
  <c r="M18" i="10"/>
  <c r="G17"/>
  <c r="F17"/>
  <c r="K17" s="1"/>
  <c r="G16"/>
  <c r="F16"/>
  <c r="M16" s="1"/>
  <c r="G15"/>
  <c r="F15"/>
  <c r="K15" s="1"/>
  <c r="G14"/>
  <c r="F14"/>
  <c r="G9"/>
  <c r="L8"/>
  <c r="K8"/>
  <c r="G8"/>
  <c r="G7"/>
  <c r="K7"/>
  <c r="L6"/>
  <c r="K6"/>
  <c r="G6"/>
  <c r="G5"/>
  <c r="G4"/>
  <c r="D149" i="9"/>
  <c r="U7" i="3"/>
  <c r="D16" i="9" l="1"/>
  <c r="D15" s="1"/>
  <c r="D14" s="1"/>
  <c r="K14" i="10"/>
  <c r="K16"/>
  <c r="M17"/>
  <c r="L5"/>
  <c r="L7"/>
  <c r="M15"/>
  <c r="AG39" i="2"/>
  <c r="AF38"/>
  <c r="AH40"/>
  <c r="C119" i="8"/>
  <c r="F119"/>
  <c r="D96"/>
  <c r="C96"/>
  <c r="C73"/>
  <c r="D50" i="9"/>
  <c r="F72"/>
  <c r="E72"/>
  <c r="D72"/>
  <c r="F95"/>
  <c r="E95"/>
  <c r="D95"/>
  <c r="C95"/>
  <c r="D94"/>
  <c r="C94"/>
  <c r="F118"/>
  <c r="E118"/>
  <c r="C118"/>
  <c r="C164"/>
  <c r="E164"/>
  <c r="F164"/>
  <c r="E141"/>
  <c r="F141"/>
  <c r="C141"/>
  <c r="F35"/>
  <c r="F58"/>
  <c r="F81" s="1"/>
  <c r="F104" s="1"/>
  <c r="F127" s="1"/>
  <c r="F150" s="1"/>
  <c r="C6"/>
  <c r="U6" i="3"/>
  <c r="E149" i="9"/>
  <c r="C149"/>
  <c r="D126"/>
  <c r="E126"/>
  <c r="F126"/>
  <c r="C126"/>
  <c r="D103"/>
  <c r="E103"/>
  <c r="F103"/>
  <c r="C103"/>
  <c r="D80"/>
  <c r="E80"/>
  <c r="F80"/>
  <c r="C80"/>
  <c r="D57"/>
  <c r="E57"/>
  <c r="F57"/>
  <c r="C57"/>
  <c r="E35"/>
  <c r="C35"/>
  <c r="E6"/>
  <c r="F6"/>
  <c r="D164"/>
  <c r="F163"/>
  <c r="E163"/>
  <c r="D163"/>
  <c r="C163"/>
  <c r="D141"/>
  <c r="F140"/>
  <c r="E140"/>
  <c r="D140"/>
  <c r="C140"/>
  <c r="D118"/>
  <c r="F117"/>
  <c r="E117"/>
  <c r="D117"/>
  <c r="C117"/>
  <c r="F94"/>
  <c r="E94"/>
  <c r="C72"/>
  <c r="F71"/>
  <c r="E71"/>
  <c r="D71"/>
  <c r="E75" s="1"/>
  <c r="C71"/>
  <c r="F50"/>
  <c r="E50"/>
  <c r="C50"/>
  <c r="F49"/>
  <c r="E49"/>
  <c r="D49"/>
  <c r="C49"/>
  <c r="D20" i="8"/>
  <c r="E6"/>
  <c r="F6"/>
  <c r="C6"/>
  <c r="O6" i="3"/>
  <c r="O7"/>
  <c r="R7" s="1"/>
  <c r="D7" i="8" s="1"/>
  <c r="O8" i="3"/>
  <c r="O9"/>
  <c r="C12"/>
  <c r="F10"/>
  <c r="E5" i="7"/>
  <c r="E17"/>
  <c r="G75" i="9" l="1"/>
  <c r="F6" i="12"/>
  <c r="F98" i="9"/>
  <c r="J20" i="11" s="1"/>
  <c r="W56" i="2"/>
  <c r="Y54"/>
  <c r="W55"/>
  <c r="X56"/>
  <c r="Y55"/>
  <c r="Z56"/>
  <c r="W57"/>
  <c r="Z54"/>
  <c r="E167" i="9"/>
  <c r="E98"/>
  <c r="C19"/>
  <c r="F20"/>
  <c r="F65" s="1"/>
  <c r="F88" s="1"/>
  <c r="F111" s="1"/>
  <c r="F134" s="1"/>
  <c r="F157" s="1"/>
  <c r="E9" i="7"/>
  <c r="E16"/>
  <c r="E15"/>
  <c r="E8"/>
  <c r="E18"/>
  <c r="E7"/>
  <c r="D65" i="9"/>
  <c r="D88" s="1"/>
  <c r="D111" s="1"/>
  <c r="D134" s="1"/>
  <c r="D157" s="1"/>
  <c r="E65"/>
  <c r="E88" s="1"/>
  <c r="E111" s="1"/>
  <c r="E134" s="1"/>
  <c r="E157" s="1"/>
  <c r="E19"/>
  <c r="E18" s="1"/>
  <c r="E17" s="1"/>
  <c r="E16" s="1"/>
  <c r="E15" s="1"/>
  <c r="E14" s="1"/>
  <c r="E20" i="8"/>
  <c r="F20"/>
  <c r="C20"/>
  <c r="C19" s="1"/>
  <c r="C17" s="1"/>
  <c r="C16" s="1"/>
  <c r="C15" s="1"/>
  <c r="C14" s="1"/>
  <c r="E144" i="9"/>
  <c r="E121"/>
  <c r="E52"/>
  <c r="X57" i="2" l="1"/>
  <c r="Z55"/>
  <c r="Y57"/>
  <c r="AG40"/>
  <c r="I23" i="11"/>
  <c r="G167" i="9"/>
  <c r="K23" i="11" s="1"/>
  <c r="R16" s="1"/>
  <c r="I22"/>
  <c r="G144" i="9"/>
  <c r="K22" i="11" s="1"/>
  <c r="R15" s="1"/>
  <c r="G121" i="9"/>
  <c r="K21" i="11" s="1"/>
  <c r="R14" s="1"/>
  <c r="I21"/>
  <c r="G98" i="9"/>
  <c r="K20" i="11" s="1"/>
  <c r="R13" s="1"/>
  <c r="I20"/>
  <c r="K19"/>
  <c r="R12" s="1"/>
  <c r="I19"/>
  <c r="I18"/>
  <c r="C18" i="9"/>
  <c r="C63" s="1"/>
  <c r="C86" s="1"/>
  <c r="C109" s="1"/>
  <c r="C132" s="1"/>
  <c r="C155" s="1"/>
  <c r="C64"/>
  <c r="C87" s="1"/>
  <c r="C110" s="1"/>
  <c r="C133" s="1"/>
  <c r="C156" s="1"/>
  <c r="C65"/>
  <c r="C88" s="1"/>
  <c r="C111" s="1"/>
  <c r="C134" s="1"/>
  <c r="C157" s="1"/>
  <c r="E63"/>
  <c r="E86" s="1"/>
  <c r="E109" s="1"/>
  <c r="E132" s="1"/>
  <c r="E155" s="1"/>
  <c r="F19"/>
  <c r="F18" s="1"/>
  <c r="E64"/>
  <c r="E87" s="1"/>
  <c r="E110" s="1"/>
  <c r="E133" s="1"/>
  <c r="E156" s="1"/>
  <c r="D64"/>
  <c r="D87" s="1"/>
  <c r="D110" s="1"/>
  <c r="D133" s="1"/>
  <c r="D156" s="1"/>
  <c r="E62"/>
  <c r="E85" s="1"/>
  <c r="E108" s="1"/>
  <c r="E131" s="1"/>
  <c r="E154" s="1"/>
  <c r="D63"/>
  <c r="D86" s="1"/>
  <c r="D109" s="1"/>
  <c r="D132" s="1"/>
  <c r="D155" s="1"/>
  <c r="D150" i="8"/>
  <c r="E150"/>
  <c r="F150"/>
  <c r="C150"/>
  <c r="D165"/>
  <c r="F164"/>
  <c r="E164"/>
  <c r="D164"/>
  <c r="C164"/>
  <c r="D127"/>
  <c r="E127"/>
  <c r="F127"/>
  <c r="C127"/>
  <c r="D142"/>
  <c r="F141"/>
  <c r="E141"/>
  <c r="D141"/>
  <c r="C141"/>
  <c r="D104"/>
  <c r="E104"/>
  <c r="F104"/>
  <c r="C104"/>
  <c r="F118"/>
  <c r="E118"/>
  <c r="D118"/>
  <c r="C118"/>
  <c r="D81"/>
  <c r="E81"/>
  <c r="F81"/>
  <c r="C81"/>
  <c r="F95"/>
  <c r="E95"/>
  <c r="D95"/>
  <c r="C95"/>
  <c r="D58"/>
  <c r="E58"/>
  <c r="F58"/>
  <c r="C58"/>
  <c r="F73"/>
  <c r="E73"/>
  <c r="F72"/>
  <c r="E72"/>
  <c r="D72"/>
  <c r="C72"/>
  <c r="E50"/>
  <c r="C50"/>
  <c r="D49"/>
  <c r="E49"/>
  <c r="F49"/>
  <c r="C49"/>
  <c r="D35"/>
  <c r="E35"/>
  <c r="F35"/>
  <c r="C35"/>
  <c r="C13" i="3"/>
  <c r="C5" i="8" s="1"/>
  <c r="F24" i="3"/>
  <c r="E27"/>
  <c r="E5" i="9" s="1"/>
  <c r="E26" i="3"/>
  <c r="F27"/>
  <c r="F5" i="9" s="1"/>
  <c r="F12" i="3"/>
  <c r="W8"/>
  <c r="W6"/>
  <c r="W9"/>
  <c r="W7"/>
  <c r="Q9"/>
  <c r="R6"/>
  <c r="C7" i="8" s="1"/>
  <c r="AF37" i="2"/>
  <c r="AG37"/>
  <c r="AF40" l="1"/>
  <c r="L20" i="11"/>
  <c r="Q13"/>
  <c r="L23"/>
  <c r="Q16"/>
  <c r="L19"/>
  <c r="Q12"/>
  <c r="L21"/>
  <c r="Q14"/>
  <c r="L18"/>
  <c r="Q11"/>
  <c r="L22"/>
  <c r="Q15"/>
  <c r="C17" i="9"/>
  <c r="C62" s="1"/>
  <c r="C85" s="1"/>
  <c r="C108" s="1"/>
  <c r="C131" s="1"/>
  <c r="C154" s="1"/>
  <c r="F64"/>
  <c r="F87" s="1"/>
  <c r="F110" s="1"/>
  <c r="F133" s="1"/>
  <c r="F156" s="1"/>
  <c r="C23" i="8"/>
  <c r="C13"/>
  <c r="E76"/>
  <c r="F17" i="9"/>
  <c r="F63"/>
  <c r="F86" s="1"/>
  <c r="F109" s="1"/>
  <c r="F132" s="1"/>
  <c r="F155" s="1"/>
  <c r="E53" i="8"/>
  <c r="E61" i="9"/>
  <c r="E84" s="1"/>
  <c r="E107" s="1"/>
  <c r="E130" s="1"/>
  <c r="E153" s="1"/>
  <c r="D62"/>
  <c r="D85" s="1"/>
  <c r="D108" s="1"/>
  <c r="D131" s="1"/>
  <c r="D154" s="1"/>
  <c r="E122" i="8"/>
  <c r="F145" s="1"/>
  <c r="J9" i="11" s="1"/>
  <c r="E168" i="8"/>
  <c r="E145"/>
  <c r="F168" s="1"/>
  <c r="J10" i="11" s="1"/>
  <c r="E99" i="8"/>
  <c r="F13" i="3"/>
  <c r="E13"/>
  <c r="C26"/>
  <c r="E24"/>
  <c r="E25" s="1"/>
  <c r="U8" s="1"/>
  <c r="E7" i="9" s="1"/>
  <c r="U9" i="3"/>
  <c r="D13"/>
  <c r="D24"/>
  <c r="E10"/>
  <c r="E12"/>
  <c r="D10"/>
  <c r="C27"/>
  <c r="C5" i="9" s="1"/>
  <c r="D12" i="3"/>
  <c r="D26"/>
  <c r="C10"/>
  <c r="D27"/>
  <c r="D5" i="9" s="1"/>
  <c r="AF39" i="2"/>
  <c r="AE40"/>
  <c r="AH37"/>
  <c r="E10" i="12" l="1"/>
  <c r="G168" i="8"/>
  <c r="K10" i="11" s="1"/>
  <c r="P16" s="1"/>
  <c r="I10"/>
  <c r="E9" i="12"/>
  <c r="I9" i="11"/>
  <c r="G145" i="8"/>
  <c r="K9" i="11" s="1"/>
  <c r="P15" s="1"/>
  <c r="E8" i="12"/>
  <c r="I8" i="11"/>
  <c r="E7" i="12"/>
  <c r="I7" i="11"/>
  <c r="F122" i="8"/>
  <c r="E6" i="12"/>
  <c r="I6" i="11"/>
  <c r="E5" i="12"/>
  <c r="I5" i="11"/>
  <c r="F76" i="8"/>
  <c r="C21"/>
  <c r="C22"/>
  <c r="C16" i="9"/>
  <c r="C69" i="8"/>
  <c r="C92" s="1"/>
  <c r="C115" s="1"/>
  <c r="C138" s="1"/>
  <c r="C161" s="1"/>
  <c r="E7"/>
  <c r="F5"/>
  <c r="D5"/>
  <c r="E5"/>
  <c r="F22" i="9"/>
  <c r="F68"/>
  <c r="F91" s="1"/>
  <c r="F114" s="1"/>
  <c r="F137" s="1"/>
  <c r="F160" s="1"/>
  <c r="D21"/>
  <c r="E58"/>
  <c r="E81" s="1"/>
  <c r="E104" s="1"/>
  <c r="E127" s="1"/>
  <c r="E150" s="1"/>
  <c r="F16"/>
  <c r="F62"/>
  <c r="F85" s="1"/>
  <c r="F108" s="1"/>
  <c r="F131" s="1"/>
  <c r="F154" s="1"/>
  <c r="E68"/>
  <c r="E91" s="1"/>
  <c r="E114" s="1"/>
  <c r="E137" s="1"/>
  <c r="E160" s="1"/>
  <c r="E22"/>
  <c r="AE39" i="2"/>
  <c r="AE38"/>
  <c r="AH38"/>
  <c r="X42"/>
  <c r="E60" i="9"/>
  <c r="E83" s="1"/>
  <c r="E106" s="1"/>
  <c r="E129" s="1"/>
  <c r="E152" s="1"/>
  <c r="E59"/>
  <c r="E82" s="1"/>
  <c r="E105" s="1"/>
  <c r="E128" s="1"/>
  <c r="E151" s="1"/>
  <c r="D61"/>
  <c r="D84" s="1"/>
  <c r="D107" s="1"/>
  <c r="D130" s="1"/>
  <c r="D153" s="1"/>
  <c r="C7"/>
  <c r="F7" i="8"/>
  <c r="AG38" i="2"/>
  <c r="AH39"/>
  <c r="O12" i="11" l="1"/>
  <c r="L10"/>
  <c r="O16"/>
  <c r="O11"/>
  <c r="L8"/>
  <c r="O14"/>
  <c r="L9"/>
  <c r="O15"/>
  <c r="L7"/>
  <c r="O13"/>
  <c r="X46" i="2"/>
  <c r="G122" i="8"/>
  <c r="P14" i="11" s="1"/>
  <c r="J8"/>
  <c r="G99" i="8"/>
  <c r="P13" i="11" s="1"/>
  <c r="J7"/>
  <c r="J6"/>
  <c r="G76" i="8"/>
  <c r="K6" i="11" s="1"/>
  <c r="P12" s="1"/>
  <c r="C15" i="9"/>
  <c r="C61"/>
  <c r="C84" s="1"/>
  <c r="C107" s="1"/>
  <c r="C130" s="1"/>
  <c r="C153" s="1"/>
  <c r="D58"/>
  <c r="D81" s="1"/>
  <c r="D104" s="1"/>
  <c r="D127" s="1"/>
  <c r="D150" s="1"/>
  <c r="C58"/>
  <c r="C81" s="1"/>
  <c r="C104" s="1"/>
  <c r="C127" s="1"/>
  <c r="C150" s="1"/>
  <c r="D23" i="8"/>
  <c r="D13"/>
  <c r="D59" s="1"/>
  <c r="D82" s="1"/>
  <c r="D105" s="1"/>
  <c r="D128" s="1"/>
  <c r="D151" s="1"/>
  <c r="E23"/>
  <c r="F23"/>
  <c r="E13"/>
  <c r="E59" s="1"/>
  <c r="E82" s="1"/>
  <c r="E105" s="1"/>
  <c r="E128" s="1"/>
  <c r="E151" s="1"/>
  <c r="E21" i="9"/>
  <c r="E66" s="1"/>
  <c r="E89" s="1"/>
  <c r="E112" s="1"/>
  <c r="E135" s="1"/>
  <c r="E158" s="1"/>
  <c r="E67"/>
  <c r="E90" s="1"/>
  <c r="E113" s="1"/>
  <c r="E136" s="1"/>
  <c r="E159" s="1"/>
  <c r="D68"/>
  <c r="D91" s="1"/>
  <c r="D114" s="1"/>
  <c r="D137" s="1"/>
  <c r="D160" s="1"/>
  <c r="F15"/>
  <c r="F61"/>
  <c r="F84" s="1"/>
  <c r="F107" s="1"/>
  <c r="F130" s="1"/>
  <c r="F153" s="1"/>
  <c r="C68"/>
  <c r="C91" s="1"/>
  <c r="C114" s="1"/>
  <c r="C137" s="1"/>
  <c r="C160" s="1"/>
  <c r="C22"/>
  <c r="F21"/>
  <c r="F66" s="1"/>
  <c r="F89" s="1"/>
  <c r="F112" s="1"/>
  <c r="F135" s="1"/>
  <c r="F158" s="1"/>
  <c r="F67"/>
  <c r="F90" s="1"/>
  <c r="F113" s="1"/>
  <c r="F136" s="1"/>
  <c r="F159" s="1"/>
  <c r="F13" i="8"/>
  <c r="X47" i="2"/>
  <c r="X49"/>
  <c r="X48"/>
  <c r="Y42"/>
  <c r="W42"/>
  <c r="D59" i="9"/>
  <c r="D82" s="1"/>
  <c r="D105" s="1"/>
  <c r="D128" s="1"/>
  <c r="D151" s="1"/>
  <c r="D60"/>
  <c r="D83" s="1"/>
  <c r="D106" s="1"/>
  <c r="D129" s="1"/>
  <c r="D152" s="1"/>
  <c r="E66" i="8"/>
  <c r="E89" s="1"/>
  <c r="E112" s="1"/>
  <c r="E135" s="1"/>
  <c r="E158" s="1"/>
  <c r="D66"/>
  <c r="D89" s="1"/>
  <c r="D112" s="1"/>
  <c r="D135" s="1"/>
  <c r="D158" s="1"/>
  <c r="F66"/>
  <c r="F89" s="1"/>
  <c r="F112" s="1"/>
  <c r="F135" s="1"/>
  <c r="F158" s="1"/>
  <c r="F59"/>
  <c r="F82" s="1"/>
  <c r="F105" s="1"/>
  <c r="F128" s="1"/>
  <c r="F151" s="1"/>
  <c r="C59"/>
  <c r="C82" s="1"/>
  <c r="C105" s="1"/>
  <c r="C128" s="1"/>
  <c r="C151" s="1"/>
  <c r="Z42" i="2"/>
  <c r="W48" l="1"/>
  <c r="W49"/>
  <c r="W46"/>
  <c r="W47"/>
  <c r="Y47"/>
  <c r="X50"/>
  <c r="Z47"/>
  <c r="C14" i="9"/>
  <c r="C59" s="1"/>
  <c r="C82" s="1"/>
  <c r="C105" s="1"/>
  <c r="C128" s="1"/>
  <c r="C151" s="1"/>
  <c r="C60"/>
  <c r="C83" s="1"/>
  <c r="C106" s="1"/>
  <c r="C129" s="1"/>
  <c r="C152" s="1"/>
  <c r="E69" i="8"/>
  <c r="E92" s="1"/>
  <c r="E115" s="1"/>
  <c r="E138" s="1"/>
  <c r="E161" s="1"/>
  <c r="D69"/>
  <c r="D92" s="1"/>
  <c r="D115" s="1"/>
  <c r="D138" s="1"/>
  <c r="D161" s="1"/>
  <c r="F69"/>
  <c r="F92" s="1"/>
  <c r="F115" s="1"/>
  <c r="F138" s="1"/>
  <c r="F161" s="1"/>
  <c r="F59" i="9"/>
  <c r="F82" s="1"/>
  <c r="F105" s="1"/>
  <c r="F128" s="1"/>
  <c r="F151" s="1"/>
  <c r="F60"/>
  <c r="F83" s="1"/>
  <c r="F106" s="1"/>
  <c r="F129" s="1"/>
  <c r="F152" s="1"/>
  <c r="D66"/>
  <c r="D89" s="1"/>
  <c r="D112" s="1"/>
  <c r="D135" s="1"/>
  <c r="D158" s="1"/>
  <c r="D67"/>
  <c r="D90" s="1"/>
  <c r="D113" s="1"/>
  <c r="D136" s="1"/>
  <c r="D159" s="1"/>
  <c r="C21"/>
  <c r="C67"/>
  <c r="C90" s="1"/>
  <c r="C113" s="1"/>
  <c r="C136" s="1"/>
  <c r="C159" s="1"/>
  <c r="Y48" i="2"/>
  <c r="Y49"/>
  <c r="Y46"/>
  <c r="D65" i="8"/>
  <c r="D88" s="1"/>
  <c r="D111" s="1"/>
  <c r="D134" s="1"/>
  <c r="D157" s="1"/>
  <c r="F65"/>
  <c r="F88" s="1"/>
  <c r="F111" s="1"/>
  <c r="F134" s="1"/>
  <c r="F157" s="1"/>
  <c r="E65"/>
  <c r="E88" s="1"/>
  <c r="E111" s="1"/>
  <c r="E134" s="1"/>
  <c r="E157" s="1"/>
  <c r="C65"/>
  <c r="C88" s="1"/>
  <c r="C111" s="1"/>
  <c r="C134" s="1"/>
  <c r="C157" s="1"/>
  <c r="Z48" i="2"/>
  <c r="Z49"/>
  <c r="Z46"/>
  <c r="AA47" l="1"/>
  <c r="AB47" s="1"/>
  <c r="AA55" s="1"/>
  <c r="Z50"/>
  <c r="Y50"/>
  <c r="W50"/>
  <c r="C66" i="9"/>
  <c r="C89" s="1"/>
  <c r="C112" s="1"/>
  <c r="C135" s="1"/>
  <c r="C158" s="1"/>
  <c r="D68" i="8"/>
  <c r="D91" s="1"/>
  <c r="D114" s="1"/>
  <c r="D137" s="1"/>
  <c r="D160" s="1"/>
  <c r="F68"/>
  <c r="F91" s="1"/>
  <c r="E68"/>
  <c r="E91" s="1"/>
  <c r="E114" s="1"/>
  <c r="E137" s="1"/>
  <c r="E160" s="1"/>
  <c r="AA48" i="2"/>
  <c r="AB48" s="1"/>
  <c r="AA49"/>
  <c r="AB49" s="1"/>
  <c r="AC49" s="1"/>
  <c r="AA46"/>
  <c r="C66" i="8"/>
  <c r="C89" s="1"/>
  <c r="C112" s="1"/>
  <c r="C135" s="1"/>
  <c r="C158" s="1"/>
  <c r="C68"/>
  <c r="C91" s="1"/>
  <c r="C114" s="1"/>
  <c r="C137" s="1"/>
  <c r="C160" s="1"/>
  <c r="D64"/>
  <c r="D87" s="1"/>
  <c r="D110" s="1"/>
  <c r="D133" s="1"/>
  <c r="D156" s="1"/>
  <c r="E64"/>
  <c r="E87" s="1"/>
  <c r="E110" s="1"/>
  <c r="E133" s="1"/>
  <c r="E156" s="1"/>
  <c r="F64"/>
  <c r="F87" s="1"/>
  <c r="F110" s="1"/>
  <c r="F133" s="1"/>
  <c r="F156" s="1"/>
  <c r="D67"/>
  <c r="D90" s="1"/>
  <c r="D113" s="1"/>
  <c r="D136" s="1"/>
  <c r="D159" s="1"/>
  <c r="F67"/>
  <c r="F90" s="1"/>
  <c r="F113" s="1"/>
  <c r="F136" s="1"/>
  <c r="F159" s="1"/>
  <c r="E67"/>
  <c r="E90" s="1"/>
  <c r="E113" s="1"/>
  <c r="E136" s="1"/>
  <c r="E159" s="1"/>
  <c r="F114" l="1"/>
  <c r="F137" s="1"/>
  <c r="F160" s="1"/>
  <c r="AC47" i="2"/>
  <c r="AJ38"/>
  <c r="U61"/>
  <c r="V61" s="1"/>
  <c r="AS38"/>
  <c r="AA56"/>
  <c r="U62"/>
  <c r="V62" s="1"/>
  <c r="AC48"/>
  <c r="AA57"/>
  <c r="U63"/>
  <c r="V63" s="1"/>
  <c r="AB46"/>
  <c r="AA50"/>
  <c r="AS40"/>
  <c r="AJ39"/>
  <c r="AN37" s="1"/>
  <c r="AS39"/>
  <c r="AJ40"/>
  <c r="AO37" s="1"/>
  <c r="C64" i="8"/>
  <c r="C87" s="1"/>
  <c r="C110" s="1"/>
  <c r="C133" s="1"/>
  <c r="C156" s="1"/>
  <c r="C67"/>
  <c r="C90" s="1"/>
  <c r="C113" s="1"/>
  <c r="C136" s="1"/>
  <c r="C159" s="1"/>
  <c r="C63"/>
  <c r="C86" s="1"/>
  <c r="C109" s="1"/>
  <c r="C132" s="1"/>
  <c r="C155" s="1"/>
  <c r="F63"/>
  <c r="F86" s="1"/>
  <c r="F109" s="1"/>
  <c r="F132" s="1"/>
  <c r="F155" s="1"/>
  <c r="D63"/>
  <c r="D86" s="1"/>
  <c r="D109" s="1"/>
  <c r="D132" s="1"/>
  <c r="D155" s="1"/>
  <c r="E63"/>
  <c r="E86" s="1"/>
  <c r="E109" s="1"/>
  <c r="E132" s="1"/>
  <c r="E155" s="1"/>
  <c r="AJ37" i="2" l="1"/>
  <c r="AB50"/>
  <c r="AC50" s="1"/>
  <c r="AS37"/>
  <c r="AC46"/>
  <c r="U60"/>
  <c r="V60" s="1"/>
  <c r="AA54"/>
  <c r="AO40"/>
  <c r="AO39"/>
  <c r="AO38"/>
  <c r="AN40"/>
  <c r="AN39"/>
  <c r="AN38"/>
  <c r="D62" i="8"/>
  <c r="D85" s="1"/>
  <c r="D108" s="1"/>
  <c r="D131" s="1"/>
  <c r="D154" s="1"/>
  <c r="C62"/>
  <c r="C85" s="1"/>
  <c r="C108" s="1"/>
  <c r="C131" s="1"/>
  <c r="C154" s="1"/>
  <c r="E62"/>
  <c r="E85" s="1"/>
  <c r="E108" s="1"/>
  <c r="E131" s="1"/>
  <c r="E154" s="1"/>
  <c r="F62"/>
  <c r="F85" s="1"/>
  <c r="F108" s="1"/>
  <c r="F131" s="1"/>
  <c r="F154" s="1"/>
  <c r="AQ38" i="2" l="1"/>
  <c r="AU38" s="1"/>
  <c r="AQ37"/>
  <c r="AU37" s="1"/>
  <c r="AQ40"/>
  <c r="AU40" s="1"/>
  <c r="AQ39"/>
  <c r="AU39" s="1"/>
  <c r="E61" i="8"/>
  <c r="E84" s="1"/>
  <c r="E107" s="1"/>
  <c r="E130" s="1"/>
  <c r="E153" s="1"/>
  <c r="D61"/>
  <c r="D84" s="1"/>
  <c r="D107" s="1"/>
  <c r="D130" s="1"/>
  <c r="D153" s="1"/>
  <c r="F61"/>
  <c r="F84" s="1"/>
  <c r="F107" s="1"/>
  <c r="F130" s="1"/>
  <c r="F153" s="1"/>
  <c r="C61"/>
  <c r="C84" s="1"/>
  <c r="C107" s="1"/>
  <c r="C130" s="1"/>
  <c r="C153" s="1"/>
  <c r="AX37" i="2" l="1"/>
  <c r="AX38" s="1"/>
  <c r="AX40" s="1"/>
  <c r="E60" i="8"/>
  <c r="E83" s="1"/>
  <c r="E106" s="1"/>
  <c r="E129" s="1"/>
  <c r="E152" s="1"/>
  <c r="C60"/>
  <c r="C83" s="1"/>
  <c r="C106" s="1"/>
  <c r="C129" s="1"/>
  <c r="C152" s="1"/>
  <c r="D60"/>
  <c r="D83" s="1"/>
  <c r="D106" s="1"/>
  <c r="D129" s="1"/>
  <c r="D152" s="1"/>
  <c r="F60"/>
  <c r="F83" s="1"/>
  <c r="F106" s="1"/>
  <c r="F129" s="1"/>
  <c r="F152" s="1"/>
</calcChain>
</file>

<file path=xl/sharedStrings.xml><?xml version="1.0" encoding="utf-8"?>
<sst xmlns="http://schemas.openxmlformats.org/spreadsheetml/2006/main" count="979" uniqueCount="241">
  <si>
    <t>Langkah 1 : Definisikan terlebih dahulu kriteria-kriteria yang akan dijadikan sebagai tolak ukur dan menentukan bobot dari masing-masing kriteria</t>
  </si>
  <si>
    <t xml:space="preserve">Kriteria </t>
  </si>
  <si>
    <t>Kode</t>
  </si>
  <si>
    <t>Pemakaian Bahan Baku</t>
  </si>
  <si>
    <t>Jam Kerja Karyawan</t>
  </si>
  <si>
    <t>Minimisasi Produk Cacat</t>
  </si>
  <si>
    <t>C1</t>
  </si>
  <si>
    <t>C2</t>
  </si>
  <si>
    <t>C3</t>
  </si>
  <si>
    <t>C4</t>
  </si>
  <si>
    <t>Langkah 2 : Menghitung nilai matrix perbandingan dari masing-masing kriteria berdasarkan tabel nilai kepentingan</t>
  </si>
  <si>
    <t>Responden 1 Pengelola UKM</t>
  </si>
  <si>
    <t>Kriteria A</t>
  </si>
  <si>
    <t>Skala Penilaian</t>
  </si>
  <si>
    <t>Kriteria B</t>
  </si>
  <si>
    <t>Responden 2 Pengelola UKM</t>
  </si>
  <si>
    <t>Kriteria</t>
  </si>
  <si>
    <t>Langkah 3: Menghitung nilai bobot kriteria (Wj)</t>
  </si>
  <si>
    <t>Total</t>
  </si>
  <si>
    <t>Normalisasi Matrix</t>
  </si>
  <si>
    <t>λ Max =</t>
  </si>
  <si>
    <t>CI =</t>
  </si>
  <si>
    <t>CR =</t>
  </si>
  <si>
    <t>RI =</t>
  </si>
  <si>
    <t>Jika nilai CI/CR dibawah dari 10% maka konsistensi hirarki dapat diterima</t>
  </si>
  <si>
    <t>Namun jika diatas dari 10% penilaian data judgment harus diperbaiki</t>
  </si>
  <si>
    <t>Jika Nilai CR &lt;= 0,1 maka matrix tersebut konsisten</t>
  </si>
  <si>
    <t>Jika Nilai CR &gt; 0,1 maka matrix tersebut tidak konsisten</t>
  </si>
  <si>
    <r>
      <t>Produk Cacat (</t>
    </r>
    <r>
      <rPr>
        <i/>
        <sz val="12"/>
        <color theme="1"/>
        <rFont val="Times New Roman"/>
        <family val="1"/>
      </rPr>
      <t>Pieces</t>
    </r>
    <r>
      <rPr>
        <sz val="12"/>
        <color theme="1"/>
        <rFont val="Times New Roman"/>
        <family val="1"/>
      </rPr>
      <t>)</t>
    </r>
  </si>
  <si>
    <t>Pemakaian Bahan Baku (Kg)</t>
  </si>
  <si>
    <t>Jam Kerja Terpakai (Jam)</t>
  </si>
  <si>
    <t>Jumlah Tenaga Kerja (Orang)</t>
  </si>
  <si>
    <t>Juli</t>
  </si>
  <si>
    <t>Agustus</t>
  </si>
  <si>
    <t>September</t>
  </si>
  <si>
    <t xml:space="preserve">Oktober </t>
  </si>
  <si>
    <t>November</t>
  </si>
  <si>
    <t>Desember</t>
  </si>
  <si>
    <t>Rasio 1</t>
  </si>
  <si>
    <t>Rasio 2</t>
  </si>
  <si>
    <t>Rasio 3</t>
  </si>
  <si>
    <t>Rasio 4</t>
  </si>
  <si>
    <t>Rata-rata</t>
  </si>
  <si>
    <t>Rasio Terbaik</t>
  </si>
  <si>
    <t>Rasio Terburuk</t>
  </si>
  <si>
    <t>Jenis Rasio</t>
  </si>
  <si>
    <t>Target Kenaikan</t>
  </si>
  <si>
    <t>Skor</t>
  </si>
  <si>
    <t>Akan Dinaikkan = 10%</t>
  </si>
  <si>
    <t>100% + 10% = 110%</t>
  </si>
  <si>
    <t>(±100%)</t>
  </si>
  <si>
    <t>Rasio</t>
  </si>
  <si>
    <t>Keterangan</t>
  </si>
  <si>
    <t>Sangat Baik</t>
  </si>
  <si>
    <t>Baik</t>
  </si>
  <si>
    <t>Sedang</t>
  </si>
  <si>
    <t>Buruk</t>
  </si>
  <si>
    <t>Sangat Buruk</t>
  </si>
  <si>
    <t>Saat Ini</t>
  </si>
  <si>
    <t>Periode Dasar</t>
  </si>
  <si>
    <t>Indeks</t>
  </si>
  <si>
    <t>Penetapan Sasaran Jangka Panjang (Level 10)</t>
  </si>
  <si>
    <t>Nilai Standar Awal (Level 3)</t>
  </si>
  <si>
    <t xml:space="preserve">Contoh Perhitungan </t>
  </si>
  <si>
    <t>Nilai Terendah (Level 0)</t>
  </si>
  <si>
    <t>Nilai Target      (Level 10)</t>
  </si>
  <si>
    <t>Tabel Matrix OMAX Bentuk Awal Periode Juli-Desember 2021</t>
  </si>
  <si>
    <t>Nilai Aktual</t>
  </si>
  <si>
    <t>Bobot</t>
  </si>
  <si>
    <t>Nilai Produktivitas</t>
  </si>
  <si>
    <t xml:space="preserve">Tabel Penambahan Interval Level </t>
  </si>
  <si>
    <t>Level 4-9</t>
  </si>
  <si>
    <t>Level 1-2</t>
  </si>
  <si>
    <t>Tabel Standar Awal (Level 3) Tahun 2021</t>
  </si>
  <si>
    <t>Tabel Standar Awal (Level 3) Tahun 2022</t>
  </si>
  <si>
    <t>Tabel Matrix OMAX Bulan Juli 2021</t>
  </si>
  <si>
    <t>Tabel Matrix OMAX Bulan Agustus 2021</t>
  </si>
  <si>
    <t>Tabel Matrix OMAX Bulan September 2021</t>
  </si>
  <si>
    <t>Tabel Matrix OMAX Bulan Oktober 2021</t>
  </si>
  <si>
    <t>Tabel Matrix OMAX Bulan November 2021</t>
  </si>
  <si>
    <t>Tabel Matrix OMAX Bulan Desember 2021</t>
  </si>
  <si>
    <r>
      <t>Hasil Produksi Aktual (</t>
    </r>
    <r>
      <rPr>
        <i/>
        <sz val="12"/>
        <color theme="1"/>
        <rFont val="Times New Roman"/>
        <family val="1"/>
      </rPr>
      <t>Pieces</t>
    </r>
    <r>
      <rPr>
        <sz val="12"/>
        <color theme="1"/>
        <rFont val="Times New Roman"/>
        <family val="1"/>
      </rPr>
      <t>)</t>
    </r>
  </si>
  <si>
    <t>Level 3 = 33,506</t>
  </si>
  <si>
    <t>110% x 33,506 = 36,857</t>
  </si>
  <si>
    <t>Tabel Acuan OMAX Tahun 2022</t>
  </si>
  <si>
    <t>Tabel Acuan OMAX Tahun 2021</t>
  </si>
  <si>
    <t>Tabel Matrix OMAX Bentuk Awal Periode Juli-Desember 2022</t>
  </si>
  <si>
    <t>Tabel Matrix OMAX Bulan Juli 2022</t>
  </si>
  <si>
    <t>Tabel Matrix OMAX Bulan Agustus 2022</t>
  </si>
  <si>
    <t>Tabel Matrix OMAX Bulan September 2022</t>
  </si>
  <si>
    <t>Tabel Matrix OMAX Bulan Oktober 2022</t>
  </si>
  <si>
    <t>Tabel Matrix OMAX Bulan November 2022</t>
  </si>
  <si>
    <t>Tabel Matrix OMAX Bulan Desember 2022</t>
  </si>
  <si>
    <t>x</t>
  </si>
  <si>
    <t>=</t>
  </si>
  <si>
    <t>:</t>
  </si>
  <si>
    <t>Kerja Karyawan</t>
  </si>
  <si>
    <t>Sedangkan skala penilian sebelah kanan penulisan angkanya 1/Skala Penilaian</t>
  </si>
  <si>
    <t>skala penilian untuk sebelah kiri penulisan angka tetap</t>
  </si>
  <si>
    <t>Bulan</t>
  </si>
  <si>
    <t>Tahun 2021</t>
  </si>
  <si>
    <t>Tahun 2022</t>
  </si>
  <si>
    <t xml:space="preserve">Rasio </t>
  </si>
  <si>
    <t>Tabel Kode Kriteria</t>
  </si>
  <si>
    <t>Dalam pengukuran produktivitas, menurut Saudara/i kriteria manakah yang lebih penting dibandingkan kriteria-kriteria berikut ?</t>
  </si>
  <si>
    <t>Tabel Matrik Perbandingan Berpasangan</t>
  </si>
  <si>
    <t xml:space="preserve">Total </t>
  </si>
  <si>
    <t>EV  =</t>
  </si>
  <si>
    <t>tabel bobot tiap kriteria</t>
  </si>
  <si>
    <t>%</t>
  </si>
  <si>
    <t xml:space="preserve">Tabel Sasaran Jangka Panjang Tahun 2021 </t>
  </si>
  <si>
    <t xml:space="preserve">Tabel Sasaran Jangka Panjang Tahun 2022 </t>
  </si>
  <si>
    <r>
      <rPr>
        <i/>
        <sz val="12"/>
        <color theme="1"/>
        <rFont val="Times New Roman"/>
        <family val="1"/>
      </rPr>
      <t>Level</t>
    </r>
    <r>
      <rPr>
        <sz val="12"/>
        <color theme="1"/>
        <rFont val="Times New Roman"/>
        <family val="1"/>
      </rPr>
      <t xml:space="preserve"> 4-9</t>
    </r>
  </si>
  <si>
    <r>
      <rPr>
        <i/>
        <sz val="12"/>
        <color theme="1"/>
        <rFont val="Times New Roman"/>
        <family val="1"/>
      </rPr>
      <t>Level</t>
    </r>
    <r>
      <rPr>
        <sz val="12"/>
        <color theme="1"/>
        <rFont val="Times New Roman"/>
        <family val="1"/>
      </rPr>
      <t xml:space="preserve"> 1-2</t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</si>
  <si>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0</t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</si>
  <si>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10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</si>
  <si>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9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</si>
  <si>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8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</si>
  <si>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7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</si>
  <si>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6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</si>
  <si>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5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</si>
  <si>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4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</si>
  <si>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</si>
  <si>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2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</si>
  <si>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1</t>
    </r>
    <r>
      <rPr>
        <sz val="11"/>
        <color theme="1"/>
        <rFont val="Calibri"/>
        <family val="2"/>
        <scheme val="minor"/>
      </rPr>
      <t/>
    </r>
  </si>
  <si>
    <t>Sebelumnya</t>
  </si>
  <si>
    <t>Pencapaian Skor</t>
  </si>
  <si>
    <t>Tabel Rekapitulasi Skor dan Indeks Tahun 2021</t>
  </si>
  <si>
    <t>Tabel Rekapitulasi Skor dan Indeks Tahun 2022</t>
  </si>
  <si>
    <t>IP Sebelumnya</t>
  </si>
  <si>
    <t>Tabel Indeks Produktivitas Tahun 2021</t>
  </si>
  <si>
    <t>Tabel Indeks Produktivitas Tahun 2022</t>
  </si>
  <si>
    <r>
      <t>Hasil Produksi Baik (</t>
    </r>
    <r>
      <rPr>
        <i/>
        <sz val="10"/>
        <color theme="1"/>
        <rFont val="Times New Roman"/>
        <family val="1"/>
      </rPr>
      <t>Pieces</t>
    </r>
    <r>
      <rPr>
        <sz val="10"/>
        <color theme="1"/>
        <rFont val="Times New Roman"/>
        <family val="1"/>
      </rPr>
      <t>)</t>
    </r>
  </si>
  <si>
    <r>
      <t>Produk Cacat (</t>
    </r>
    <r>
      <rPr>
        <i/>
        <sz val="10"/>
        <color theme="1"/>
        <rFont val="Times New Roman"/>
        <family val="1"/>
      </rPr>
      <t>Pieces</t>
    </r>
    <r>
      <rPr>
        <sz val="10"/>
        <color theme="1"/>
        <rFont val="Times New Roman"/>
        <family val="1"/>
      </rPr>
      <t>)</t>
    </r>
  </si>
  <si>
    <r>
      <t>Hasil Produksi Aktual (</t>
    </r>
    <r>
      <rPr>
        <i/>
        <sz val="10"/>
        <color theme="1"/>
        <rFont val="Times New Roman"/>
        <family val="1"/>
      </rPr>
      <t>Pieces</t>
    </r>
    <r>
      <rPr>
        <sz val="10"/>
        <color theme="1"/>
        <rFont val="Times New Roman"/>
        <family val="1"/>
      </rPr>
      <t>)</t>
    </r>
  </si>
  <si>
    <r>
      <rPr>
        <i/>
        <sz val="10"/>
        <color theme="1"/>
        <rFont val="Times New Roman"/>
        <family val="1"/>
      </rPr>
      <t>Level</t>
    </r>
    <r>
      <rPr>
        <sz val="10"/>
        <color theme="1"/>
        <rFont val="Times New Roman"/>
        <family val="1"/>
      </rPr>
      <t xml:space="preserve"> 3</t>
    </r>
  </si>
  <si>
    <r>
      <rPr>
        <i/>
        <sz val="10"/>
        <color theme="1"/>
        <rFont val="Times New Roman"/>
        <family val="1"/>
      </rPr>
      <t>Level</t>
    </r>
    <r>
      <rPr>
        <sz val="10"/>
        <color theme="1"/>
        <rFont val="Times New Roman"/>
        <family val="1"/>
      </rPr>
      <t xml:space="preserve"> 10</t>
    </r>
  </si>
  <si>
    <t>Eigen Value</t>
  </si>
  <si>
    <r>
      <t xml:space="preserve"> (</t>
    </r>
    <r>
      <rPr>
        <i/>
        <sz val="12"/>
        <color theme="1"/>
        <rFont val="Times New Roman"/>
        <family val="1"/>
      </rPr>
      <t>Level</t>
    </r>
    <r>
      <rPr>
        <sz val="12"/>
        <color theme="1"/>
        <rFont val="Times New Roman"/>
        <family val="1"/>
      </rPr>
      <t xml:space="preserve"> 0)</t>
    </r>
  </si>
  <si>
    <r>
      <t>(</t>
    </r>
    <r>
      <rPr>
        <i/>
        <sz val="12"/>
        <color theme="1"/>
        <rFont val="Times New Roman"/>
        <family val="1"/>
      </rPr>
      <t>Level</t>
    </r>
    <r>
      <rPr>
        <sz val="12"/>
        <color theme="1"/>
        <rFont val="Times New Roman"/>
        <family val="1"/>
      </rPr>
      <t xml:space="preserve"> 3)</t>
    </r>
  </si>
  <si>
    <r>
      <t>(</t>
    </r>
    <r>
      <rPr>
        <i/>
        <sz val="12"/>
        <color theme="1"/>
        <rFont val="Times New Roman"/>
        <family val="1"/>
      </rPr>
      <t>Level</t>
    </r>
    <r>
      <rPr>
        <sz val="12"/>
        <color theme="1"/>
        <rFont val="Times New Roman"/>
        <family val="1"/>
      </rPr>
      <t xml:space="preserve"> 10)</t>
    </r>
  </si>
  <si>
    <t>IP Standar %</t>
  </si>
  <si>
    <t xml:space="preserve">Indikator Perfomansi </t>
  </si>
  <si>
    <t>IP  Perubahan Sebelumnya %</t>
  </si>
  <si>
    <t>Nilai Produktivitas Total</t>
  </si>
  <si>
    <t>Nilai Produktivitas Total 2021</t>
  </si>
  <si>
    <t>Nilai Produktivitas Total 2022</t>
  </si>
  <si>
    <t>33,312 - 33,355</t>
  </si>
  <si>
    <t>33,356 - 33,399</t>
  </si>
  <si>
    <t>33,400 - 33,442</t>
  </si>
  <si>
    <t>33,443 - 33,920</t>
  </si>
  <si>
    <t>33,921 - 34,398</t>
  </si>
  <si>
    <t>34,399 - 34,876</t>
  </si>
  <si>
    <t>34,877 - 35,354</t>
  </si>
  <si>
    <t>35,355 - 35,832</t>
  </si>
  <si>
    <t>35,833 - 36,310</t>
  </si>
  <si>
    <t>36,311 - 36,786</t>
  </si>
  <si>
    <t>86,961 - 87,742</t>
  </si>
  <si>
    <t>87,743 - 88,524</t>
  </si>
  <si>
    <t>88,525 - 89,306</t>
  </si>
  <si>
    <t>89,307 - 90,582</t>
  </si>
  <si>
    <t>90,583 - 91,858</t>
  </si>
  <si>
    <t>91,859 - 93,134</t>
  </si>
  <si>
    <t>93,135 - 94,410</t>
  </si>
  <si>
    <t>94,411 - 95,686</t>
  </si>
  <si>
    <t>95,687 - 96,962</t>
  </si>
  <si>
    <t>96,963 - 98,237</t>
  </si>
  <si>
    <t>5665,30 - 5809,76</t>
  </si>
  <si>
    <t>5809,77 - 5954,23</t>
  </si>
  <si>
    <t>5954,24 - 6098,69</t>
  </si>
  <si>
    <t>6098,70 - 6185,82</t>
  </si>
  <si>
    <t>6185,83 - 6272,65</t>
  </si>
  <si>
    <t>6272,96 - 6360,08</t>
  </si>
  <si>
    <t>6360,09 - 6447,21</t>
  </si>
  <si>
    <t>6447,22 - 6534,34</t>
  </si>
  <si>
    <t>6534,35 - 6621,47</t>
  </si>
  <si>
    <t>6621,48 - 6708,59</t>
  </si>
  <si>
    <t>0,0119 - 0,0128</t>
  </si>
  <si>
    <t>0,0109 - 0,0118</t>
  </si>
  <si>
    <t>0,0100 - 0,0108</t>
  </si>
  <si>
    <t>0,0089 - 0,0099</t>
  </si>
  <si>
    <t>0,0078 - 0,0088</t>
  </si>
  <si>
    <t>0,0067 - 0,0077</t>
  </si>
  <si>
    <t>0,0045 - 0,0055</t>
  </si>
  <si>
    <t>0,0034 - 0,0044</t>
  </si>
  <si>
    <t>0,0021 - 0,0033</t>
  </si>
  <si>
    <t>0,0056 - 0,0066</t>
  </si>
  <si>
    <t>33,392 - 33,429</t>
  </si>
  <si>
    <t>33,430 - 33,467</t>
  </si>
  <si>
    <t>33,468 - 33,505</t>
  </si>
  <si>
    <t>33,506 - 33,984</t>
  </si>
  <si>
    <t>33,985 - 34,463</t>
  </si>
  <si>
    <t>34,464 - 34,942</t>
  </si>
  <si>
    <t>35,422 - 35,900</t>
  </si>
  <si>
    <t>35,901 - 36, 379</t>
  </si>
  <si>
    <t>36,380 - 36,856</t>
  </si>
  <si>
    <t>88,692 - 89,213</t>
  </si>
  <si>
    <t>34,943 - 35,421</t>
  </si>
  <si>
    <t xml:space="preserve">97,991 - 99,282 </t>
  </si>
  <si>
    <t>96,702 - 97,990</t>
  </si>
  <si>
    <t xml:space="preserve">95,413 - 96,701 </t>
  </si>
  <si>
    <t xml:space="preserve">94,124 - 95,412 </t>
  </si>
  <si>
    <t>92,835 - 94,123</t>
  </si>
  <si>
    <t xml:space="preserve">91,546 - 92,834 </t>
  </si>
  <si>
    <t>90,257 - 91,545</t>
  </si>
  <si>
    <t xml:space="preserve">89,736 - 90,256 </t>
  </si>
  <si>
    <t>89,214 - 89,735</t>
  </si>
  <si>
    <t>0,0102 - 0,0107</t>
  </si>
  <si>
    <t>0,0096 - 0,0101</t>
  </si>
  <si>
    <t>0,0091 - 0,0095</t>
  </si>
  <si>
    <t xml:space="preserve">0,0081 - 0,0090 </t>
  </si>
  <si>
    <t>0,0071 - 0,0080</t>
  </si>
  <si>
    <t>0,0061 - 0,0070</t>
  </si>
  <si>
    <t>0,0051 - 0,0060</t>
  </si>
  <si>
    <t>0,0041 - 0,0050</t>
  </si>
  <si>
    <t>0,0031 - 0,0040</t>
  </si>
  <si>
    <t>0,0019 - 0,0030</t>
  </si>
  <si>
    <t>5900,90 - 6016,49</t>
  </si>
  <si>
    <t>5785,30 - 5900,89</t>
  </si>
  <si>
    <t>6016,50 - 6132,19</t>
  </si>
  <si>
    <t xml:space="preserve">6132,20 - 6219,79 </t>
  </si>
  <si>
    <t>6219,80 - 6307,39</t>
  </si>
  <si>
    <t>6307,40 - 6394,99</t>
  </si>
  <si>
    <t xml:space="preserve">6395 - 6482,59 </t>
  </si>
  <si>
    <t>6482,60 - 6570,19</t>
  </si>
  <si>
    <t>6570,20 - 6657,79</t>
  </si>
  <si>
    <t>6657,80 - 6745,41</t>
  </si>
  <si>
    <t>Tabel Perhitungan Rasio Tahun 2021</t>
  </si>
  <si>
    <t>Tabel Perhitungan Rasio Tahun 2022</t>
  </si>
  <si>
    <t>Tabel Rasio 2 Tahun 2022</t>
  </si>
  <si>
    <t>Tabel Rasio 2 Tahun 2021</t>
  </si>
  <si>
    <t>Tabel Rasio 1 Tahun 2022</t>
  </si>
  <si>
    <t>Tabel Rasio 1 Tahun 2021</t>
  </si>
  <si>
    <t>Tabel Rasio 3 Tahun 2021</t>
  </si>
  <si>
    <t>Tabel Rasio 3 Tahun 2022</t>
  </si>
  <si>
    <t>Tabel Rasio 4 Tahun 2021</t>
  </si>
  <si>
    <t>Tabel Rasio 4 Tahun 2022</t>
  </si>
  <si>
    <t>Tabel Data yang Digunakan Dalam Perhitungan Produktivitas Tahun 2022</t>
  </si>
  <si>
    <t>Tabel Data yang Digunakan Dalam Perhitungan Produktivitas Tahun 2021</t>
  </si>
  <si>
    <t>Tabel Perbandingan Indeks Produktivitas</t>
  </si>
  <si>
    <t>Tabel Perbandingan Nilai Produktivitas Total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</si>
</sst>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000"/>
    <numFmt numFmtId="167" formatCode="0.0"/>
    <numFmt numFmtId="168" formatCode="0.0%"/>
  </numFmts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3" borderId="1" xfId="0" applyFont="1" applyFill="1" applyBorder="1"/>
    <xf numFmtId="165" fontId="1" fillId="0" borderId="0" xfId="0" applyNumberFormat="1" applyFont="1"/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left" indent="3"/>
    </xf>
    <xf numFmtId="2" fontId="1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9" borderId="1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166" fontId="1" fillId="9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166" fontId="1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166" fontId="1" fillId="6" borderId="1" xfId="0" applyNumberFormat="1" applyFont="1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1" fillId="0" borderId="0" xfId="0" applyNumberFormat="1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167" fontId="1" fillId="8" borderId="1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167" fontId="1" fillId="9" borderId="1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7" fontId="1" fillId="7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64" fontId="1" fillId="3" borderId="0" xfId="0" applyNumberFormat="1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0" borderId="0" xfId="0" applyNumberFormat="1" applyFont="1" applyFill="1"/>
    <xf numFmtId="10" fontId="1" fillId="0" borderId="1" xfId="1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66" fontId="1" fillId="3" borderId="3" xfId="0" applyNumberFormat="1" applyFont="1" applyFill="1" applyBorder="1" applyAlignment="1">
      <alignment horizontal="center" vertical="center"/>
    </xf>
    <xf numFmtId="9" fontId="1" fillId="3" borderId="1" xfId="1" applyFont="1" applyFill="1" applyBorder="1" applyAlignment="1">
      <alignment horizontal="center" vertical="center"/>
    </xf>
    <xf numFmtId="10" fontId="1" fillId="3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 applyBorder="1" applyAlignment="1">
      <alignment vertical="center"/>
    </xf>
    <xf numFmtId="9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6" fontId="5" fillId="0" borderId="0" xfId="0" applyNumberFormat="1" applyFont="1"/>
    <xf numFmtId="0" fontId="5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9" fontId="5" fillId="6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/>
    <xf numFmtId="166" fontId="5" fillId="0" borderId="1" xfId="0" applyNumberFormat="1" applyFont="1" applyBorder="1"/>
    <xf numFmtId="164" fontId="5" fillId="3" borderId="1" xfId="0" applyNumberFormat="1" applyFont="1" applyFill="1" applyBorder="1" applyAlignment="1">
      <alignment horizontal="center"/>
    </xf>
    <xf numFmtId="9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Border="1"/>
    <xf numFmtId="166" fontId="5" fillId="3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/>
    </xf>
    <xf numFmtId="167" fontId="5" fillId="3" borderId="1" xfId="0" applyNumberFormat="1" applyFont="1" applyFill="1" applyBorder="1" applyAlignment="1">
      <alignment horizontal="center"/>
    </xf>
    <xf numFmtId="167" fontId="5" fillId="3" borderId="1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6" fontId="5" fillId="3" borderId="6" xfId="0" applyNumberFormat="1" applyFont="1" applyFill="1" applyBorder="1" applyAlignment="1">
      <alignment horizontal="center" vertical="center"/>
    </xf>
    <xf numFmtId="167" fontId="5" fillId="3" borderId="6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166" fontId="5" fillId="5" borderId="1" xfId="0" applyNumberFormat="1" applyFont="1" applyFill="1" applyBorder="1" applyAlignment="1">
      <alignment horizontal="center" vertical="center"/>
    </xf>
    <xf numFmtId="1" fontId="5" fillId="5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164" fontId="5" fillId="8" borderId="1" xfId="0" applyNumberFormat="1" applyFont="1" applyFill="1" applyBorder="1" applyAlignment="1">
      <alignment horizontal="center" vertical="center"/>
    </xf>
    <xf numFmtId="166" fontId="5" fillId="8" borderId="1" xfId="0" applyNumberFormat="1" applyFont="1" applyFill="1" applyBorder="1" applyAlignment="1">
      <alignment horizontal="center" vertical="center"/>
    </xf>
    <xf numFmtId="167" fontId="5" fillId="8" borderId="1" xfId="0" applyNumberFormat="1" applyFont="1" applyFill="1" applyBorder="1" applyAlignment="1">
      <alignment horizontal="center" vertical="center"/>
    </xf>
    <xf numFmtId="166" fontId="5" fillId="0" borderId="0" xfId="0" applyNumberFormat="1" applyFont="1" applyAlignment="1">
      <alignment horizontal="left"/>
    </xf>
    <xf numFmtId="9" fontId="5" fillId="0" borderId="0" xfId="0" applyNumberFormat="1" applyFont="1"/>
    <xf numFmtId="164" fontId="1" fillId="3" borderId="0" xfId="0" applyNumberFormat="1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164" fontId="1" fillId="3" borderId="0" xfId="0" applyNumberFormat="1" applyFont="1" applyFill="1"/>
    <xf numFmtId="164" fontId="2" fillId="3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center" vertical="center"/>
    </xf>
    <xf numFmtId="168" fontId="1" fillId="3" borderId="1" xfId="1" applyNumberFormat="1" applyFont="1" applyFill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horizontal="center" vertical="center"/>
    </xf>
    <xf numFmtId="1" fontId="1" fillId="3" borderId="0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7" fontId="5" fillId="0" borderId="1" xfId="0" applyNumberFormat="1" applyFont="1" applyBorder="1"/>
    <xf numFmtId="9" fontId="1" fillId="0" borderId="1" xfId="1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/>
    </xf>
    <xf numFmtId="166" fontId="8" fillId="11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 vertical="center"/>
    </xf>
    <xf numFmtId="167" fontId="1" fillId="6" borderId="1" xfId="0" applyNumberFormat="1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10" fontId="1" fillId="3" borderId="1" xfId="1" applyNumberFormat="1" applyFont="1" applyFill="1" applyBorder="1" applyAlignment="1">
      <alignment horizontal="center"/>
    </xf>
    <xf numFmtId="9" fontId="1" fillId="3" borderId="1" xfId="0" applyNumberFormat="1" applyFont="1" applyFill="1" applyBorder="1" applyAlignment="1">
      <alignment horizontal="center"/>
    </xf>
    <xf numFmtId="10" fontId="1" fillId="3" borderId="1" xfId="0" applyNumberFormat="1" applyFont="1" applyFill="1" applyBorder="1" applyAlignment="1">
      <alignment horizontal="center"/>
    </xf>
    <xf numFmtId="166" fontId="7" fillId="3" borderId="1" xfId="0" applyNumberFormat="1" applyFont="1" applyFill="1" applyBorder="1" applyAlignment="1">
      <alignment horizontal="center"/>
    </xf>
    <xf numFmtId="167" fontId="5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10" borderId="1" xfId="0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/>
    </xf>
    <xf numFmtId="9" fontId="1" fillId="3" borderId="1" xfId="1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5050"/>
      <color rgb="FFCCFFCC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Indeks Produktivitas Tahun 2021 dan 2022</a:t>
            </a:r>
          </a:p>
        </c:rich>
      </c:tx>
      <c:layout>
        <c:manualLayout>
          <c:xMode val="edge"/>
          <c:yMode val="edge"/>
          <c:x val="0.14266963157383139"/>
          <c:y val="3.7234042553191599E-2"/>
        </c:manualLayout>
      </c:layout>
    </c:title>
    <c:plotArea>
      <c:layout>
        <c:manualLayout>
          <c:layoutTarget val="inner"/>
          <c:xMode val="edge"/>
          <c:yMode val="edge"/>
          <c:x val="0.10793209876543212"/>
          <c:y val="0.21382978723404258"/>
          <c:w val="0.59577160493827164"/>
          <c:h val="0.50242209750376943"/>
        </c:manualLayout>
      </c:layout>
      <c:lineChart>
        <c:grouping val="standard"/>
        <c:ser>
          <c:idx val="0"/>
          <c:order val="0"/>
          <c:tx>
            <c:strRef>
              <c:f>'Grafik Indeks Produktivitas'!$E$4</c:f>
              <c:strCache>
                <c:ptCount val="1"/>
                <c:pt idx="0">
                  <c:v>Nilai Produktivitas Total 2021</c:v>
                </c:pt>
              </c:strCache>
            </c:strRef>
          </c:tx>
          <c:cat>
            <c:strRef>
              <c:f>'Grafik Indeks Produktivitas'!$D$5:$D$10</c:f>
              <c:strCache>
                <c:ptCount val="6"/>
                <c:pt idx="0">
                  <c:v>Juli</c:v>
                </c:pt>
                <c:pt idx="1">
                  <c:v>Agustus</c:v>
                </c:pt>
                <c:pt idx="2">
                  <c:v>September</c:v>
                </c:pt>
                <c:pt idx="3">
                  <c:v>Oktober </c:v>
                </c:pt>
                <c:pt idx="4">
                  <c:v>November</c:v>
                </c:pt>
                <c:pt idx="5">
                  <c:v>Desember</c:v>
                </c:pt>
              </c:strCache>
            </c:strRef>
          </c:cat>
          <c:val>
            <c:numRef>
              <c:f>'Grafik Indeks Produktivitas'!$E$5:$E$10</c:f>
              <c:numCache>
                <c:formatCode>General</c:formatCode>
                <c:ptCount val="6"/>
                <c:pt idx="0">
                  <c:v>176.7</c:v>
                </c:pt>
                <c:pt idx="1">
                  <c:v>63.099999999999994</c:v>
                </c:pt>
                <c:pt idx="2">
                  <c:v>196.79999999999998</c:v>
                </c:pt>
                <c:pt idx="3">
                  <c:v>187.4</c:v>
                </c:pt>
                <c:pt idx="4">
                  <c:v>356.29999999999995</c:v>
                </c:pt>
                <c:pt idx="5">
                  <c:v>356.29999999999995</c:v>
                </c:pt>
              </c:numCache>
            </c:numRef>
          </c:val>
        </c:ser>
        <c:ser>
          <c:idx val="1"/>
          <c:order val="1"/>
          <c:tx>
            <c:strRef>
              <c:f>'Grafik Indeks Produktivitas'!$F$4</c:f>
              <c:strCache>
                <c:ptCount val="1"/>
                <c:pt idx="0">
                  <c:v>Nilai Produktivitas Total 2022</c:v>
                </c:pt>
              </c:strCache>
            </c:strRef>
          </c:tx>
          <c:cat>
            <c:strRef>
              <c:f>'Grafik Indeks Produktivitas'!$D$5:$D$10</c:f>
              <c:strCache>
                <c:ptCount val="6"/>
                <c:pt idx="0">
                  <c:v>Juli</c:v>
                </c:pt>
                <c:pt idx="1">
                  <c:v>Agustus</c:v>
                </c:pt>
                <c:pt idx="2">
                  <c:v>September</c:v>
                </c:pt>
                <c:pt idx="3">
                  <c:v>Oktober </c:v>
                </c:pt>
                <c:pt idx="4">
                  <c:v>November</c:v>
                </c:pt>
                <c:pt idx="5">
                  <c:v>Desember</c:v>
                </c:pt>
              </c:strCache>
            </c:strRef>
          </c:cat>
          <c:val>
            <c:numRef>
              <c:f>'Grafik Indeks Produktivitas'!$F$5:$F$10</c:f>
              <c:numCache>
                <c:formatCode>General</c:formatCode>
                <c:ptCount val="6"/>
                <c:pt idx="0">
                  <c:v>43.7</c:v>
                </c:pt>
                <c:pt idx="1">
                  <c:v>172.10000000000002</c:v>
                </c:pt>
                <c:pt idx="2">
                  <c:v>112.6</c:v>
                </c:pt>
                <c:pt idx="3">
                  <c:v>215.8</c:v>
                </c:pt>
                <c:pt idx="4">
                  <c:v>422.3</c:v>
                </c:pt>
                <c:pt idx="5">
                  <c:v>507</c:v>
                </c:pt>
              </c:numCache>
            </c:numRef>
          </c:val>
        </c:ser>
        <c:marker val="1"/>
        <c:axId val="77096064"/>
        <c:axId val="77097600"/>
      </c:lineChart>
      <c:catAx>
        <c:axId val="77096064"/>
        <c:scaling>
          <c:orientation val="minMax"/>
        </c:scaling>
        <c:axPos val="b"/>
        <c:majorTickMark val="none"/>
        <c:tickLblPos val="nextTo"/>
        <c:crossAx val="77097600"/>
        <c:crosses val="autoZero"/>
        <c:auto val="1"/>
        <c:lblAlgn val="ctr"/>
        <c:lblOffset val="100"/>
      </c:catAx>
      <c:valAx>
        <c:axId val="7709760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7096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913580246913822"/>
          <c:y val="0.21101943374099605"/>
          <c:w val="0.25308641975308682"/>
          <c:h val="0.47264198358183951"/>
        </c:manualLayout>
      </c:layout>
    </c:legend>
    <c:plotVisOnly val="1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43550</xdr:colOff>
      <xdr:row>5</xdr:row>
      <xdr:rowOff>23946</xdr:rowOff>
    </xdr:from>
    <xdr:to>
      <xdr:col>27</xdr:col>
      <xdr:colOff>348623</xdr:colOff>
      <xdr:row>13</xdr:row>
      <xdr:rowOff>115930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75870" y="1258386"/>
          <a:ext cx="4404633" cy="1676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19050</xdr:colOff>
      <xdr:row>36</xdr:row>
      <xdr:rowOff>38100</xdr:rowOff>
    </xdr:from>
    <xdr:to>
      <xdr:col>30</xdr:col>
      <xdr:colOff>161925</xdr:colOff>
      <xdr:row>40</xdr:row>
      <xdr:rowOff>0</xdr:rowOff>
    </xdr:to>
    <xdr:sp macro="" textlink="">
      <xdr:nvSpPr>
        <xdr:cNvPr id="3" name="Left Bracket 2"/>
        <xdr:cNvSpPr/>
      </xdr:nvSpPr>
      <xdr:spPr>
        <a:xfrm>
          <a:off x="14639925" y="8562975"/>
          <a:ext cx="142875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35</xdr:col>
      <xdr:colOff>0</xdr:colOff>
      <xdr:row>36</xdr:row>
      <xdr:rowOff>28575</xdr:rowOff>
    </xdr:from>
    <xdr:to>
      <xdr:col>35</xdr:col>
      <xdr:colOff>142875</xdr:colOff>
      <xdr:row>39</xdr:row>
      <xdr:rowOff>190500</xdr:rowOff>
    </xdr:to>
    <xdr:sp macro="" textlink="">
      <xdr:nvSpPr>
        <xdr:cNvPr id="4" name="Left Bracket 3"/>
        <xdr:cNvSpPr/>
      </xdr:nvSpPr>
      <xdr:spPr>
        <a:xfrm>
          <a:off x="17040225" y="8553450"/>
          <a:ext cx="142875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42</xdr:col>
      <xdr:colOff>9525</xdr:colOff>
      <xdr:row>36</xdr:row>
      <xdr:rowOff>19050</xdr:rowOff>
    </xdr:from>
    <xdr:to>
      <xdr:col>42</xdr:col>
      <xdr:colOff>152400</xdr:colOff>
      <xdr:row>39</xdr:row>
      <xdr:rowOff>180975</xdr:rowOff>
    </xdr:to>
    <xdr:sp macro="" textlink="">
      <xdr:nvSpPr>
        <xdr:cNvPr id="5" name="Left Bracket 4"/>
        <xdr:cNvSpPr/>
      </xdr:nvSpPr>
      <xdr:spPr>
        <a:xfrm>
          <a:off x="17945100" y="8543925"/>
          <a:ext cx="142875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33</xdr:col>
      <xdr:colOff>371474</xdr:colOff>
      <xdr:row>36</xdr:row>
      <xdr:rowOff>19050</xdr:rowOff>
    </xdr:from>
    <xdr:to>
      <xdr:col>33</xdr:col>
      <xdr:colOff>514350</xdr:colOff>
      <xdr:row>39</xdr:row>
      <xdr:rowOff>180975</xdr:rowOff>
    </xdr:to>
    <xdr:sp macro="" textlink="">
      <xdr:nvSpPr>
        <xdr:cNvPr id="6" name="Left Bracket 5"/>
        <xdr:cNvSpPr/>
      </xdr:nvSpPr>
      <xdr:spPr>
        <a:xfrm flipH="1">
          <a:off x="16592549" y="8543925"/>
          <a:ext cx="142876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40</xdr:col>
      <xdr:colOff>409575</xdr:colOff>
      <xdr:row>36</xdr:row>
      <xdr:rowOff>28575</xdr:rowOff>
    </xdr:from>
    <xdr:to>
      <xdr:col>41</xdr:col>
      <xdr:colOff>9525</xdr:colOff>
      <xdr:row>39</xdr:row>
      <xdr:rowOff>190500</xdr:rowOff>
    </xdr:to>
    <xdr:sp macro="" textlink="">
      <xdr:nvSpPr>
        <xdr:cNvPr id="7" name="Left Bracket 6"/>
        <xdr:cNvSpPr/>
      </xdr:nvSpPr>
      <xdr:spPr>
        <a:xfrm flipH="1">
          <a:off x="19726275" y="8553450"/>
          <a:ext cx="133350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42</xdr:col>
      <xdr:colOff>381000</xdr:colOff>
      <xdr:row>36</xdr:row>
      <xdr:rowOff>19050</xdr:rowOff>
    </xdr:from>
    <xdr:to>
      <xdr:col>42</xdr:col>
      <xdr:colOff>523876</xdr:colOff>
      <xdr:row>39</xdr:row>
      <xdr:rowOff>180975</xdr:rowOff>
    </xdr:to>
    <xdr:sp macro="" textlink="">
      <xdr:nvSpPr>
        <xdr:cNvPr id="8" name="Left Bracket 7"/>
        <xdr:cNvSpPr/>
      </xdr:nvSpPr>
      <xdr:spPr>
        <a:xfrm flipH="1">
          <a:off x="18316575" y="8543925"/>
          <a:ext cx="142876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35</xdr:col>
      <xdr:colOff>409575</xdr:colOff>
      <xdr:row>36</xdr:row>
      <xdr:rowOff>28575</xdr:rowOff>
    </xdr:from>
    <xdr:to>
      <xdr:col>36</xdr:col>
      <xdr:colOff>9525</xdr:colOff>
      <xdr:row>39</xdr:row>
      <xdr:rowOff>190500</xdr:rowOff>
    </xdr:to>
    <xdr:sp macro="" textlink="">
      <xdr:nvSpPr>
        <xdr:cNvPr id="15" name="Left Bracket 14"/>
        <xdr:cNvSpPr/>
      </xdr:nvSpPr>
      <xdr:spPr>
        <a:xfrm flipH="1">
          <a:off x="17059275" y="8553450"/>
          <a:ext cx="133350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37</xdr:col>
      <xdr:colOff>0</xdr:colOff>
      <xdr:row>36</xdr:row>
      <xdr:rowOff>9525</xdr:rowOff>
    </xdr:from>
    <xdr:to>
      <xdr:col>37</xdr:col>
      <xdr:colOff>142875</xdr:colOff>
      <xdr:row>39</xdr:row>
      <xdr:rowOff>171450</xdr:rowOff>
    </xdr:to>
    <xdr:sp macro="" textlink="">
      <xdr:nvSpPr>
        <xdr:cNvPr id="16" name="Left Bracket 15"/>
        <xdr:cNvSpPr/>
      </xdr:nvSpPr>
      <xdr:spPr>
        <a:xfrm>
          <a:off x="17716500" y="8534400"/>
          <a:ext cx="142875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44</xdr:col>
      <xdr:colOff>0</xdr:colOff>
      <xdr:row>36</xdr:row>
      <xdr:rowOff>19050</xdr:rowOff>
    </xdr:from>
    <xdr:to>
      <xdr:col>44</xdr:col>
      <xdr:colOff>142875</xdr:colOff>
      <xdr:row>39</xdr:row>
      <xdr:rowOff>180975</xdr:rowOff>
    </xdr:to>
    <xdr:sp macro="" textlink="">
      <xdr:nvSpPr>
        <xdr:cNvPr id="20" name="Left Bracket 19"/>
        <xdr:cNvSpPr/>
      </xdr:nvSpPr>
      <xdr:spPr>
        <a:xfrm>
          <a:off x="21278850" y="8543925"/>
          <a:ext cx="142875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44</xdr:col>
      <xdr:colOff>371475</xdr:colOff>
      <xdr:row>36</xdr:row>
      <xdr:rowOff>19050</xdr:rowOff>
    </xdr:from>
    <xdr:to>
      <xdr:col>44</xdr:col>
      <xdr:colOff>514351</xdr:colOff>
      <xdr:row>39</xdr:row>
      <xdr:rowOff>180975</xdr:rowOff>
    </xdr:to>
    <xdr:sp macro="" textlink="">
      <xdr:nvSpPr>
        <xdr:cNvPr id="21" name="Left Bracket 20"/>
        <xdr:cNvSpPr/>
      </xdr:nvSpPr>
      <xdr:spPr>
        <a:xfrm flipH="1">
          <a:off x="21650325" y="8543925"/>
          <a:ext cx="142876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46</xdr:col>
      <xdr:colOff>9525</xdr:colOff>
      <xdr:row>36</xdr:row>
      <xdr:rowOff>19050</xdr:rowOff>
    </xdr:from>
    <xdr:to>
      <xdr:col>46</xdr:col>
      <xdr:colOff>152400</xdr:colOff>
      <xdr:row>39</xdr:row>
      <xdr:rowOff>180975</xdr:rowOff>
    </xdr:to>
    <xdr:sp macro="" textlink="">
      <xdr:nvSpPr>
        <xdr:cNvPr id="24" name="Left Bracket 23"/>
        <xdr:cNvSpPr/>
      </xdr:nvSpPr>
      <xdr:spPr>
        <a:xfrm>
          <a:off x="22355175" y="8543925"/>
          <a:ext cx="142875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46</xdr:col>
      <xdr:colOff>381000</xdr:colOff>
      <xdr:row>36</xdr:row>
      <xdr:rowOff>19050</xdr:rowOff>
    </xdr:from>
    <xdr:to>
      <xdr:col>46</xdr:col>
      <xdr:colOff>523876</xdr:colOff>
      <xdr:row>39</xdr:row>
      <xdr:rowOff>180975</xdr:rowOff>
    </xdr:to>
    <xdr:sp macro="" textlink="">
      <xdr:nvSpPr>
        <xdr:cNvPr id="25" name="Left Bracket 24"/>
        <xdr:cNvSpPr/>
      </xdr:nvSpPr>
      <xdr:spPr>
        <a:xfrm flipH="1">
          <a:off x="22726650" y="8543925"/>
          <a:ext cx="142876" cy="762000"/>
        </a:xfrm>
        <a:prstGeom prst="lef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478970</xdr:colOff>
      <xdr:row>33</xdr:row>
      <xdr:rowOff>87072</xdr:rowOff>
    </xdr:from>
    <xdr:to>
      <xdr:col>14</xdr:col>
      <xdr:colOff>544284</xdr:colOff>
      <xdr:row>41</xdr:row>
      <xdr:rowOff>138779</xdr:rowOff>
    </xdr:to>
    <xdr:pic>
      <xdr:nvPicPr>
        <xdr:cNvPr id="9" name="Picture 8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55427" y="7326072"/>
          <a:ext cx="396240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57</xdr:row>
      <xdr:rowOff>0</xdr:rowOff>
    </xdr:from>
    <xdr:to>
      <xdr:col>15</xdr:col>
      <xdr:colOff>97972</xdr:colOff>
      <xdr:row>65</xdr:row>
      <xdr:rowOff>51708</xdr:rowOff>
    </xdr:to>
    <xdr:pic>
      <xdr:nvPicPr>
        <xdr:cNvPr id="10" name="Picture 9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18714" y="12126686"/>
          <a:ext cx="396240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370114</xdr:colOff>
      <xdr:row>79</xdr:row>
      <xdr:rowOff>43543</xdr:rowOff>
    </xdr:from>
    <xdr:to>
      <xdr:col>14</xdr:col>
      <xdr:colOff>435428</xdr:colOff>
      <xdr:row>87</xdr:row>
      <xdr:rowOff>95251</xdr:rowOff>
    </xdr:to>
    <xdr:pic>
      <xdr:nvPicPr>
        <xdr:cNvPr id="11" name="Picture 10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46571" y="16666029"/>
          <a:ext cx="396240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103</xdr:row>
      <xdr:rowOff>0</xdr:rowOff>
    </xdr:from>
    <xdr:to>
      <xdr:col>15</xdr:col>
      <xdr:colOff>97972</xdr:colOff>
      <xdr:row>111</xdr:row>
      <xdr:rowOff>51707</xdr:rowOff>
    </xdr:to>
    <xdr:pic>
      <xdr:nvPicPr>
        <xdr:cNvPr id="12" name="Picture 1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18714" y="21510171"/>
          <a:ext cx="396240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511625</xdr:colOff>
      <xdr:row>125</xdr:row>
      <xdr:rowOff>0</xdr:rowOff>
    </xdr:from>
    <xdr:to>
      <xdr:col>14</xdr:col>
      <xdr:colOff>576939</xdr:colOff>
      <xdr:row>133</xdr:row>
      <xdr:rowOff>51707</xdr:rowOff>
    </xdr:to>
    <xdr:pic>
      <xdr:nvPicPr>
        <xdr:cNvPr id="13" name="Picture 12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88082" y="26005971"/>
          <a:ext cx="396240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239486</xdr:colOff>
      <xdr:row>147</xdr:row>
      <xdr:rowOff>163284</xdr:rowOff>
    </xdr:from>
    <xdr:to>
      <xdr:col>14</xdr:col>
      <xdr:colOff>304800</xdr:colOff>
      <xdr:row>156</xdr:row>
      <xdr:rowOff>19048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15943" y="30665055"/>
          <a:ext cx="396240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32</xdr:row>
      <xdr:rowOff>190500</xdr:rowOff>
    </xdr:from>
    <xdr:to>
      <xdr:col>15</xdr:col>
      <xdr:colOff>447675</xdr:colOff>
      <xdr:row>41</xdr:row>
      <xdr:rowOff>0</xdr:rowOff>
    </xdr:to>
    <xdr:pic>
      <xdr:nvPicPr>
        <xdr:cNvPr id="15" name="Picture 1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943975" y="7343775"/>
          <a:ext cx="4314825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55</xdr:row>
      <xdr:rowOff>9525</xdr:rowOff>
    </xdr:from>
    <xdr:to>
      <xdr:col>15</xdr:col>
      <xdr:colOff>447675</xdr:colOff>
      <xdr:row>63</xdr:row>
      <xdr:rowOff>19050</xdr:rowOff>
    </xdr:to>
    <xdr:pic>
      <xdr:nvPicPr>
        <xdr:cNvPr id="16" name="Picture 15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943975" y="12144375"/>
          <a:ext cx="4314825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447675</xdr:colOff>
      <xdr:row>86</xdr:row>
      <xdr:rowOff>9526</xdr:rowOff>
    </xdr:to>
    <xdr:pic>
      <xdr:nvPicPr>
        <xdr:cNvPr id="17" name="Picture 16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943975" y="16916400"/>
          <a:ext cx="4314825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101</xdr:row>
      <xdr:rowOff>0</xdr:rowOff>
    </xdr:from>
    <xdr:to>
      <xdr:col>15</xdr:col>
      <xdr:colOff>447675</xdr:colOff>
      <xdr:row>109</xdr:row>
      <xdr:rowOff>9524</xdr:rowOff>
    </xdr:to>
    <xdr:pic>
      <xdr:nvPicPr>
        <xdr:cNvPr id="18" name="Picture 17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943975" y="21697950"/>
          <a:ext cx="4314825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124</xdr:row>
      <xdr:rowOff>0</xdr:rowOff>
    </xdr:from>
    <xdr:to>
      <xdr:col>15</xdr:col>
      <xdr:colOff>447675</xdr:colOff>
      <xdr:row>132</xdr:row>
      <xdr:rowOff>9525</xdr:rowOff>
    </xdr:to>
    <xdr:pic>
      <xdr:nvPicPr>
        <xdr:cNvPr id="19" name="Picture 18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943975" y="26479500"/>
          <a:ext cx="4314825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147</xdr:row>
      <xdr:rowOff>0</xdr:rowOff>
    </xdr:from>
    <xdr:to>
      <xdr:col>15</xdr:col>
      <xdr:colOff>447675</xdr:colOff>
      <xdr:row>155</xdr:row>
      <xdr:rowOff>9525</xdr:rowOff>
    </xdr:to>
    <xdr:pic>
      <xdr:nvPicPr>
        <xdr:cNvPr id="20" name="Picture 19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943975" y="31261050"/>
          <a:ext cx="4314825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1</xdr:row>
      <xdr:rowOff>8467</xdr:rowOff>
    </xdr:from>
    <xdr:to>
      <xdr:col>13</xdr:col>
      <xdr:colOff>127000</xdr:colOff>
      <xdr:row>13</xdr:row>
      <xdr:rowOff>59267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0"/>
  <sheetViews>
    <sheetView zoomScale="50" zoomScaleNormal="50" workbookViewId="0">
      <selection activeCell="B1" sqref="B1"/>
    </sheetView>
  </sheetViews>
  <sheetFormatPr defaultRowHeight="13.2"/>
  <cols>
    <col min="1" max="1" width="8.88671875" style="114"/>
    <col min="2" max="2" width="10.5546875" style="114" customWidth="1"/>
    <col min="3" max="3" width="11.33203125" style="114" customWidth="1"/>
    <col min="4" max="4" width="14.21875" style="114" customWidth="1"/>
    <col min="5" max="5" width="10.33203125" style="114" customWidth="1"/>
    <col min="6" max="6" width="13.88671875" style="114" customWidth="1"/>
    <col min="7" max="7" width="11.109375" style="114" customWidth="1"/>
    <col min="8" max="8" width="13.109375" style="114" customWidth="1"/>
    <col min="9" max="9" width="8.88671875" style="114"/>
    <col min="10" max="10" width="11.88671875" style="114" customWidth="1"/>
    <col min="11" max="11" width="8.88671875" style="114"/>
    <col min="12" max="13" width="9.33203125" style="114" bestFit="1" customWidth="1"/>
    <col min="14" max="14" width="10.44140625" style="114" bestFit="1" customWidth="1"/>
    <col min="15" max="16384" width="8.88671875" style="114"/>
  </cols>
  <sheetData>
    <row r="1" spans="2:14">
      <c r="B1" s="113" t="s">
        <v>238</v>
      </c>
    </row>
    <row r="2" spans="2:14" ht="15" customHeight="1">
      <c r="B2" s="204" t="s">
        <v>100</v>
      </c>
      <c r="C2" s="204"/>
      <c r="D2" s="204"/>
      <c r="E2" s="204"/>
      <c r="F2" s="204"/>
      <c r="G2" s="204"/>
      <c r="H2" s="204"/>
      <c r="J2" s="205" t="s">
        <v>100</v>
      </c>
      <c r="K2" s="205"/>
      <c r="L2" s="205"/>
      <c r="M2" s="205"/>
      <c r="N2" s="205"/>
    </row>
    <row r="3" spans="2:14" ht="49.8" customHeight="1">
      <c r="B3" s="115" t="s">
        <v>99</v>
      </c>
      <c r="C3" s="115" t="s">
        <v>29</v>
      </c>
      <c r="D3" s="115" t="s">
        <v>132</v>
      </c>
      <c r="E3" s="115" t="s">
        <v>133</v>
      </c>
      <c r="F3" s="115" t="s">
        <v>134</v>
      </c>
      <c r="G3" s="115" t="s">
        <v>30</v>
      </c>
      <c r="H3" s="115" t="s">
        <v>31</v>
      </c>
      <c r="J3" s="115" t="s">
        <v>99</v>
      </c>
      <c r="K3" s="115" t="s">
        <v>38</v>
      </c>
      <c r="L3" s="115" t="s">
        <v>39</v>
      </c>
      <c r="M3" s="115" t="s">
        <v>40</v>
      </c>
      <c r="N3" s="115" t="s">
        <v>41</v>
      </c>
    </row>
    <row r="4" spans="2:14" ht="15" customHeight="1">
      <c r="B4" s="116" t="s">
        <v>32</v>
      </c>
      <c r="C4" s="117">
        <v>561.86</v>
      </c>
      <c r="D4" s="117">
        <v>18589</v>
      </c>
      <c r="E4" s="117">
        <v>201</v>
      </c>
      <c r="F4" s="117">
        <f t="shared" ref="F4:F9" si="0">D4+E4</f>
        <v>18790</v>
      </c>
      <c r="G4" s="117">
        <f>26*8</f>
        <v>208</v>
      </c>
      <c r="H4" s="117">
        <v>3</v>
      </c>
      <c r="J4" s="116" t="s">
        <v>32</v>
      </c>
      <c r="K4" s="118">
        <f>F4/C4</f>
        <v>33.442494571601465</v>
      </c>
      <c r="L4" s="118">
        <f>F4/G4</f>
        <v>90.336538461538467</v>
      </c>
      <c r="M4" s="119">
        <f t="shared" ref="M4:M9" si="1">E4/F4</f>
        <v>1.0697179350718468E-2</v>
      </c>
      <c r="N4" s="120">
        <f t="shared" ref="N4:N9" si="2">F4/H4</f>
        <v>6263.333333333333</v>
      </c>
    </row>
    <row r="5" spans="2:14" ht="15" customHeight="1">
      <c r="B5" s="116" t="s">
        <v>33</v>
      </c>
      <c r="C5" s="117">
        <v>518.64</v>
      </c>
      <c r="D5" s="117">
        <v>17171</v>
      </c>
      <c r="E5" s="117">
        <v>185</v>
      </c>
      <c r="F5" s="117">
        <f t="shared" si="0"/>
        <v>17356</v>
      </c>
      <c r="G5" s="117">
        <f>24*8</f>
        <v>192</v>
      </c>
      <c r="H5" s="117">
        <v>3</v>
      </c>
      <c r="J5" s="116" t="s">
        <v>33</v>
      </c>
      <c r="K5" s="118">
        <f>F5/C5</f>
        <v>33.464445472774948</v>
      </c>
      <c r="L5" s="118">
        <f>F5/G5</f>
        <v>90.395833333333329</v>
      </c>
      <c r="M5" s="119">
        <f t="shared" si="1"/>
        <v>1.0659138050241991E-2</v>
      </c>
      <c r="N5" s="120">
        <f t="shared" si="2"/>
        <v>5785.333333333333</v>
      </c>
    </row>
    <row r="6" spans="2:14" ht="15" customHeight="1">
      <c r="B6" s="116" t="s">
        <v>34</v>
      </c>
      <c r="C6" s="117">
        <v>552.47500000000002</v>
      </c>
      <c r="D6" s="117">
        <v>18308</v>
      </c>
      <c r="E6" s="117">
        <v>140</v>
      </c>
      <c r="F6" s="117">
        <f t="shared" si="0"/>
        <v>18448</v>
      </c>
      <c r="G6" s="117">
        <f>26*8</f>
        <v>208</v>
      </c>
      <c r="H6" s="117">
        <v>3</v>
      </c>
      <c r="J6" s="116" t="s">
        <v>34</v>
      </c>
      <c r="K6" s="118">
        <f t="shared" ref="K6:K8" si="3">F6/C6</f>
        <v>33.391556179012625</v>
      </c>
      <c r="L6" s="118">
        <f t="shared" ref="L6:L8" si="4">F6/G6</f>
        <v>88.692307692307693</v>
      </c>
      <c r="M6" s="119">
        <f t="shared" si="1"/>
        <v>7.5888985255854295E-3</v>
      </c>
      <c r="N6" s="120">
        <f t="shared" si="2"/>
        <v>6149.333333333333</v>
      </c>
    </row>
    <row r="7" spans="2:14" ht="15" customHeight="1">
      <c r="B7" s="116" t="s">
        <v>35</v>
      </c>
      <c r="C7" s="117">
        <v>537.54</v>
      </c>
      <c r="D7" s="117">
        <v>17834</v>
      </c>
      <c r="E7" s="117">
        <v>182</v>
      </c>
      <c r="F7" s="117">
        <f t="shared" si="0"/>
        <v>18016</v>
      </c>
      <c r="G7" s="117">
        <f>25*8-1</f>
        <v>199</v>
      </c>
      <c r="H7" s="117">
        <v>3</v>
      </c>
      <c r="J7" s="116" t="s">
        <v>35</v>
      </c>
      <c r="K7" s="118">
        <f t="shared" si="3"/>
        <v>33.515645347322994</v>
      </c>
      <c r="L7" s="118">
        <f t="shared" si="4"/>
        <v>90.532663316582912</v>
      </c>
      <c r="M7" s="119">
        <f t="shared" si="1"/>
        <v>1.0102131438721136E-2</v>
      </c>
      <c r="N7" s="120">
        <f t="shared" si="2"/>
        <v>6005.333333333333</v>
      </c>
    </row>
    <row r="8" spans="2:14" ht="15" customHeight="1">
      <c r="B8" s="116" t="s">
        <v>36</v>
      </c>
      <c r="C8" s="117">
        <v>561.86</v>
      </c>
      <c r="D8" s="117">
        <v>18736</v>
      </c>
      <c r="E8" s="117">
        <v>143</v>
      </c>
      <c r="F8" s="117">
        <f t="shared" si="0"/>
        <v>18879</v>
      </c>
      <c r="G8" s="117">
        <f>26*8</f>
        <v>208</v>
      </c>
      <c r="H8" s="117">
        <v>3</v>
      </c>
      <c r="J8" s="116" t="s">
        <v>36</v>
      </c>
      <c r="K8" s="118">
        <f t="shared" si="3"/>
        <v>33.600897020610113</v>
      </c>
      <c r="L8" s="118">
        <f t="shared" si="4"/>
        <v>90.76442307692308</v>
      </c>
      <c r="M8" s="119">
        <f t="shared" si="1"/>
        <v>7.5745537369564069E-3</v>
      </c>
      <c r="N8" s="121">
        <f t="shared" si="2"/>
        <v>6293</v>
      </c>
    </row>
    <row r="9" spans="2:14" ht="15" customHeight="1">
      <c r="B9" s="116" t="s">
        <v>37</v>
      </c>
      <c r="C9" s="117">
        <v>561.86</v>
      </c>
      <c r="D9" s="117">
        <v>18753</v>
      </c>
      <c r="E9" s="117">
        <v>138</v>
      </c>
      <c r="F9" s="117">
        <f t="shared" si="0"/>
        <v>18891</v>
      </c>
      <c r="G9" s="117">
        <f>8*26</f>
        <v>208</v>
      </c>
      <c r="H9" s="117">
        <v>3</v>
      </c>
      <c r="J9" s="116" t="s">
        <v>37</v>
      </c>
      <c r="K9" s="118">
        <f>F9/C9</f>
        <v>33.622254654184317</v>
      </c>
      <c r="L9" s="118">
        <f>F9/G9</f>
        <v>90.822115384615387</v>
      </c>
      <c r="M9" s="119">
        <f t="shared" si="1"/>
        <v>7.3050659043989198E-3</v>
      </c>
      <c r="N9" s="121">
        <f t="shared" si="2"/>
        <v>6297</v>
      </c>
    </row>
    <row r="11" spans="2:14">
      <c r="B11" s="113" t="s">
        <v>237</v>
      </c>
    </row>
    <row r="12" spans="2:14" ht="15" hidden="1" customHeight="1">
      <c r="B12" s="206" t="s">
        <v>101</v>
      </c>
      <c r="C12" s="206"/>
      <c r="D12" s="206"/>
      <c r="E12" s="206"/>
      <c r="F12" s="206"/>
      <c r="G12" s="206"/>
      <c r="H12" s="206"/>
      <c r="J12" s="205" t="s">
        <v>101</v>
      </c>
      <c r="K12" s="205"/>
      <c r="L12" s="205"/>
      <c r="M12" s="205"/>
      <c r="N12" s="205"/>
    </row>
    <row r="13" spans="2:14" ht="42.6" customHeight="1">
      <c r="B13" s="115" t="s">
        <v>99</v>
      </c>
      <c r="C13" s="115" t="s">
        <v>29</v>
      </c>
      <c r="D13" s="115" t="s">
        <v>132</v>
      </c>
      <c r="E13" s="115" t="s">
        <v>133</v>
      </c>
      <c r="F13" s="115" t="s">
        <v>134</v>
      </c>
      <c r="G13" s="115" t="s">
        <v>30</v>
      </c>
      <c r="H13" s="115" t="s">
        <v>31</v>
      </c>
      <c r="J13" s="115" t="s">
        <v>99</v>
      </c>
      <c r="K13" s="115" t="s">
        <v>38</v>
      </c>
      <c r="L13" s="115" t="s">
        <v>39</v>
      </c>
      <c r="M13" s="115" t="s">
        <v>40</v>
      </c>
      <c r="N13" s="115" t="s">
        <v>41</v>
      </c>
    </row>
    <row r="14" spans="2:14" ht="15" customHeight="1">
      <c r="B14" s="123" t="s">
        <v>32</v>
      </c>
      <c r="C14" s="171">
        <v>509.255</v>
      </c>
      <c r="D14" s="171">
        <v>16778</v>
      </c>
      <c r="E14" s="171">
        <v>218</v>
      </c>
      <c r="F14" s="171">
        <f>D14+E14</f>
        <v>16996</v>
      </c>
      <c r="G14" s="171">
        <f>24*8</f>
        <v>192</v>
      </c>
      <c r="H14" s="171">
        <v>3</v>
      </c>
      <c r="J14" s="116" t="s">
        <v>32</v>
      </c>
      <c r="K14" s="118">
        <f>F14/C14</f>
        <v>33.374242766394048</v>
      </c>
      <c r="L14" s="118">
        <f>F14/G14</f>
        <v>88.520833333333329</v>
      </c>
      <c r="M14" s="119">
        <f>E14/F14</f>
        <v>1.2826547422923041E-2</v>
      </c>
      <c r="N14" s="120">
        <f t="shared" ref="N14:N19" si="5">F14/H14</f>
        <v>5665.333333333333</v>
      </c>
    </row>
    <row r="15" spans="2:14" ht="15" customHeight="1">
      <c r="B15" s="123" t="s">
        <v>33</v>
      </c>
      <c r="C15" s="171">
        <v>547.05499999999995</v>
      </c>
      <c r="D15" s="171">
        <v>18074</v>
      </c>
      <c r="E15" s="171">
        <v>200</v>
      </c>
      <c r="F15" s="171">
        <f t="shared" ref="F15:F17" si="6">D15+E15</f>
        <v>18274</v>
      </c>
      <c r="G15" s="171">
        <f>26*8-2</f>
        <v>206</v>
      </c>
      <c r="H15" s="171">
        <v>3</v>
      </c>
      <c r="J15" s="116" t="s">
        <v>33</v>
      </c>
      <c r="K15" s="118">
        <f>F15/C15</f>
        <v>33.404319492555594</v>
      </c>
      <c r="L15" s="118">
        <f t="shared" ref="L15:L19" si="7">F15/G15</f>
        <v>88.708737864077676</v>
      </c>
      <c r="M15" s="119">
        <f>E15/F15</f>
        <v>1.0944511327569224E-2</v>
      </c>
      <c r="N15" s="120">
        <f t="shared" si="5"/>
        <v>6091.333333333333</v>
      </c>
    </row>
    <row r="16" spans="2:14" ht="15" customHeight="1">
      <c r="B16" s="123" t="s">
        <v>34</v>
      </c>
      <c r="C16" s="171">
        <v>540.38</v>
      </c>
      <c r="D16" s="171">
        <v>17808</v>
      </c>
      <c r="E16" s="171">
        <v>193</v>
      </c>
      <c r="F16" s="171">
        <f t="shared" si="6"/>
        <v>18001</v>
      </c>
      <c r="G16" s="171">
        <f>26*8-1</f>
        <v>207</v>
      </c>
      <c r="H16" s="171">
        <v>3</v>
      </c>
      <c r="J16" s="116" t="s">
        <v>34</v>
      </c>
      <c r="K16" s="118">
        <f>F16/C16</f>
        <v>33.311743587845591</v>
      </c>
      <c r="L16" s="118">
        <f t="shared" si="7"/>
        <v>86.961352657004838</v>
      </c>
      <c r="M16" s="119">
        <f>E16/F16</f>
        <v>1.0721626576301317E-2</v>
      </c>
      <c r="N16" s="120">
        <f t="shared" si="5"/>
        <v>6000.333333333333</v>
      </c>
    </row>
    <row r="17" spans="2:14" ht="15" customHeight="1">
      <c r="B17" s="123" t="s">
        <v>35</v>
      </c>
      <c r="C17" s="171">
        <v>540.25</v>
      </c>
      <c r="D17" s="171">
        <v>17871</v>
      </c>
      <c r="E17" s="171">
        <v>198</v>
      </c>
      <c r="F17" s="171">
        <f t="shared" si="6"/>
        <v>18069</v>
      </c>
      <c r="G17" s="171">
        <f>25*8</f>
        <v>200</v>
      </c>
      <c r="H17" s="171">
        <v>3</v>
      </c>
      <c r="J17" s="116" t="s">
        <v>35</v>
      </c>
      <c r="K17" s="118">
        <f t="shared" ref="K17:K18" si="8">F17/C17</f>
        <v>33.445627024525685</v>
      </c>
      <c r="L17" s="118">
        <f t="shared" si="7"/>
        <v>90.344999999999999</v>
      </c>
      <c r="M17" s="119">
        <f>E17/F17</f>
        <v>1.0957994354972606E-2</v>
      </c>
      <c r="N17" s="121">
        <f t="shared" si="5"/>
        <v>6023</v>
      </c>
    </row>
    <row r="18" spans="2:14" ht="15" customHeight="1">
      <c r="B18" s="123" t="s">
        <v>36</v>
      </c>
      <c r="C18" s="171">
        <v>561.86</v>
      </c>
      <c r="D18" s="171">
        <v>18731</v>
      </c>
      <c r="E18" s="171">
        <v>133</v>
      </c>
      <c r="F18" s="171">
        <f>D18+E18</f>
        <v>18864</v>
      </c>
      <c r="G18" s="171">
        <f>26*8</f>
        <v>208</v>
      </c>
      <c r="H18" s="171">
        <v>3</v>
      </c>
      <c r="J18" s="116" t="s">
        <v>36</v>
      </c>
      <c r="K18" s="118">
        <f t="shared" si="8"/>
        <v>33.574199978642369</v>
      </c>
      <c r="L18" s="118">
        <f t="shared" si="7"/>
        <v>90.692307692307693</v>
      </c>
      <c r="M18" s="119">
        <f t="shared" ref="M18" si="9">E18/F18</f>
        <v>7.0504664970313822E-3</v>
      </c>
      <c r="N18" s="121">
        <f t="shared" si="5"/>
        <v>6288</v>
      </c>
    </row>
    <row r="19" spans="2:14" ht="15" customHeight="1">
      <c r="B19" s="123" t="s">
        <v>37</v>
      </c>
      <c r="C19" s="171">
        <v>583.47</v>
      </c>
      <c r="D19" s="171">
        <v>19443</v>
      </c>
      <c r="E19" s="171">
        <v>130</v>
      </c>
      <c r="F19" s="171">
        <f>D19+E19</f>
        <v>19573</v>
      </c>
      <c r="G19" s="171">
        <f>8*27</f>
        <v>216</v>
      </c>
      <c r="H19" s="171">
        <v>3</v>
      </c>
      <c r="J19" s="116" t="s">
        <v>37</v>
      </c>
      <c r="K19" s="118">
        <f>F19/C19</f>
        <v>33.545854971121052</v>
      </c>
      <c r="L19" s="118">
        <f t="shared" si="7"/>
        <v>90.615740740740748</v>
      </c>
      <c r="M19" s="119">
        <f>E19/F19</f>
        <v>6.6418024830123129E-3</v>
      </c>
      <c r="N19" s="120">
        <f t="shared" si="5"/>
        <v>6524.333333333333</v>
      </c>
    </row>
    <row r="20" spans="2:14">
      <c r="M20" s="122"/>
    </row>
  </sheetData>
  <mergeCells count="4">
    <mergeCell ref="B2:H2"/>
    <mergeCell ref="J2:N2"/>
    <mergeCell ref="B12:H12"/>
    <mergeCell ref="J12:N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84"/>
  <sheetViews>
    <sheetView topLeftCell="A52" zoomScale="80" zoomScaleNormal="80" workbookViewId="0">
      <selection activeCell="F71" sqref="F71"/>
    </sheetView>
  </sheetViews>
  <sheetFormatPr defaultRowHeight="15.6"/>
  <cols>
    <col min="1" max="1" width="8.88671875" style="3"/>
    <col min="2" max="2" width="10.5546875" style="3" customWidth="1"/>
    <col min="3" max="3" width="24.109375" style="3" customWidth="1"/>
    <col min="4" max="4" width="23.77734375" style="3" customWidth="1"/>
    <col min="5" max="5" width="10.5546875" style="3" bestFit="1" customWidth="1"/>
    <col min="6" max="16384" width="8.88671875" style="3"/>
  </cols>
  <sheetData>
    <row r="1" spans="2:5">
      <c r="B1" s="195" t="s">
        <v>232</v>
      </c>
    </row>
    <row r="2" spans="2:5">
      <c r="B2" s="210" t="s">
        <v>100</v>
      </c>
      <c r="C2" s="211"/>
      <c r="D2" s="211"/>
      <c r="E2" s="212"/>
    </row>
    <row r="3" spans="2:5" ht="34.950000000000003" customHeight="1">
      <c r="B3" s="43" t="s">
        <v>99</v>
      </c>
      <c r="C3" s="43" t="s">
        <v>29</v>
      </c>
      <c r="D3" s="43" t="s">
        <v>81</v>
      </c>
      <c r="E3" s="43" t="s">
        <v>102</v>
      </c>
    </row>
    <row r="4" spans="2:5" ht="15" customHeight="1">
      <c r="B4" s="4" t="s">
        <v>32</v>
      </c>
      <c r="C4" s="30">
        <v>561.86</v>
      </c>
      <c r="D4" s="53">
        <f>'Data Omax  '!F4</f>
        <v>18790</v>
      </c>
      <c r="E4" s="58">
        <f t="shared" ref="E4:E9" si="0">D4/C4</f>
        <v>33.442494571601465</v>
      </c>
    </row>
    <row r="5" spans="2:5" ht="15" customHeight="1">
      <c r="B5" s="4" t="s">
        <v>33</v>
      </c>
      <c r="C5" s="30">
        <v>518.64</v>
      </c>
      <c r="D5" s="53">
        <f>'Data Omax  '!F5</f>
        <v>17356</v>
      </c>
      <c r="E5" s="58">
        <f t="shared" si="0"/>
        <v>33.464445472774948</v>
      </c>
    </row>
    <row r="6" spans="2:5" ht="15" customHeight="1">
      <c r="B6" s="4" t="s">
        <v>34</v>
      </c>
      <c r="C6" s="30">
        <v>552.47500000000002</v>
      </c>
      <c r="D6" s="53">
        <f>'Data Omax  '!F6</f>
        <v>18448</v>
      </c>
      <c r="E6" s="58">
        <f>D6/C6</f>
        <v>33.391556179012625</v>
      </c>
    </row>
    <row r="7" spans="2:5" ht="15" customHeight="1">
      <c r="B7" s="4" t="s">
        <v>35</v>
      </c>
      <c r="C7" s="30">
        <v>537.54</v>
      </c>
      <c r="D7" s="53">
        <f>'Data Omax  '!F7</f>
        <v>18016</v>
      </c>
      <c r="E7" s="58">
        <f t="shared" si="0"/>
        <v>33.515645347322994</v>
      </c>
    </row>
    <row r="8" spans="2:5" ht="15" customHeight="1">
      <c r="B8" s="4" t="s">
        <v>36</v>
      </c>
      <c r="C8" s="30">
        <v>561.86</v>
      </c>
      <c r="D8" s="53">
        <f>'Data Omax  '!F8</f>
        <v>18879</v>
      </c>
      <c r="E8" s="58">
        <f t="shared" si="0"/>
        <v>33.600897020610113</v>
      </c>
    </row>
    <row r="9" spans="2:5" ht="15" customHeight="1">
      <c r="B9" s="4" t="s">
        <v>37</v>
      </c>
      <c r="C9" s="30">
        <v>561.86</v>
      </c>
      <c r="D9" s="53">
        <f>'Data Omax  '!F9</f>
        <v>18891</v>
      </c>
      <c r="E9" s="58">
        <f t="shared" si="0"/>
        <v>33.622254654184317</v>
      </c>
    </row>
    <row r="11" spans="2:5">
      <c r="B11" s="195" t="s">
        <v>231</v>
      </c>
    </row>
    <row r="12" spans="2:5" ht="15" customHeight="1">
      <c r="B12" s="210" t="s">
        <v>101</v>
      </c>
      <c r="C12" s="211"/>
      <c r="D12" s="211"/>
      <c r="E12" s="212"/>
    </row>
    <row r="13" spans="2:5" ht="34.950000000000003" customHeight="1">
      <c r="B13" s="43" t="s">
        <v>99</v>
      </c>
      <c r="C13" s="43" t="s">
        <v>29</v>
      </c>
      <c r="D13" s="43" t="s">
        <v>81</v>
      </c>
      <c r="E13" s="43" t="s">
        <v>102</v>
      </c>
    </row>
    <row r="14" spans="2:5" ht="15" customHeight="1">
      <c r="B14" s="4" t="s">
        <v>32</v>
      </c>
      <c r="C14" s="30">
        <v>509.255</v>
      </c>
      <c r="D14" s="53">
        <f>'Data Omax  '!F14</f>
        <v>16996</v>
      </c>
      <c r="E14" s="58">
        <f t="shared" ref="E14:E19" si="1">D14/C14</f>
        <v>33.374242766394048</v>
      </c>
    </row>
    <row r="15" spans="2:5" ht="15" customHeight="1">
      <c r="B15" s="4" t="s">
        <v>33</v>
      </c>
      <c r="C15" s="30">
        <v>547.05499999999995</v>
      </c>
      <c r="D15" s="53">
        <f>'Data Omax  '!F15</f>
        <v>18274</v>
      </c>
      <c r="E15" s="58">
        <f t="shared" si="1"/>
        <v>33.404319492555594</v>
      </c>
    </row>
    <row r="16" spans="2:5" ht="15" customHeight="1">
      <c r="B16" s="4" t="s">
        <v>34</v>
      </c>
      <c r="C16" s="30">
        <v>540.38</v>
      </c>
      <c r="D16" s="53">
        <f>'Data Omax  '!F16</f>
        <v>18001</v>
      </c>
      <c r="E16" s="58">
        <f t="shared" si="1"/>
        <v>33.311743587845591</v>
      </c>
    </row>
    <row r="17" spans="2:5" ht="15" customHeight="1">
      <c r="B17" s="4" t="s">
        <v>35</v>
      </c>
      <c r="C17" s="30">
        <v>540.25</v>
      </c>
      <c r="D17" s="53">
        <f>'Data Omax  '!F17</f>
        <v>18069</v>
      </c>
      <c r="E17" s="58">
        <f t="shared" si="1"/>
        <v>33.445627024525685</v>
      </c>
    </row>
    <row r="18" spans="2:5" ht="15" customHeight="1">
      <c r="B18" s="4" t="s">
        <v>36</v>
      </c>
      <c r="C18" s="30">
        <v>561.86</v>
      </c>
      <c r="D18" s="53">
        <f>'Data Omax  '!F18</f>
        <v>18864</v>
      </c>
      <c r="E18" s="58">
        <f t="shared" si="1"/>
        <v>33.574199978642369</v>
      </c>
    </row>
    <row r="19" spans="2:5" ht="15" customHeight="1">
      <c r="B19" s="4" t="s">
        <v>37</v>
      </c>
      <c r="C19" s="30">
        <v>583.47</v>
      </c>
      <c r="D19" s="53">
        <f>'Data Omax  '!F19</f>
        <v>19573</v>
      </c>
      <c r="E19" s="58">
        <f t="shared" si="1"/>
        <v>33.545854971121052</v>
      </c>
    </row>
    <row r="20" spans="2:5" ht="15" customHeight="1">
      <c r="B20" s="8"/>
      <c r="C20" s="86"/>
      <c r="D20" s="86"/>
      <c r="E20" s="87"/>
    </row>
    <row r="21" spans="2:5" ht="15" customHeight="1">
      <c r="B21" s="8"/>
      <c r="C21" s="86"/>
      <c r="D21" s="86"/>
      <c r="E21" s="87"/>
    </row>
    <row r="23" spans="2:5">
      <c r="B23" s="195" t="s">
        <v>230</v>
      </c>
    </row>
    <row r="24" spans="2:5" ht="15" customHeight="1">
      <c r="B24" s="210" t="s">
        <v>100</v>
      </c>
      <c r="C24" s="211"/>
      <c r="D24" s="211"/>
      <c r="E24" s="212"/>
    </row>
    <row r="25" spans="2:5" ht="34.950000000000003" customHeight="1">
      <c r="B25" s="43" t="s">
        <v>99</v>
      </c>
      <c r="C25" s="43" t="s">
        <v>81</v>
      </c>
      <c r="D25" s="43" t="s">
        <v>30</v>
      </c>
      <c r="E25" s="43" t="s">
        <v>102</v>
      </c>
    </row>
    <row r="26" spans="2:5" ht="15" customHeight="1">
      <c r="B26" s="4" t="s">
        <v>32</v>
      </c>
      <c r="C26" s="53">
        <f>'Data Omax  '!F4</f>
        <v>18790</v>
      </c>
      <c r="D26" s="53">
        <f>'Data Omax  '!G4</f>
        <v>208</v>
      </c>
      <c r="E26" s="58">
        <f>C26/D26</f>
        <v>90.336538461538467</v>
      </c>
    </row>
    <row r="27" spans="2:5" ht="15" customHeight="1">
      <c r="B27" s="4" t="s">
        <v>33</v>
      </c>
      <c r="C27" s="53">
        <f>'Data Omax  '!F5</f>
        <v>17356</v>
      </c>
      <c r="D27" s="53">
        <f>'Data Omax  '!G5</f>
        <v>192</v>
      </c>
      <c r="E27" s="58">
        <f t="shared" ref="E27:E31" si="2">C27/D27</f>
        <v>90.395833333333329</v>
      </c>
    </row>
    <row r="28" spans="2:5" ht="15" customHeight="1">
      <c r="B28" s="4" t="s">
        <v>34</v>
      </c>
      <c r="C28" s="53">
        <f>'Data Omax  '!F6</f>
        <v>18448</v>
      </c>
      <c r="D28" s="53">
        <f>'Data Omax  '!G6</f>
        <v>208</v>
      </c>
      <c r="E28" s="58">
        <f t="shared" si="2"/>
        <v>88.692307692307693</v>
      </c>
    </row>
    <row r="29" spans="2:5" ht="15" customHeight="1">
      <c r="B29" s="4" t="s">
        <v>35</v>
      </c>
      <c r="C29" s="53">
        <f>'Data Omax  '!F7</f>
        <v>18016</v>
      </c>
      <c r="D29" s="53">
        <f>'Data Omax  '!G7</f>
        <v>199</v>
      </c>
      <c r="E29" s="58">
        <f t="shared" si="2"/>
        <v>90.532663316582912</v>
      </c>
    </row>
    <row r="30" spans="2:5" ht="15" customHeight="1">
      <c r="B30" s="4" t="s">
        <v>36</v>
      </c>
      <c r="C30" s="53">
        <f>'Data Omax  '!F8</f>
        <v>18879</v>
      </c>
      <c r="D30" s="53">
        <f>'Data Omax  '!G8</f>
        <v>208</v>
      </c>
      <c r="E30" s="58">
        <f t="shared" si="2"/>
        <v>90.76442307692308</v>
      </c>
    </row>
    <row r="31" spans="2:5" ht="15" customHeight="1">
      <c r="B31" s="4" t="s">
        <v>37</v>
      </c>
      <c r="C31" s="53">
        <f>'Data Omax  '!F9</f>
        <v>18891</v>
      </c>
      <c r="D31" s="53">
        <f>'Data Omax  '!G9</f>
        <v>208</v>
      </c>
      <c r="E31" s="58">
        <f t="shared" si="2"/>
        <v>90.822115384615387</v>
      </c>
    </row>
    <row r="33" spans="2:5">
      <c r="B33" s="195" t="s">
        <v>229</v>
      </c>
    </row>
    <row r="34" spans="2:5" ht="15" customHeight="1">
      <c r="B34" s="210" t="s">
        <v>101</v>
      </c>
      <c r="C34" s="211"/>
      <c r="D34" s="211"/>
      <c r="E34" s="212"/>
    </row>
    <row r="35" spans="2:5" ht="34.950000000000003" customHeight="1">
      <c r="B35" s="43" t="s">
        <v>99</v>
      </c>
      <c r="C35" s="43" t="s">
        <v>81</v>
      </c>
      <c r="D35" s="43" t="s">
        <v>30</v>
      </c>
      <c r="E35" s="43" t="s">
        <v>102</v>
      </c>
    </row>
    <row r="36" spans="2:5" ht="15" customHeight="1">
      <c r="B36" s="4" t="s">
        <v>32</v>
      </c>
      <c r="C36" s="53">
        <f>'Data Omax  '!F14</f>
        <v>16996</v>
      </c>
      <c r="D36" s="53">
        <f>'Data Omax  '!G14</f>
        <v>192</v>
      </c>
      <c r="E36" s="58">
        <f>C36/D36</f>
        <v>88.520833333333329</v>
      </c>
    </row>
    <row r="37" spans="2:5" ht="15" customHeight="1">
      <c r="B37" s="4" t="s">
        <v>33</v>
      </c>
      <c r="C37" s="53">
        <f>'Data Omax  '!F15</f>
        <v>18274</v>
      </c>
      <c r="D37" s="53">
        <f>'Data Omax  '!G15</f>
        <v>206</v>
      </c>
      <c r="E37" s="58">
        <f t="shared" ref="E37:E41" si="3">C37/D37</f>
        <v>88.708737864077676</v>
      </c>
    </row>
    <row r="38" spans="2:5" ht="15" customHeight="1">
      <c r="B38" s="4" t="s">
        <v>34</v>
      </c>
      <c r="C38" s="53">
        <f>'Data Omax  '!F16</f>
        <v>18001</v>
      </c>
      <c r="D38" s="53">
        <f>'Data Omax  '!G16</f>
        <v>207</v>
      </c>
      <c r="E38" s="58">
        <f t="shared" si="3"/>
        <v>86.961352657004838</v>
      </c>
    </row>
    <row r="39" spans="2:5" ht="15" customHeight="1">
      <c r="B39" s="4" t="s">
        <v>35</v>
      </c>
      <c r="C39" s="53">
        <f>'Data Omax  '!F17</f>
        <v>18069</v>
      </c>
      <c r="D39" s="53">
        <f>'Data Omax  '!G17</f>
        <v>200</v>
      </c>
      <c r="E39" s="58">
        <f t="shared" si="3"/>
        <v>90.344999999999999</v>
      </c>
    </row>
    <row r="40" spans="2:5" ht="15" customHeight="1">
      <c r="B40" s="4" t="s">
        <v>36</v>
      </c>
      <c r="C40" s="53">
        <f>'Data Omax  '!F18</f>
        <v>18864</v>
      </c>
      <c r="D40" s="53">
        <f>'Data Omax  '!G18</f>
        <v>208</v>
      </c>
      <c r="E40" s="58">
        <f t="shared" si="3"/>
        <v>90.692307692307693</v>
      </c>
    </row>
    <row r="41" spans="2:5" ht="15" customHeight="1">
      <c r="B41" s="4" t="s">
        <v>37</v>
      </c>
      <c r="C41" s="53">
        <f>'Data Omax  '!F19</f>
        <v>19573</v>
      </c>
      <c r="D41" s="53">
        <f>'Data Omax  '!G19</f>
        <v>216</v>
      </c>
      <c r="E41" s="58">
        <f t="shared" si="3"/>
        <v>90.615740740740748</v>
      </c>
    </row>
    <row r="44" spans="2:5">
      <c r="B44" s="195" t="s">
        <v>233</v>
      </c>
    </row>
    <row r="45" spans="2:5" ht="15" customHeight="1">
      <c r="B45" s="210" t="s">
        <v>100</v>
      </c>
      <c r="C45" s="211"/>
      <c r="D45" s="211"/>
      <c r="E45" s="212"/>
    </row>
    <row r="46" spans="2:5" ht="34.950000000000003" customHeight="1">
      <c r="B46" s="43" t="s">
        <v>99</v>
      </c>
      <c r="C46" s="43" t="s">
        <v>28</v>
      </c>
      <c r="D46" s="43" t="s">
        <v>81</v>
      </c>
      <c r="E46" s="43" t="s">
        <v>102</v>
      </c>
    </row>
    <row r="47" spans="2:5" ht="15" customHeight="1">
      <c r="B47" s="4" t="s">
        <v>32</v>
      </c>
      <c r="C47" s="53">
        <f>'Data Omax  '!E4</f>
        <v>201</v>
      </c>
      <c r="D47" s="53">
        <f>'Data Omax  '!F4</f>
        <v>18790</v>
      </c>
      <c r="E47" s="31">
        <f>C47/D47</f>
        <v>1.0697179350718468E-2</v>
      </c>
    </row>
    <row r="48" spans="2:5" ht="15" customHeight="1">
      <c r="B48" s="4" t="s">
        <v>33</v>
      </c>
      <c r="C48" s="53">
        <f>'Data Omax  '!E5</f>
        <v>185</v>
      </c>
      <c r="D48" s="53">
        <f>'Data Omax  '!F5</f>
        <v>17356</v>
      </c>
      <c r="E48" s="31">
        <f t="shared" ref="E48:E52" si="4">C48/D48</f>
        <v>1.0659138050241991E-2</v>
      </c>
    </row>
    <row r="49" spans="2:5" ht="15" customHeight="1">
      <c r="B49" s="4" t="s">
        <v>34</v>
      </c>
      <c r="C49" s="53">
        <f>'Data Omax  '!E6</f>
        <v>140</v>
      </c>
      <c r="D49" s="53">
        <f>'Data Omax  '!F6</f>
        <v>18448</v>
      </c>
      <c r="E49" s="31">
        <f t="shared" si="4"/>
        <v>7.5888985255854295E-3</v>
      </c>
    </row>
    <row r="50" spans="2:5" ht="15" customHeight="1">
      <c r="B50" s="4" t="s">
        <v>35</v>
      </c>
      <c r="C50" s="53">
        <f>'Data Omax  '!E7</f>
        <v>182</v>
      </c>
      <c r="D50" s="53">
        <f>'Data Omax  '!F7</f>
        <v>18016</v>
      </c>
      <c r="E50" s="31">
        <f t="shared" si="4"/>
        <v>1.0102131438721136E-2</v>
      </c>
    </row>
    <row r="51" spans="2:5" ht="15" customHeight="1">
      <c r="B51" s="4" t="s">
        <v>36</v>
      </c>
      <c r="C51" s="53">
        <f>'Data Omax  '!E8</f>
        <v>143</v>
      </c>
      <c r="D51" s="53">
        <f>'Data Omax  '!F8</f>
        <v>18879</v>
      </c>
      <c r="E51" s="31">
        <f t="shared" si="4"/>
        <v>7.5745537369564069E-3</v>
      </c>
    </row>
    <row r="52" spans="2:5" ht="15" customHeight="1">
      <c r="B52" s="4" t="s">
        <v>37</v>
      </c>
      <c r="C52" s="53">
        <f>'Data Omax  '!E9</f>
        <v>138</v>
      </c>
      <c r="D52" s="53">
        <f>'Data Omax  '!F9</f>
        <v>18891</v>
      </c>
      <c r="E52" s="31">
        <f t="shared" si="4"/>
        <v>7.3050659043989198E-3</v>
      </c>
    </row>
    <row r="54" spans="2:5">
      <c r="B54" s="195" t="s">
        <v>234</v>
      </c>
    </row>
    <row r="55" spans="2:5" ht="15" customHeight="1">
      <c r="B55" s="210" t="s">
        <v>101</v>
      </c>
      <c r="C55" s="211"/>
      <c r="D55" s="211"/>
      <c r="E55" s="212"/>
    </row>
    <row r="56" spans="2:5" ht="34.950000000000003" customHeight="1">
      <c r="B56" s="43" t="s">
        <v>99</v>
      </c>
      <c r="C56" s="43" t="s">
        <v>28</v>
      </c>
      <c r="D56" s="43" t="s">
        <v>81</v>
      </c>
      <c r="E56" s="43" t="s">
        <v>102</v>
      </c>
    </row>
    <row r="57" spans="2:5" ht="15" customHeight="1">
      <c r="B57" s="4" t="s">
        <v>32</v>
      </c>
      <c r="C57" s="53">
        <f>'Data Omax  '!E14</f>
        <v>218</v>
      </c>
      <c r="D57" s="53">
        <f>'Data Omax  '!F14</f>
        <v>16996</v>
      </c>
      <c r="E57" s="31">
        <f>C57/D57</f>
        <v>1.2826547422923041E-2</v>
      </c>
    </row>
    <row r="58" spans="2:5" ht="15" customHeight="1">
      <c r="B58" s="4" t="s">
        <v>33</v>
      </c>
      <c r="C58" s="53">
        <f>'Data Omax  '!E15</f>
        <v>200</v>
      </c>
      <c r="D58" s="53">
        <f>'Data Omax  '!F15</f>
        <v>18274</v>
      </c>
      <c r="E58" s="31">
        <f t="shared" ref="E58:E62" si="5">C58/D58</f>
        <v>1.0944511327569224E-2</v>
      </c>
    </row>
    <row r="59" spans="2:5" ht="15" customHeight="1">
      <c r="B59" s="4" t="s">
        <v>34</v>
      </c>
      <c r="C59" s="53">
        <f>'Data Omax  '!E16</f>
        <v>193</v>
      </c>
      <c r="D59" s="53">
        <f>'Data Omax  '!F16</f>
        <v>18001</v>
      </c>
      <c r="E59" s="31">
        <f t="shared" si="5"/>
        <v>1.0721626576301317E-2</v>
      </c>
    </row>
    <row r="60" spans="2:5" ht="15" customHeight="1">
      <c r="B60" s="4" t="s">
        <v>35</v>
      </c>
      <c r="C60" s="53">
        <f>'Data Omax  '!E17</f>
        <v>198</v>
      </c>
      <c r="D60" s="53">
        <f>'Data Omax  '!F17</f>
        <v>18069</v>
      </c>
      <c r="E60" s="31">
        <f t="shared" si="5"/>
        <v>1.0957994354972606E-2</v>
      </c>
    </row>
    <row r="61" spans="2:5" ht="15" customHeight="1">
      <c r="B61" s="4" t="s">
        <v>36</v>
      </c>
      <c r="C61" s="53">
        <f>'Data Omax  '!E18</f>
        <v>133</v>
      </c>
      <c r="D61" s="53">
        <f>'Data Omax  '!F18</f>
        <v>18864</v>
      </c>
      <c r="E61" s="31">
        <f t="shared" si="5"/>
        <v>7.0504664970313822E-3</v>
      </c>
    </row>
    <row r="62" spans="2:5" ht="15" customHeight="1">
      <c r="B62" s="4" t="s">
        <v>37</v>
      </c>
      <c r="C62" s="53">
        <f>'Data Omax  '!E19</f>
        <v>130</v>
      </c>
      <c r="D62" s="53">
        <f>'Data Omax  '!F19</f>
        <v>19573</v>
      </c>
      <c r="E62" s="31">
        <f t="shared" si="5"/>
        <v>6.6418024830123129E-3</v>
      </c>
    </row>
    <row r="66" spans="2:5">
      <c r="B66" s="195" t="s">
        <v>235</v>
      </c>
    </row>
    <row r="67" spans="2:5" ht="15" customHeight="1">
      <c r="B67" s="210" t="s">
        <v>100</v>
      </c>
      <c r="C67" s="211"/>
      <c r="D67" s="211"/>
      <c r="E67" s="212"/>
    </row>
    <row r="68" spans="2:5" ht="34.950000000000003" customHeight="1">
      <c r="B68" s="43" t="s">
        <v>99</v>
      </c>
      <c r="C68" s="43" t="s">
        <v>81</v>
      </c>
      <c r="D68" s="43" t="s">
        <v>31</v>
      </c>
      <c r="E68" s="43" t="s">
        <v>38</v>
      </c>
    </row>
    <row r="69" spans="2:5" ht="15" customHeight="1">
      <c r="B69" s="4" t="s">
        <v>32</v>
      </c>
      <c r="C69" s="53">
        <f>'Data Omax  '!F4</f>
        <v>18790</v>
      </c>
      <c r="D69" s="207">
        <v>3</v>
      </c>
      <c r="E69" s="59">
        <f>C69/$D$69</f>
        <v>6263.333333333333</v>
      </c>
    </row>
    <row r="70" spans="2:5" ht="15" customHeight="1">
      <c r="B70" s="4" t="s">
        <v>33</v>
      </c>
      <c r="C70" s="53">
        <f>'Data Omax  '!F5</f>
        <v>17356</v>
      </c>
      <c r="D70" s="208"/>
      <c r="E70" s="59">
        <f t="shared" ref="E70:E74" si="6">C70/$D$69</f>
        <v>5785.333333333333</v>
      </c>
    </row>
    <row r="71" spans="2:5" ht="15" customHeight="1">
      <c r="B71" s="4" t="s">
        <v>34</v>
      </c>
      <c r="C71" s="53">
        <f>'Data Omax  '!F6</f>
        <v>18448</v>
      </c>
      <c r="D71" s="208"/>
      <c r="E71" s="59">
        <f t="shared" si="6"/>
        <v>6149.333333333333</v>
      </c>
    </row>
    <row r="72" spans="2:5" ht="15" customHeight="1">
      <c r="B72" s="4" t="s">
        <v>35</v>
      </c>
      <c r="C72" s="53">
        <f>'Data Omax  '!F7</f>
        <v>18016</v>
      </c>
      <c r="D72" s="208"/>
      <c r="E72" s="59">
        <f t="shared" si="6"/>
        <v>6005.333333333333</v>
      </c>
    </row>
    <row r="73" spans="2:5" ht="15" customHeight="1">
      <c r="B73" s="4" t="s">
        <v>36</v>
      </c>
      <c r="C73" s="53">
        <f>'Data Omax  '!F8</f>
        <v>18879</v>
      </c>
      <c r="D73" s="208"/>
      <c r="E73" s="60">
        <f t="shared" si="6"/>
        <v>6293</v>
      </c>
    </row>
    <row r="74" spans="2:5" ht="15" customHeight="1">
      <c r="B74" s="4" t="s">
        <v>37</v>
      </c>
      <c r="C74" s="53">
        <f>'Data Omax  '!F9</f>
        <v>18891</v>
      </c>
      <c r="D74" s="209"/>
      <c r="E74" s="60">
        <f t="shared" si="6"/>
        <v>6297</v>
      </c>
    </row>
    <row r="76" spans="2:5">
      <c r="B76" s="195" t="s">
        <v>236</v>
      </c>
    </row>
    <row r="77" spans="2:5" ht="15" customHeight="1">
      <c r="B77" s="210" t="s">
        <v>101</v>
      </c>
      <c r="C77" s="211"/>
      <c r="D77" s="211"/>
      <c r="E77" s="212"/>
    </row>
    <row r="78" spans="2:5" ht="34.950000000000003" customHeight="1">
      <c r="B78" s="43" t="s">
        <v>99</v>
      </c>
      <c r="C78" s="43" t="s">
        <v>81</v>
      </c>
      <c r="D78" s="43" t="s">
        <v>31</v>
      </c>
      <c r="E78" s="43" t="s">
        <v>38</v>
      </c>
    </row>
    <row r="79" spans="2:5" ht="15" customHeight="1">
      <c r="B79" s="4" t="s">
        <v>32</v>
      </c>
      <c r="C79" s="53">
        <f>'Data Omax  '!F14</f>
        <v>16996</v>
      </c>
      <c r="D79" s="207">
        <v>3</v>
      </c>
      <c r="E79" s="59">
        <f>C79/$D$79</f>
        <v>5665.333333333333</v>
      </c>
    </row>
    <row r="80" spans="2:5" ht="15" customHeight="1">
      <c r="B80" s="4" t="s">
        <v>33</v>
      </c>
      <c r="C80" s="53">
        <f>'Data Omax  '!F15</f>
        <v>18274</v>
      </c>
      <c r="D80" s="208"/>
      <c r="E80" s="59">
        <f t="shared" ref="E80:E84" si="7">C80/$D$79</f>
        <v>6091.333333333333</v>
      </c>
    </row>
    <row r="81" spans="2:5" ht="15" customHeight="1">
      <c r="B81" s="4" t="s">
        <v>34</v>
      </c>
      <c r="C81" s="53">
        <f>'Data Omax  '!F16</f>
        <v>18001</v>
      </c>
      <c r="D81" s="208"/>
      <c r="E81" s="59">
        <f t="shared" si="7"/>
        <v>6000.333333333333</v>
      </c>
    </row>
    <row r="82" spans="2:5" ht="15" customHeight="1">
      <c r="B82" s="4" t="s">
        <v>35</v>
      </c>
      <c r="C82" s="53">
        <f>'Data Omax  '!F17</f>
        <v>18069</v>
      </c>
      <c r="D82" s="208"/>
      <c r="E82" s="60">
        <f t="shared" si="7"/>
        <v>6023</v>
      </c>
    </row>
    <row r="83" spans="2:5" ht="15" customHeight="1">
      <c r="B83" s="4" t="s">
        <v>36</v>
      </c>
      <c r="C83" s="53">
        <f>'Data Omax  '!F18</f>
        <v>18864</v>
      </c>
      <c r="D83" s="208"/>
      <c r="E83" s="60">
        <f t="shared" si="7"/>
        <v>6288</v>
      </c>
    </row>
    <row r="84" spans="2:5" ht="15" customHeight="1">
      <c r="B84" s="4" t="s">
        <v>37</v>
      </c>
      <c r="C84" s="53">
        <f>'Data Omax  '!F19</f>
        <v>19573</v>
      </c>
      <c r="D84" s="209"/>
      <c r="E84" s="59">
        <f t="shared" si="7"/>
        <v>6524.333333333333</v>
      </c>
    </row>
  </sheetData>
  <mergeCells count="10">
    <mergeCell ref="D79:D84"/>
    <mergeCell ref="B2:E2"/>
    <mergeCell ref="B12:E12"/>
    <mergeCell ref="B24:E24"/>
    <mergeCell ref="B34:E34"/>
    <mergeCell ref="B45:E45"/>
    <mergeCell ref="B55:E55"/>
    <mergeCell ref="B67:E67"/>
    <mergeCell ref="B77:E77"/>
    <mergeCell ref="D69:D7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AY63"/>
  <sheetViews>
    <sheetView topLeftCell="A8" zoomScale="70" zoomScaleNormal="70" workbookViewId="0">
      <selection activeCell="A8" sqref="A8"/>
    </sheetView>
  </sheetViews>
  <sheetFormatPr defaultRowHeight="15.6"/>
  <cols>
    <col min="1" max="1" width="8.88671875" style="3"/>
    <col min="2" max="2" width="24" style="3" customWidth="1"/>
    <col min="3" max="19" width="2.33203125" style="3" customWidth="1"/>
    <col min="20" max="20" width="23.21875" style="3" customWidth="1"/>
    <col min="21" max="21" width="8.21875" style="3" customWidth="1"/>
    <col min="22" max="26" width="9.77734375" style="3" customWidth="1"/>
    <col min="27" max="27" width="10.77734375" style="3" customWidth="1"/>
    <col min="28" max="29" width="9.88671875" style="3" customWidth="1"/>
    <col min="30" max="30" width="12.21875" style="3" customWidth="1"/>
    <col min="31" max="34" width="7.77734375" style="3" customWidth="1"/>
    <col min="35" max="35" width="4.21875" style="3" customWidth="1"/>
    <col min="36" max="41" width="7.77734375" style="3" customWidth="1"/>
    <col min="42" max="42" width="5.33203125" style="3" customWidth="1"/>
    <col min="43" max="47" width="7.77734375" style="3" customWidth="1"/>
    <col min="48" max="16384" width="8.88671875" style="3"/>
  </cols>
  <sheetData>
    <row r="2" spans="2:26" ht="34.950000000000003" customHeight="1"/>
    <row r="3" spans="2:26">
      <c r="B3" s="214" t="s">
        <v>0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19"/>
    </row>
    <row r="4" spans="2:26">
      <c r="B4" s="3" t="s">
        <v>103</v>
      </c>
    </row>
    <row r="5" spans="2:26">
      <c r="B5" s="1" t="s">
        <v>1</v>
      </c>
      <c r="C5" s="5" t="s">
        <v>2</v>
      </c>
      <c r="D5" s="5"/>
      <c r="E5" s="4"/>
      <c r="L5" s="7"/>
      <c r="M5" s="7"/>
      <c r="N5" s="8"/>
    </row>
    <row r="6" spans="2:26">
      <c r="B6" s="4" t="s">
        <v>3</v>
      </c>
      <c r="C6" s="215" t="s">
        <v>6</v>
      </c>
      <c r="D6" s="215"/>
      <c r="E6" s="215"/>
      <c r="L6" s="216"/>
      <c r="M6" s="216"/>
      <c r="N6" s="216"/>
    </row>
    <row r="7" spans="2:26">
      <c r="B7" s="4" t="s">
        <v>4</v>
      </c>
      <c r="C7" s="215" t="s">
        <v>7</v>
      </c>
      <c r="D7" s="215"/>
      <c r="E7" s="215"/>
      <c r="L7" s="216"/>
      <c r="M7" s="216"/>
      <c r="N7" s="216"/>
    </row>
    <row r="8" spans="2:26">
      <c r="B8" s="4" t="s">
        <v>5</v>
      </c>
      <c r="C8" s="215" t="s">
        <v>8</v>
      </c>
      <c r="D8" s="215"/>
      <c r="E8" s="215"/>
      <c r="L8" s="216"/>
      <c r="M8" s="216"/>
      <c r="N8" s="216"/>
    </row>
    <row r="9" spans="2:26">
      <c r="B9" s="4" t="s">
        <v>96</v>
      </c>
      <c r="C9" s="215" t="s">
        <v>9</v>
      </c>
      <c r="D9" s="215"/>
      <c r="E9" s="215"/>
      <c r="L9" s="216"/>
      <c r="M9" s="216"/>
      <c r="N9" s="216"/>
    </row>
    <row r="11" spans="2:26">
      <c r="B11" s="3" t="s">
        <v>10</v>
      </c>
    </row>
    <row r="13" spans="2:26">
      <c r="B13" s="215" t="s">
        <v>11</v>
      </c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2:26" ht="34.950000000000003" customHeight="1">
      <c r="B14" s="217" t="s">
        <v>104</v>
      </c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9"/>
      <c r="V14" s="82"/>
      <c r="W14" s="83"/>
      <c r="X14" s="83"/>
      <c r="Y14" s="78"/>
      <c r="Z14" s="78"/>
    </row>
    <row r="15" spans="2:26" ht="40.049999999999997" customHeight="1">
      <c r="B15" s="53" t="s">
        <v>12</v>
      </c>
      <c r="C15" s="213" t="s">
        <v>13</v>
      </c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53" t="s">
        <v>14</v>
      </c>
      <c r="V15" s="184" t="s">
        <v>16</v>
      </c>
      <c r="W15" s="183" t="s">
        <v>6</v>
      </c>
      <c r="X15" s="183" t="s">
        <v>7</v>
      </c>
      <c r="Y15" s="183" t="s">
        <v>8</v>
      </c>
      <c r="Z15" s="183" t="s">
        <v>9</v>
      </c>
    </row>
    <row r="16" spans="2:26">
      <c r="B16" s="4" t="s">
        <v>3</v>
      </c>
      <c r="C16" s="9">
        <v>9</v>
      </c>
      <c r="D16" s="9">
        <v>8</v>
      </c>
      <c r="E16" s="9">
        <v>7</v>
      </c>
      <c r="F16" s="9">
        <v>6</v>
      </c>
      <c r="G16" s="9">
        <v>5</v>
      </c>
      <c r="H16" s="9">
        <v>4</v>
      </c>
      <c r="I16" s="9">
        <v>3</v>
      </c>
      <c r="J16" s="9">
        <v>2</v>
      </c>
      <c r="K16" s="75">
        <v>1</v>
      </c>
      <c r="L16" s="11">
        <v>2</v>
      </c>
      <c r="M16" s="11">
        <v>3</v>
      </c>
      <c r="N16" s="11">
        <v>4</v>
      </c>
      <c r="O16" s="11">
        <v>5</v>
      </c>
      <c r="P16" s="11">
        <v>6</v>
      </c>
      <c r="Q16" s="11">
        <v>7</v>
      </c>
      <c r="R16" s="11">
        <v>8</v>
      </c>
      <c r="S16" s="11">
        <v>9</v>
      </c>
      <c r="T16" s="4" t="s">
        <v>4</v>
      </c>
      <c r="V16" s="203" t="s">
        <v>6</v>
      </c>
      <c r="W16" s="196">
        <v>1</v>
      </c>
      <c r="X16" s="90">
        <v>1</v>
      </c>
      <c r="Y16" s="90">
        <v>5</v>
      </c>
      <c r="Z16" s="90">
        <v>3</v>
      </c>
    </row>
    <row r="17" spans="2:31">
      <c r="B17" s="4" t="s">
        <v>3</v>
      </c>
      <c r="C17" s="9">
        <v>9</v>
      </c>
      <c r="D17" s="9">
        <v>8</v>
      </c>
      <c r="E17" s="9">
        <v>7</v>
      </c>
      <c r="F17" s="9">
        <v>6</v>
      </c>
      <c r="G17" s="15">
        <v>5</v>
      </c>
      <c r="H17" s="9">
        <v>4</v>
      </c>
      <c r="I17" s="9">
        <v>3</v>
      </c>
      <c r="J17" s="9">
        <v>2</v>
      </c>
      <c r="K17" s="10">
        <v>1</v>
      </c>
      <c r="L17" s="11">
        <v>2</v>
      </c>
      <c r="M17" s="11">
        <v>3</v>
      </c>
      <c r="N17" s="11">
        <v>4</v>
      </c>
      <c r="O17" s="11">
        <v>5</v>
      </c>
      <c r="P17" s="11">
        <v>6</v>
      </c>
      <c r="Q17" s="11">
        <v>7</v>
      </c>
      <c r="R17" s="11">
        <v>8</v>
      </c>
      <c r="S17" s="11">
        <v>9</v>
      </c>
      <c r="T17" s="4" t="s">
        <v>5</v>
      </c>
      <c r="V17" s="203" t="s">
        <v>7</v>
      </c>
      <c r="W17" s="90">
        <v>1</v>
      </c>
      <c r="X17" s="196">
        <v>1</v>
      </c>
      <c r="Y17" s="68">
        <f>1/X18</f>
        <v>0.33333333333333331</v>
      </c>
      <c r="Z17" s="68">
        <f>1/X19</f>
        <v>0.2</v>
      </c>
    </row>
    <row r="18" spans="2:31">
      <c r="B18" s="4" t="s">
        <v>3</v>
      </c>
      <c r="C18" s="9">
        <v>9</v>
      </c>
      <c r="D18" s="9">
        <v>8</v>
      </c>
      <c r="E18" s="9">
        <v>7</v>
      </c>
      <c r="F18" s="9">
        <v>6</v>
      </c>
      <c r="G18" s="9">
        <v>5</v>
      </c>
      <c r="H18" s="9">
        <v>4</v>
      </c>
      <c r="I18" s="15">
        <v>3</v>
      </c>
      <c r="J18" s="9">
        <v>2</v>
      </c>
      <c r="K18" s="10">
        <v>1</v>
      </c>
      <c r="L18" s="11">
        <v>2</v>
      </c>
      <c r="M18" s="11">
        <v>3</v>
      </c>
      <c r="N18" s="11">
        <v>4</v>
      </c>
      <c r="O18" s="11">
        <v>5</v>
      </c>
      <c r="P18" s="11">
        <v>6</v>
      </c>
      <c r="Q18" s="11">
        <v>7</v>
      </c>
      <c r="R18" s="11">
        <v>8</v>
      </c>
      <c r="S18" s="11">
        <v>9</v>
      </c>
      <c r="T18" s="4" t="s">
        <v>96</v>
      </c>
      <c r="V18" s="203" t="s">
        <v>8</v>
      </c>
      <c r="W18" s="68">
        <f>1/Y16</f>
        <v>0.2</v>
      </c>
      <c r="X18" s="90">
        <v>3</v>
      </c>
      <c r="Y18" s="197">
        <v>1</v>
      </c>
      <c r="Z18" s="68">
        <f>1/Y19</f>
        <v>0.14285714285714285</v>
      </c>
    </row>
    <row r="19" spans="2:31">
      <c r="B19" s="4" t="s">
        <v>4</v>
      </c>
      <c r="C19" s="9">
        <v>9</v>
      </c>
      <c r="D19" s="9">
        <v>8</v>
      </c>
      <c r="E19" s="9">
        <v>7</v>
      </c>
      <c r="F19" s="9">
        <v>6</v>
      </c>
      <c r="G19" s="9">
        <v>5</v>
      </c>
      <c r="H19" s="9">
        <v>4</v>
      </c>
      <c r="I19" s="9">
        <v>3</v>
      </c>
      <c r="J19" s="9">
        <v>2</v>
      </c>
      <c r="K19" s="10">
        <v>1</v>
      </c>
      <c r="L19" s="11">
        <v>2</v>
      </c>
      <c r="M19" s="16">
        <v>3</v>
      </c>
      <c r="N19" s="11">
        <v>4</v>
      </c>
      <c r="O19" s="11">
        <v>5</v>
      </c>
      <c r="P19" s="11">
        <v>6</v>
      </c>
      <c r="Q19" s="11">
        <v>7</v>
      </c>
      <c r="R19" s="11">
        <v>8</v>
      </c>
      <c r="S19" s="11">
        <v>9</v>
      </c>
      <c r="T19" s="4" t="s">
        <v>5</v>
      </c>
      <c r="V19" s="203" t="s">
        <v>9</v>
      </c>
      <c r="W19" s="68">
        <f>1/Z16</f>
        <v>0.33333333333333331</v>
      </c>
      <c r="X19" s="90">
        <v>5</v>
      </c>
      <c r="Y19" s="90">
        <v>7</v>
      </c>
      <c r="Z19" s="196">
        <v>1</v>
      </c>
    </row>
    <row r="20" spans="2:31">
      <c r="B20" s="4" t="s">
        <v>4</v>
      </c>
      <c r="C20" s="9">
        <v>9</v>
      </c>
      <c r="D20" s="9">
        <v>8</v>
      </c>
      <c r="E20" s="9">
        <v>7</v>
      </c>
      <c r="F20" s="9">
        <v>6</v>
      </c>
      <c r="G20" s="9">
        <v>5</v>
      </c>
      <c r="H20" s="9">
        <v>4</v>
      </c>
      <c r="I20" s="9">
        <v>3</v>
      </c>
      <c r="J20" s="9">
        <v>2</v>
      </c>
      <c r="K20" s="10">
        <v>1</v>
      </c>
      <c r="L20" s="11">
        <v>2</v>
      </c>
      <c r="M20" s="11">
        <v>3</v>
      </c>
      <c r="N20" s="11">
        <v>4</v>
      </c>
      <c r="O20" s="16">
        <v>5</v>
      </c>
      <c r="P20" s="11">
        <v>6</v>
      </c>
      <c r="Q20" s="11">
        <v>7</v>
      </c>
      <c r="R20" s="11">
        <v>8</v>
      </c>
      <c r="S20" s="11">
        <v>9</v>
      </c>
      <c r="T20" s="4" t="s">
        <v>96</v>
      </c>
      <c r="V20" s="160"/>
      <c r="W20" s="161"/>
      <c r="X20" s="161"/>
    </row>
    <row r="21" spans="2:31">
      <c r="B21" s="4" t="s">
        <v>5</v>
      </c>
      <c r="C21" s="9">
        <v>9</v>
      </c>
      <c r="D21" s="9">
        <v>8</v>
      </c>
      <c r="E21" s="9">
        <v>7</v>
      </c>
      <c r="F21" s="9">
        <v>6</v>
      </c>
      <c r="G21" s="9">
        <v>5</v>
      </c>
      <c r="H21" s="9">
        <v>4</v>
      </c>
      <c r="I21" s="9">
        <v>3</v>
      </c>
      <c r="J21" s="9">
        <v>2</v>
      </c>
      <c r="K21" s="10">
        <v>1</v>
      </c>
      <c r="L21" s="11">
        <v>2</v>
      </c>
      <c r="M21" s="11">
        <v>3</v>
      </c>
      <c r="N21" s="11">
        <v>4</v>
      </c>
      <c r="O21" s="11">
        <v>5</v>
      </c>
      <c r="P21" s="11">
        <v>6</v>
      </c>
      <c r="Q21" s="16">
        <v>7</v>
      </c>
      <c r="R21" s="11">
        <v>8</v>
      </c>
      <c r="S21" s="11">
        <v>9</v>
      </c>
      <c r="T21" s="4" t="s">
        <v>96</v>
      </c>
      <c r="V21" s="160"/>
      <c r="W21" s="161"/>
      <c r="X21" s="161"/>
    </row>
    <row r="23" spans="2:31">
      <c r="B23" s="215" t="s">
        <v>15</v>
      </c>
      <c r="C23" s="215"/>
      <c r="D23" s="215"/>
      <c r="E23" s="215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</row>
    <row r="24" spans="2:31" ht="34.950000000000003" customHeight="1">
      <c r="B24" s="217" t="s">
        <v>104</v>
      </c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9"/>
      <c r="V24" s="84"/>
      <c r="W24" s="77"/>
      <c r="X24" s="77"/>
      <c r="Y24" s="78"/>
      <c r="Z24" s="78"/>
    </row>
    <row r="25" spans="2:31" ht="40.049999999999997" customHeight="1">
      <c r="B25" s="53" t="s">
        <v>12</v>
      </c>
      <c r="C25" s="213" t="s">
        <v>13</v>
      </c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53" t="s">
        <v>14</v>
      </c>
      <c r="V25" s="184" t="s">
        <v>16</v>
      </c>
      <c r="W25" s="183" t="s">
        <v>6</v>
      </c>
      <c r="X25" s="183" t="s">
        <v>7</v>
      </c>
      <c r="Y25" s="183" t="s">
        <v>8</v>
      </c>
      <c r="Z25" s="183" t="s">
        <v>9</v>
      </c>
    </row>
    <row r="26" spans="2:31">
      <c r="B26" s="4" t="s">
        <v>3</v>
      </c>
      <c r="C26" s="12">
        <v>9</v>
      </c>
      <c r="D26" s="12">
        <v>8</v>
      </c>
      <c r="E26" s="12">
        <v>7</v>
      </c>
      <c r="F26" s="12">
        <v>6</v>
      </c>
      <c r="G26" s="17">
        <v>5</v>
      </c>
      <c r="H26" s="12">
        <v>4</v>
      </c>
      <c r="I26" s="12">
        <v>3</v>
      </c>
      <c r="J26" s="12">
        <v>2</v>
      </c>
      <c r="K26" s="13">
        <v>1</v>
      </c>
      <c r="L26" s="14">
        <v>2</v>
      </c>
      <c r="M26" s="14">
        <v>3</v>
      </c>
      <c r="N26" s="14">
        <v>4</v>
      </c>
      <c r="O26" s="14">
        <v>5</v>
      </c>
      <c r="P26" s="14">
        <v>6</v>
      </c>
      <c r="Q26" s="14">
        <v>7</v>
      </c>
      <c r="R26" s="14">
        <v>8</v>
      </c>
      <c r="S26" s="14">
        <v>9</v>
      </c>
      <c r="T26" s="4" t="s">
        <v>4</v>
      </c>
      <c r="V26" s="203" t="s">
        <v>6</v>
      </c>
      <c r="W26" s="196">
        <v>1</v>
      </c>
      <c r="X26" s="90">
        <v>5</v>
      </c>
      <c r="Y26" s="68">
        <f>1/W28</f>
        <v>0.33333333333333331</v>
      </c>
      <c r="Z26" s="90">
        <f>GEOMEAN(W16,X16)</f>
        <v>1</v>
      </c>
      <c r="AE26" s="26"/>
    </row>
    <row r="27" spans="2:31">
      <c r="B27" s="4" t="s">
        <v>3</v>
      </c>
      <c r="C27" s="12">
        <v>9</v>
      </c>
      <c r="D27" s="12">
        <v>8</v>
      </c>
      <c r="E27" s="12">
        <v>7</v>
      </c>
      <c r="F27" s="12">
        <v>6</v>
      </c>
      <c r="G27" s="12">
        <v>5</v>
      </c>
      <c r="H27" s="12">
        <v>4</v>
      </c>
      <c r="I27" s="12">
        <v>3</v>
      </c>
      <c r="J27" s="12">
        <v>2</v>
      </c>
      <c r="K27" s="13">
        <v>1</v>
      </c>
      <c r="L27" s="14">
        <v>2</v>
      </c>
      <c r="M27" s="18">
        <v>3</v>
      </c>
      <c r="N27" s="14">
        <v>4</v>
      </c>
      <c r="O27" s="14">
        <v>5</v>
      </c>
      <c r="P27" s="14">
        <v>6</v>
      </c>
      <c r="Q27" s="14">
        <v>7</v>
      </c>
      <c r="R27" s="14">
        <v>8</v>
      </c>
      <c r="S27" s="14">
        <v>9</v>
      </c>
      <c r="T27" s="4" t="s">
        <v>5</v>
      </c>
      <c r="V27" s="203" t="s">
        <v>7</v>
      </c>
      <c r="W27" s="68">
        <f>1/X26</f>
        <v>0.2</v>
      </c>
      <c r="X27" s="196">
        <v>1</v>
      </c>
      <c r="Y27" s="68">
        <f>1/X28</f>
        <v>0.2</v>
      </c>
      <c r="Z27" s="68">
        <f>1/X29</f>
        <v>0.33333333333333331</v>
      </c>
      <c r="AE27" s="26"/>
    </row>
    <row r="28" spans="2:31">
      <c r="B28" s="4" t="s">
        <v>3</v>
      </c>
      <c r="C28" s="12">
        <v>9</v>
      </c>
      <c r="D28" s="12">
        <v>8</v>
      </c>
      <c r="E28" s="12">
        <v>7</v>
      </c>
      <c r="F28" s="12">
        <v>6</v>
      </c>
      <c r="G28" s="12">
        <v>5</v>
      </c>
      <c r="H28" s="12">
        <v>4</v>
      </c>
      <c r="I28" s="12">
        <v>3</v>
      </c>
      <c r="J28" s="12">
        <v>2</v>
      </c>
      <c r="K28" s="76">
        <v>1</v>
      </c>
      <c r="L28" s="14">
        <v>2</v>
      </c>
      <c r="M28" s="14">
        <v>3</v>
      </c>
      <c r="N28" s="14">
        <v>4</v>
      </c>
      <c r="O28" s="14">
        <v>5</v>
      </c>
      <c r="P28" s="14">
        <v>6</v>
      </c>
      <c r="Q28" s="14">
        <v>7</v>
      </c>
      <c r="R28" s="14">
        <v>8</v>
      </c>
      <c r="S28" s="14">
        <v>9</v>
      </c>
      <c r="T28" s="4" t="s">
        <v>96</v>
      </c>
      <c r="V28" s="203" t="s">
        <v>8</v>
      </c>
      <c r="W28" s="90">
        <v>3</v>
      </c>
      <c r="X28" s="90">
        <v>5</v>
      </c>
      <c r="Y28" s="197">
        <v>1</v>
      </c>
      <c r="Z28" s="90">
        <v>5</v>
      </c>
      <c r="AE28" s="26"/>
    </row>
    <row r="29" spans="2:31">
      <c r="B29" s="4" t="s">
        <v>4</v>
      </c>
      <c r="C29" s="12">
        <v>9</v>
      </c>
      <c r="D29" s="12">
        <v>8</v>
      </c>
      <c r="E29" s="12">
        <v>7</v>
      </c>
      <c r="F29" s="12">
        <v>6</v>
      </c>
      <c r="G29" s="12">
        <v>5</v>
      </c>
      <c r="H29" s="12">
        <v>4</v>
      </c>
      <c r="I29" s="12">
        <v>3</v>
      </c>
      <c r="J29" s="12">
        <v>2</v>
      </c>
      <c r="K29" s="13">
        <v>1</v>
      </c>
      <c r="L29" s="14">
        <v>2</v>
      </c>
      <c r="M29" s="14">
        <v>3</v>
      </c>
      <c r="N29" s="14">
        <v>4</v>
      </c>
      <c r="O29" s="18">
        <v>5</v>
      </c>
      <c r="P29" s="14">
        <v>6</v>
      </c>
      <c r="Q29" s="14">
        <v>7</v>
      </c>
      <c r="R29" s="14">
        <v>8</v>
      </c>
      <c r="S29" s="14">
        <v>9</v>
      </c>
      <c r="T29" s="4" t="s">
        <v>5</v>
      </c>
      <c r="V29" s="203" t="s">
        <v>9</v>
      </c>
      <c r="W29" s="90">
        <f>1/Z26</f>
        <v>1</v>
      </c>
      <c r="X29" s="90">
        <v>3</v>
      </c>
      <c r="Y29" s="68">
        <f>1/Z28</f>
        <v>0.2</v>
      </c>
      <c r="Z29" s="196">
        <v>1</v>
      </c>
      <c r="AE29" s="26"/>
    </row>
    <row r="30" spans="2:31">
      <c r="B30" s="4" t="s">
        <v>4</v>
      </c>
      <c r="C30" s="12">
        <v>9</v>
      </c>
      <c r="D30" s="12">
        <v>8</v>
      </c>
      <c r="E30" s="12">
        <v>7</v>
      </c>
      <c r="F30" s="12">
        <v>6</v>
      </c>
      <c r="G30" s="12">
        <v>5</v>
      </c>
      <c r="H30" s="12">
        <v>4</v>
      </c>
      <c r="I30" s="12">
        <v>3</v>
      </c>
      <c r="J30" s="12">
        <v>2</v>
      </c>
      <c r="K30" s="13">
        <v>1</v>
      </c>
      <c r="L30" s="14">
        <v>2</v>
      </c>
      <c r="M30" s="18">
        <v>3</v>
      </c>
      <c r="N30" s="14">
        <v>4</v>
      </c>
      <c r="O30" s="14">
        <v>5</v>
      </c>
      <c r="P30" s="14">
        <v>6</v>
      </c>
      <c r="Q30" s="14">
        <v>7</v>
      </c>
      <c r="R30" s="14">
        <v>8</v>
      </c>
      <c r="S30" s="14">
        <v>9</v>
      </c>
      <c r="T30" s="4" t="s">
        <v>96</v>
      </c>
      <c r="V30" s="160"/>
      <c r="W30" s="159"/>
      <c r="X30" s="159"/>
      <c r="Y30" s="163"/>
      <c r="AE30" s="26"/>
    </row>
    <row r="31" spans="2:31">
      <c r="B31" s="4" t="s">
        <v>5</v>
      </c>
      <c r="C31" s="12">
        <v>9</v>
      </c>
      <c r="D31" s="12">
        <v>8</v>
      </c>
      <c r="E31" s="12">
        <v>7</v>
      </c>
      <c r="F31" s="12">
        <v>6</v>
      </c>
      <c r="G31" s="17">
        <v>5</v>
      </c>
      <c r="H31" s="12">
        <v>4</v>
      </c>
      <c r="I31" s="12">
        <v>3</v>
      </c>
      <c r="J31" s="12">
        <v>2</v>
      </c>
      <c r="K31" s="13">
        <v>1</v>
      </c>
      <c r="L31" s="14">
        <v>2</v>
      </c>
      <c r="M31" s="14">
        <v>3</v>
      </c>
      <c r="N31" s="14">
        <v>4</v>
      </c>
      <c r="O31" s="14">
        <v>5</v>
      </c>
      <c r="P31" s="14">
        <v>6</v>
      </c>
      <c r="Q31" s="14">
        <v>7</v>
      </c>
      <c r="R31" s="14">
        <v>8</v>
      </c>
      <c r="S31" s="14">
        <v>9</v>
      </c>
      <c r="T31" s="4" t="s">
        <v>96</v>
      </c>
      <c r="V31" s="160"/>
      <c r="W31" s="159"/>
      <c r="X31" s="162"/>
      <c r="Y31" s="163"/>
      <c r="AE31" s="26"/>
    </row>
    <row r="32" spans="2:31">
      <c r="B32" s="80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81"/>
      <c r="R32" s="79"/>
      <c r="S32" s="79"/>
      <c r="T32" s="80"/>
    </row>
    <row r="33" spans="2:51">
      <c r="B33" s="3" t="s">
        <v>52</v>
      </c>
    </row>
    <row r="34" spans="2:51">
      <c r="B34" s="3" t="s">
        <v>98</v>
      </c>
      <c r="V34" s="3" t="s">
        <v>17</v>
      </c>
    </row>
    <row r="35" spans="2:51">
      <c r="B35" s="3" t="s">
        <v>97</v>
      </c>
    </row>
    <row r="36" spans="2:51">
      <c r="V36" s="3" t="s">
        <v>105</v>
      </c>
    </row>
    <row r="37" spans="2:51" ht="16.05" customHeight="1">
      <c r="V37" s="184" t="s">
        <v>16</v>
      </c>
      <c r="W37" s="183" t="s">
        <v>6</v>
      </c>
      <c r="X37" s="183" t="s">
        <v>7</v>
      </c>
      <c r="Y37" s="183" t="s">
        <v>8</v>
      </c>
      <c r="Z37" s="183" t="s">
        <v>9</v>
      </c>
      <c r="AD37" s="93"/>
      <c r="AE37" s="153">
        <f>W38</f>
        <v>1</v>
      </c>
      <c r="AF37" s="153">
        <f t="shared" ref="AE37:AH40" si="0">X38</f>
        <v>2.2360679774997898</v>
      </c>
      <c r="AG37" s="153">
        <f t="shared" si="0"/>
        <v>1.2909944487358056</v>
      </c>
      <c r="AH37" s="153">
        <f t="shared" si="0"/>
        <v>1.7320508075688774</v>
      </c>
      <c r="AI37" s="154"/>
      <c r="AJ37" s="94">
        <f>AB46</f>
        <v>0.33958612840092622</v>
      </c>
      <c r="AK37" s="91"/>
      <c r="AL37" s="94">
        <f>AE37*$AJ$37</f>
        <v>0.33958612840092622</v>
      </c>
      <c r="AM37" s="94">
        <f>AF37*$AJ$38</f>
        <v>0.2165197234331829</v>
      </c>
      <c r="AN37" s="94">
        <f>AG37*$AJ$39</f>
        <v>0.36072626593327733</v>
      </c>
      <c r="AO37" s="94">
        <f>AH37*$AJ$40</f>
        <v>0.49218985189854914</v>
      </c>
      <c r="AP37" s="156"/>
      <c r="AQ37" s="94">
        <f>SUM(AL37:AO37)</f>
        <v>1.4090219696659356</v>
      </c>
      <c r="AR37" s="156"/>
      <c r="AS37" s="94">
        <f>AB46</f>
        <v>0.33958612840092622</v>
      </c>
      <c r="AT37" s="91"/>
      <c r="AU37" s="94">
        <f>AQ37/AS37</f>
        <v>4.1492329981229368</v>
      </c>
      <c r="AW37" s="25" t="s">
        <v>20</v>
      </c>
      <c r="AX37" s="27">
        <f>(SUM(AU37:AU40))/4</f>
        <v>4.1341534008945331</v>
      </c>
      <c r="AY37" s="3">
        <f>0.134/3</f>
        <v>4.4666666666666667E-2</v>
      </c>
    </row>
    <row r="38" spans="2:51">
      <c r="V38" s="203" t="s">
        <v>6</v>
      </c>
      <c r="W38" s="90">
        <f>GEOMEAN(W16,W26)</f>
        <v>1</v>
      </c>
      <c r="X38" s="68">
        <f>GEOMEAN(X16,X26)</f>
        <v>2.2360679774997898</v>
      </c>
      <c r="Y38" s="68">
        <f>GEOMEAN(Y16,Y26)</f>
        <v>1.2909944487358056</v>
      </c>
      <c r="Z38" s="68">
        <f t="shared" ref="Z38" si="1">GEOMEAN(Z16,Z26)</f>
        <v>1.7320508075688774</v>
      </c>
      <c r="AD38" s="93" t="s">
        <v>107</v>
      </c>
      <c r="AE38" s="153">
        <f t="shared" si="0"/>
        <v>0.44721359549995798</v>
      </c>
      <c r="AF38" s="153">
        <f t="shared" si="0"/>
        <v>1</v>
      </c>
      <c r="AG38" s="153">
        <f t="shared" si="0"/>
        <v>0.25819888974716115</v>
      </c>
      <c r="AH38" s="153">
        <f t="shared" si="0"/>
        <v>0.25819888974716115</v>
      </c>
      <c r="AI38" s="94" t="s">
        <v>93</v>
      </c>
      <c r="AJ38" s="94">
        <f>AB47</f>
        <v>9.6830564013210219E-2</v>
      </c>
      <c r="AK38" s="92" t="s">
        <v>94</v>
      </c>
      <c r="AL38" s="94">
        <f>AE38*$AJ$37</f>
        <v>0.1518675334640886</v>
      </c>
      <c r="AM38" s="94">
        <f>AF38*$AJ$38</f>
        <v>9.6830564013210219E-2</v>
      </c>
      <c r="AN38" s="94">
        <f>AG38*$AJ$39</f>
        <v>7.2145253186655475E-2</v>
      </c>
      <c r="AO38" s="94">
        <f>AH38*$AJ$40</f>
        <v>7.3371331112047328E-2</v>
      </c>
      <c r="AP38" s="94" t="s">
        <v>94</v>
      </c>
      <c r="AQ38" s="94">
        <f>SUM(AL38:AO38)</f>
        <v>0.39421468177600161</v>
      </c>
      <c r="AR38" s="94" t="s">
        <v>95</v>
      </c>
      <c r="AS38" s="94">
        <f>AB47</f>
        <v>9.6830564013210219E-2</v>
      </c>
      <c r="AT38" s="93" t="s">
        <v>94</v>
      </c>
      <c r="AU38" s="94">
        <f t="shared" ref="AU38" si="2">AQ38/AS38</f>
        <v>4.0711802703351019</v>
      </c>
      <c r="AW38" s="25" t="s">
        <v>21</v>
      </c>
      <c r="AX38" s="27">
        <f>(AX37-4)/(4-1)</f>
        <v>4.47178002981777E-2</v>
      </c>
    </row>
    <row r="39" spans="2:51">
      <c r="V39" s="203" t="s">
        <v>7</v>
      </c>
      <c r="W39" s="68">
        <f>GEOMEAN(W17,W27)</f>
        <v>0.44721359549995798</v>
      </c>
      <c r="X39" s="90">
        <f t="shared" ref="X39:Z39" si="3">GEOMEAN(X17,X27)</f>
        <v>1</v>
      </c>
      <c r="Y39" s="68">
        <f t="shared" si="3"/>
        <v>0.25819888974716115</v>
      </c>
      <c r="Z39" s="68">
        <f t="shared" si="3"/>
        <v>0.25819888974716115</v>
      </c>
      <c r="AD39" s="93"/>
      <c r="AE39" s="153">
        <f t="shared" si="0"/>
        <v>0.7745966692414834</v>
      </c>
      <c r="AF39" s="153">
        <f t="shared" si="0"/>
        <v>3.872983346207417</v>
      </c>
      <c r="AG39" s="153">
        <f t="shared" si="0"/>
        <v>1</v>
      </c>
      <c r="AH39" s="153">
        <f t="shared" si="0"/>
        <v>0.84515425472851657</v>
      </c>
      <c r="AI39" s="155"/>
      <c r="AJ39" s="94">
        <f>AB48</f>
        <v>0.2794173640998342</v>
      </c>
      <c r="AK39" s="93"/>
      <c r="AL39" s="94">
        <f>AE39*$AJ$37</f>
        <v>0.26304228397996815</v>
      </c>
      <c r="AM39" s="94">
        <f>AF39*$AJ$38</f>
        <v>0.37502316182703443</v>
      </c>
      <c r="AN39" s="94">
        <f>AG39*$AJ$39</f>
        <v>0.2794173640998342</v>
      </c>
      <c r="AO39" s="94">
        <f>AH39*$AJ$40</f>
        <v>0.24016405618616091</v>
      </c>
      <c r="AP39" s="94"/>
      <c r="AQ39" s="94">
        <f>SUM(AL39:AO39)</f>
        <v>1.1576468660929977</v>
      </c>
      <c r="AR39" s="155"/>
      <c r="AS39" s="94">
        <f>AB48</f>
        <v>0.2794173640998342</v>
      </c>
      <c r="AT39" s="93"/>
      <c r="AU39" s="94">
        <f>AQ39/AS39</f>
        <v>4.1430741780220117</v>
      </c>
      <c r="AW39" s="28" t="s">
        <v>23</v>
      </c>
      <c r="AX39" s="3">
        <v>0.9</v>
      </c>
    </row>
    <row r="40" spans="2:51">
      <c r="V40" s="203" t="s">
        <v>8</v>
      </c>
      <c r="W40" s="68">
        <f t="shared" ref="W40:Z40" si="4">GEOMEAN(W18,W28)</f>
        <v>0.7745966692414834</v>
      </c>
      <c r="X40" s="68">
        <f t="shared" si="4"/>
        <v>3.872983346207417</v>
      </c>
      <c r="Y40" s="90">
        <f t="shared" si="4"/>
        <v>1</v>
      </c>
      <c r="Z40" s="68">
        <f t="shared" si="4"/>
        <v>0.84515425472851657</v>
      </c>
      <c r="AD40" s="93"/>
      <c r="AE40" s="153">
        <f t="shared" si="0"/>
        <v>0.57735026918962573</v>
      </c>
      <c r="AF40" s="153">
        <f t="shared" si="0"/>
        <v>3.872983346207417</v>
      </c>
      <c r="AG40" s="153">
        <f t="shared" si="0"/>
        <v>1.1832159566199232</v>
      </c>
      <c r="AH40" s="153">
        <f t="shared" si="0"/>
        <v>1</v>
      </c>
      <c r="AI40" s="155"/>
      <c r="AJ40" s="94">
        <f>AB49</f>
        <v>0.28416594348602936</v>
      </c>
      <c r="AK40" s="93"/>
      <c r="AL40" s="94">
        <f>AE40*$AJ$37</f>
        <v>0.19606014264533755</v>
      </c>
      <c r="AM40" s="94">
        <f>AF40*$AJ$38</f>
        <v>0.37502316182703443</v>
      </c>
      <c r="AN40" s="94">
        <f>AG40*$AJ$39</f>
        <v>0.33061108375960269</v>
      </c>
      <c r="AO40" s="94">
        <f>AH40*$AJ$40</f>
        <v>0.28416594348602936</v>
      </c>
      <c r="AP40" s="155"/>
      <c r="AQ40" s="94">
        <f>SUM(AL40:AO40)</f>
        <v>1.1858603317180041</v>
      </c>
      <c r="AR40" s="155"/>
      <c r="AS40" s="94">
        <f>AB49</f>
        <v>0.28416594348602936</v>
      </c>
      <c r="AT40" s="93"/>
      <c r="AU40" s="94">
        <f>AQ40/AS40</f>
        <v>4.1731261570980811</v>
      </c>
      <c r="AW40" s="25" t="s">
        <v>22</v>
      </c>
      <c r="AX40" s="3">
        <f>AX38/AX39</f>
        <v>4.9686444775753E-2</v>
      </c>
      <c r="AY40" s="54">
        <f>0.0446/0.9</f>
        <v>4.9555555555555554E-2</v>
      </c>
    </row>
    <row r="41" spans="2:51">
      <c r="V41" s="203" t="s">
        <v>9</v>
      </c>
      <c r="W41" s="68">
        <f t="shared" ref="W41:Z41" si="5">GEOMEAN(W19,W29)</f>
        <v>0.57735026918962573</v>
      </c>
      <c r="X41" s="68">
        <f>GEOMEAN(X19,X29)</f>
        <v>3.872983346207417</v>
      </c>
      <c r="Y41" s="68">
        <f t="shared" si="5"/>
        <v>1.1832159566199232</v>
      </c>
      <c r="Z41" s="90">
        <f t="shared" si="5"/>
        <v>1</v>
      </c>
    </row>
    <row r="42" spans="2:51">
      <c r="V42" s="184" t="s">
        <v>18</v>
      </c>
      <c r="W42" s="68">
        <f>SUM(W38:W41)</f>
        <v>2.799160533931067</v>
      </c>
      <c r="X42" s="68">
        <f t="shared" ref="X42:Z42" si="6">SUM(X38:X41)</f>
        <v>10.982034669914624</v>
      </c>
      <c r="Y42" s="68">
        <f t="shared" si="6"/>
        <v>3.7324092951028902</v>
      </c>
      <c r="Z42" s="68">
        <f t="shared" si="6"/>
        <v>3.8354039520445551</v>
      </c>
      <c r="AW42" s="3" t="s">
        <v>24</v>
      </c>
    </row>
    <row r="43" spans="2:51">
      <c r="AW43" s="3" t="s">
        <v>25</v>
      </c>
    </row>
    <row r="44" spans="2:51">
      <c r="V44" s="3" t="s">
        <v>19</v>
      </c>
      <c r="W44" s="21"/>
    </row>
    <row r="45" spans="2:51" ht="16.05" customHeight="1">
      <c r="V45" s="184" t="s">
        <v>16</v>
      </c>
      <c r="W45" s="183" t="s">
        <v>6</v>
      </c>
      <c r="X45" s="183" t="s">
        <v>7</v>
      </c>
      <c r="Y45" s="183" t="s">
        <v>8</v>
      </c>
      <c r="Z45" s="183" t="s">
        <v>9</v>
      </c>
      <c r="AA45" s="184" t="s">
        <v>18</v>
      </c>
      <c r="AB45" s="183" t="s">
        <v>68</v>
      </c>
      <c r="AC45" s="183" t="s">
        <v>109</v>
      </c>
      <c r="AD45" s="202" t="s">
        <v>137</v>
      </c>
      <c r="AG45" s="25" t="s">
        <v>20</v>
      </c>
      <c r="AH45" s="27">
        <f>AD50</f>
        <v>4.1467438492529389</v>
      </c>
      <c r="AW45" s="3" t="s">
        <v>26</v>
      </c>
    </row>
    <row r="46" spans="2:51">
      <c r="V46" s="203" t="s">
        <v>6</v>
      </c>
      <c r="W46" s="199">
        <f>W38/$W$42</f>
        <v>0.35724996400818299</v>
      </c>
      <c r="X46" s="199">
        <f>X38/$X$42</f>
        <v>0.20361144766966696</v>
      </c>
      <c r="Y46" s="199">
        <f>Y38/$Y$42</f>
        <v>0.34588769522936713</v>
      </c>
      <c r="Z46" s="199">
        <f>Z38/$Z$42</f>
        <v>0.45159540669648779</v>
      </c>
      <c r="AA46" s="199">
        <f>SUM(W46:Z46)</f>
        <v>1.3583445136037049</v>
      </c>
      <c r="AB46" s="68">
        <f>AA46/4</f>
        <v>0.33958612840092622</v>
      </c>
      <c r="AC46" s="158">
        <f>AB46</f>
        <v>0.33958612840092622</v>
      </c>
      <c r="AD46" s="199">
        <f>W42*AB46</f>
        <v>0.95055608849032047</v>
      </c>
      <c r="AG46" s="25" t="s">
        <v>21</v>
      </c>
      <c r="AH46" s="27">
        <f>(AH45-4)/(4-1)</f>
        <v>4.8914616417646307E-2</v>
      </c>
      <c r="AW46" s="3" t="s">
        <v>27</v>
      </c>
    </row>
    <row r="47" spans="2:51">
      <c r="V47" s="203" t="s">
        <v>7</v>
      </c>
      <c r="W47" s="199">
        <f>W39/$W$42</f>
        <v>0.15976704089633009</v>
      </c>
      <c r="X47" s="199">
        <f>X39/$X$42</f>
        <v>9.1057807597303295E-2</v>
      </c>
      <c r="Y47" s="199">
        <f t="shared" ref="Y47:Y49" si="7">Y39/$Y$42</f>
        <v>6.917753904587344E-2</v>
      </c>
      <c r="Z47" s="199">
        <f t="shared" ref="Z47:Z49" si="8">Z39/$Z$42</f>
        <v>6.7319868513334033E-2</v>
      </c>
      <c r="AA47" s="199">
        <f t="shared" ref="AA47:AA49" si="9">SUM(W47:Z47)</f>
        <v>0.38732225605284087</v>
      </c>
      <c r="AB47" s="68">
        <f t="shared" ref="AB47:AB49" si="10">AA47/4</f>
        <v>9.6830564013210219E-2</v>
      </c>
      <c r="AC47" s="158">
        <f t="shared" ref="AC47:AC48" si="11">AB47</f>
        <v>9.6830564013210219E-2</v>
      </c>
      <c r="AD47" s="199">
        <f>X42*AB47</f>
        <v>1.063396611100462</v>
      </c>
      <c r="AG47" s="28" t="s">
        <v>23</v>
      </c>
      <c r="AH47" s="3">
        <v>0.9</v>
      </c>
    </row>
    <row r="48" spans="2:51">
      <c r="V48" s="203" t="s">
        <v>8</v>
      </c>
      <c r="W48" s="199">
        <f>W40/$W$42</f>
        <v>0.27672463220737836</v>
      </c>
      <c r="X48" s="199">
        <f t="shared" ref="X48:X49" si="12">X40/$X$42</f>
        <v>0.35266537236651485</v>
      </c>
      <c r="Y48" s="199">
        <f>Y40/$Y$42</f>
        <v>0.26792345665628114</v>
      </c>
      <c r="Z48" s="199">
        <f t="shared" si="8"/>
        <v>0.22035599516916246</v>
      </c>
      <c r="AA48" s="199">
        <f t="shared" si="9"/>
        <v>1.1176694563993368</v>
      </c>
      <c r="AB48" s="68">
        <f t="shared" si="10"/>
        <v>0.2794173640998342</v>
      </c>
      <c r="AC48" s="158">
        <f t="shared" si="11"/>
        <v>0.2794173640998342</v>
      </c>
      <c r="AD48" s="199">
        <f>Y42*AB48</f>
        <v>1.0428999669793697</v>
      </c>
      <c r="AG48" s="25" t="s">
        <v>22</v>
      </c>
      <c r="AH48" s="3">
        <f>AH46/AH47</f>
        <v>5.4349573797384781E-2</v>
      </c>
    </row>
    <row r="49" spans="20:41">
      <c r="V49" s="203" t="s">
        <v>9</v>
      </c>
      <c r="W49" s="199">
        <f>W41/$W$42</f>
        <v>0.20625836288810856</v>
      </c>
      <c r="X49" s="199">
        <f t="shared" si="12"/>
        <v>0.35266537236651485</v>
      </c>
      <c r="Y49" s="199">
        <f t="shared" si="7"/>
        <v>0.31701130906847819</v>
      </c>
      <c r="Z49" s="199">
        <f t="shared" si="8"/>
        <v>0.26072872962101573</v>
      </c>
      <c r="AA49" s="199">
        <f t="shared" si="9"/>
        <v>1.1366637739441174</v>
      </c>
      <c r="AB49" s="68">
        <f t="shared" si="10"/>
        <v>0.28416594348602936</v>
      </c>
      <c r="AC49" s="158">
        <f>AB49</f>
        <v>0.28416594348602936</v>
      </c>
      <c r="AD49" s="199">
        <f>Z42*AB49</f>
        <v>1.0898911826827866</v>
      </c>
    </row>
    <row r="50" spans="20:41">
      <c r="V50" s="184" t="s">
        <v>106</v>
      </c>
      <c r="W50" s="90">
        <f>SUM(W46:W49)</f>
        <v>1</v>
      </c>
      <c r="X50" s="90">
        <f t="shared" ref="X50:AA50" si="13">SUM(X46:X49)</f>
        <v>0.99999999999999989</v>
      </c>
      <c r="Y50" s="90">
        <f t="shared" si="13"/>
        <v>0.99999999999999989</v>
      </c>
      <c r="Z50" s="90">
        <f t="shared" si="13"/>
        <v>1</v>
      </c>
      <c r="AA50" s="90">
        <f t="shared" si="13"/>
        <v>4</v>
      </c>
      <c r="AB50" s="90">
        <f>SUM(AB46:AB49)</f>
        <v>1</v>
      </c>
      <c r="AC50" s="200">
        <f>AB50</f>
        <v>1</v>
      </c>
      <c r="AD50" s="199">
        <f>SUM(AD46:AD49)</f>
        <v>4.1467438492529389</v>
      </c>
    </row>
    <row r="52" spans="20:41">
      <c r="W52" s="23"/>
      <c r="X52" s="24"/>
      <c r="Y52" s="24"/>
      <c r="Z52" s="24"/>
      <c r="AB52" s="22"/>
      <c r="AC52" s="22"/>
      <c r="AE52" s="22"/>
      <c r="AI52" s="6"/>
      <c r="AJ52" s="22"/>
      <c r="AL52" s="22"/>
      <c r="AN52" s="22"/>
    </row>
    <row r="53" spans="20:41">
      <c r="V53" s="184" t="s">
        <v>16</v>
      </c>
      <c r="W53" s="183" t="s">
        <v>6</v>
      </c>
      <c r="X53" s="183" t="s">
        <v>7</v>
      </c>
      <c r="Y53" s="183" t="s">
        <v>8</v>
      </c>
      <c r="Z53" s="183" t="s">
        <v>9</v>
      </c>
      <c r="AA53" s="203" t="str">
        <f>AB45</f>
        <v>Bobot</v>
      </c>
      <c r="AB53" s="22"/>
      <c r="AC53" s="22"/>
      <c r="AE53" s="22"/>
      <c r="AI53" s="6"/>
      <c r="AJ53" s="22"/>
      <c r="AL53" s="22"/>
      <c r="AN53" s="22"/>
    </row>
    <row r="54" spans="20:41">
      <c r="V54" s="203" t="s">
        <v>6</v>
      </c>
      <c r="W54" s="197">
        <f>W38</f>
        <v>1</v>
      </c>
      <c r="X54" s="198">
        <f>X38</f>
        <v>2.2360679774997898</v>
      </c>
      <c r="Y54" s="198">
        <f t="shared" ref="Y54:Z54" si="14">Y38</f>
        <v>1.2909944487358056</v>
      </c>
      <c r="Z54" s="198">
        <f t="shared" si="14"/>
        <v>1.7320508075688774</v>
      </c>
      <c r="AA54" s="201">
        <f t="shared" ref="AA54:AA57" si="15">AB46</f>
        <v>0.33958612840092622</v>
      </c>
      <c r="AB54" s="22"/>
      <c r="AC54" s="22"/>
      <c r="AE54" s="22"/>
      <c r="AI54" s="6"/>
      <c r="AJ54" s="22"/>
      <c r="AL54" s="22"/>
      <c r="AN54" s="22"/>
    </row>
    <row r="55" spans="20:41">
      <c r="V55" s="203" t="s">
        <v>7</v>
      </c>
      <c r="W55" s="198">
        <f t="shared" ref="W55:Z55" si="16">W39</f>
        <v>0.44721359549995798</v>
      </c>
      <c r="X55" s="197">
        <f t="shared" si="16"/>
        <v>1</v>
      </c>
      <c r="Y55" s="198">
        <f t="shared" si="16"/>
        <v>0.25819888974716115</v>
      </c>
      <c r="Z55" s="198">
        <f t="shared" si="16"/>
        <v>0.25819888974716115</v>
      </c>
      <c r="AA55" s="201">
        <f t="shared" si="15"/>
        <v>9.6830564013210219E-2</v>
      </c>
      <c r="AB55" s="22"/>
      <c r="AC55" s="22"/>
      <c r="AE55" s="22"/>
      <c r="AI55" s="6"/>
      <c r="AJ55" s="22"/>
      <c r="AL55" s="22"/>
      <c r="AN55" s="22"/>
    </row>
    <row r="56" spans="20:41">
      <c r="V56" s="203" t="s">
        <v>8</v>
      </c>
      <c r="W56" s="198">
        <f t="shared" ref="W56:Z56" si="17">W40</f>
        <v>0.7745966692414834</v>
      </c>
      <c r="X56" s="198">
        <f t="shared" si="17"/>
        <v>3.872983346207417</v>
      </c>
      <c r="Y56" s="197">
        <f t="shared" si="17"/>
        <v>1</v>
      </c>
      <c r="Z56" s="198">
        <f t="shared" si="17"/>
        <v>0.84515425472851657</v>
      </c>
      <c r="AA56" s="201">
        <f t="shared" si="15"/>
        <v>0.2794173640998342</v>
      </c>
      <c r="AB56" s="22"/>
      <c r="AC56" s="22"/>
      <c r="AE56" s="22"/>
      <c r="AI56" s="6"/>
      <c r="AJ56" s="22"/>
      <c r="AL56" s="22"/>
      <c r="AN56" s="22"/>
    </row>
    <row r="57" spans="20:41">
      <c r="V57" s="203" t="s">
        <v>9</v>
      </c>
      <c r="W57" s="198">
        <f t="shared" ref="W57:Z57" si="18">W41</f>
        <v>0.57735026918962573</v>
      </c>
      <c r="X57" s="198">
        <f t="shared" si="18"/>
        <v>3.872983346207417</v>
      </c>
      <c r="Y57" s="198">
        <f t="shared" si="18"/>
        <v>1.1832159566199232</v>
      </c>
      <c r="Z57" s="197">
        <f t="shared" si="18"/>
        <v>1</v>
      </c>
      <c r="AA57" s="201">
        <f t="shared" si="15"/>
        <v>0.28416594348602936</v>
      </c>
      <c r="AB57" s="22"/>
      <c r="AC57" s="22"/>
      <c r="AE57" s="22"/>
      <c r="AI57" s="6"/>
      <c r="AJ57" s="22"/>
      <c r="AL57" s="22"/>
      <c r="AN57" s="22"/>
    </row>
    <row r="58" spans="20:41">
      <c r="T58" s="3" t="s">
        <v>108</v>
      </c>
    </row>
    <row r="59" spans="20:41">
      <c r="T59" s="85" t="s">
        <v>16</v>
      </c>
      <c r="U59" s="85" t="s">
        <v>68</v>
      </c>
      <c r="V59" s="85" t="s">
        <v>109</v>
      </c>
      <c r="AO59" s="6"/>
    </row>
    <row r="60" spans="20:41">
      <c r="T60" s="20" t="s">
        <v>3</v>
      </c>
      <c r="U60" s="68">
        <f>AB46</f>
        <v>0.33958612840092622</v>
      </c>
      <c r="V60" s="158">
        <f>U60</f>
        <v>0.33958612840092622</v>
      </c>
    </row>
    <row r="61" spans="20:41">
      <c r="T61" s="20" t="s">
        <v>4</v>
      </c>
      <c r="U61" s="68">
        <f t="shared" ref="U61:U63" si="19">AB47</f>
        <v>9.6830564013210219E-2</v>
      </c>
      <c r="V61" s="158">
        <f t="shared" ref="V61:V63" si="20">U61</f>
        <v>9.6830564013210219E-2</v>
      </c>
    </row>
    <row r="62" spans="20:41">
      <c r="T62" s="20" t="s">
        <v>5</v>
      </c>
      <c r="U62" s="68">
        <f t="shared" si="19"/>
        <v>0.2794173640998342</v>
      </c>
      <c r="V62" s="158">
        <f t="shared" si="20"/>
        <v>0.2794173640998342</v>
      </c>
      <c r="AM62" s="26"/>
    </row>
    <row r="63" spans="20:41">
      <c r="T63" s="20" t="s">
        <v>96</v>
      </c>
      <c r="U63" s="68">
        <f t="shared" si="19"/>
        <v>0.28416594348602936</v>
      </c>
      <c r="V63" s="158">
        <f t="shared" si="20"/>
        <v>0.28416594348602936</v>
      </c>
    </row>
  </sheetData>
  <mergeCells count="15">
    <mergeCell ref="C25:S25"/>
    <mergeCell ref="B3:X3"/>
    <mergeCell ref="C6:E6"/>
    <mergeCell ref="C7:E7"/>
    <mergeCell ref="C8:E8"/>
    <mergeCell ref="C9:E9"/>
    <mergeCell ref="L6:N6"/>
    <mergeCell ref="L7:N7"/>
    <mergeCell ref="L8:N8"/>
    <mergeCell ref="L9:N9"/>
    <mergeCell ref="C15:S15"/>
    <mergeCell ref="B13:T13"/>
    <mergeCell ref="B14:T14"/>
    <mergeCell ref="B23:T23"/>
    <mergeCell ref="B24:T2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X27"/>
  <sheetViews>
    <sheetView topLeftCell="K1" zoomScale="90" zoomScaleNormal="90" workbookViewId="0">
      <selection activeCell="X14" sqref="X14"/>
    </sheetView>
  </sheetViews>
  <sheetFormatPr defaultRowHeight="13.2"/>
  <cols>
    <col min="1" max="1" width="8.88671875" style="114"/>
    <col min="2" max="2" width="13.6640625" style="114" customWidth="1"/>
    <col min="3" max="6" width="8.77734375" style="114" customWidth="1"/>
    <col min="7" max="13" width="8.88671875" style="114"/>
    <col min="14" max="14" width="11.44140625" style="114" customWidth="1"/>
    <col min="15" max="15" width="10.109375" style="114" customWidth="1"/>
    <col min="16" max="16" width="16.21875" style="114" customWidth="1"/>
    <col min="17" max="17" width="9.6640625" style="114" customWidth="1"/>
    <col min="18" max="18" width="10.5546875" style="114" bestFit="1" customWidth="1"/>
    <col min="19" max="19" width="8.88671875" style="114"/>
    <col min="20" max="21" width="11.21875" style="114" customWidth="1"/>
    <col min="22" max="22" width="16.77734375" style="114" customWidth="1"/>
    <col min="23" max="23" width="9.6640625" style="114" customWidth="1"/>
    <col min="24" max="24" width="11.6640625" style="114" bestFit="1" customWidth="1"/>
    <col min="25" max="16384" width="8.88671875" style="114"/>
  </cols>
  <sheetData>
    <row r="1" spans="2:24">
      <c r="B1" s="114" t="s">
        <v>227</v>
      </c>
    </row>
    <row r="2" spans="2:24">
      <c r="B2" s="221">
        <v>2021</v>
      </c>
      <c r="C2" s="221"/>
      <c r="D2" s="221"/>
      <c r="E2" s="221"/>
      <c r="F2" s="221"/>
      <c r="I2" s="114" t="s">
        <v>62</v>
      </c>
      <c r="N2" s="114" t="s">
        <v>61</v>
      </c>
    </row>
    <row r="3" spans="2:24">
      <c r="B3" s="115" t="s">
        <v>99</v>
      </c>
      <c r="C3" s="115" t="s">
        <v>38</v>
      </c>
      <c r="D3" s="115" t="s">
        <v>39</v>
      </c>
      <c r="E3" s="115" t="s">
        <v>40</v>
      </c>
      <c r="F3" s="115" t="s">
        <v>41</v>
      </c>
      <c r="I3" s="114" t="s">
        <v>73</v>
      </c>
      <c r="N3" s="114" t="s">
        <v>110</v>
      </c>
      <c r="T3" s="114" t="s">
        <v>111</v>
      </c>
    </row>
    <row r="4" spans="2:24" ht="16.2" customHeight="1">
      <c r="B4" s="123" t="s">
        <v>32</v>
      </c>
      <c r="C4" s="124">
        <v>33.442</v>
      </c>
      <c r="D4" s="124">
        <v>90.337000000000003</v>
      </c>
      <c r="E4" s="124">
        <v>1.0699999999999999E-2</v>
      </c>
      <c r="F4" s="124">
        <v>6263.3</v>
      </c>
      <c r="I4" s="205">
        <v>2021</v>
      </c>
      <c r="J4" s="205"/>
      <c r="K4" s="205"/>
      <c r="L4" s="205"/>
      <c r="N4" s="221" t="s">
        <v>100</v>
      </c>
      <c r="O4" s="221"/>
      <c r="P4" s="221"/>
      <c r="Q4" s="221"/>
      <c r="R4" s="221"/>
      <c r="T4" s="220" t="s">
        <v>101</v>
      </c>
      <c r="U4" s="220"/>
      <c r="V4" s="220"/>
      <c r="W4" s="220"/>
      <c r="X4" s="220"/>
    </row>
    <row r="5" spans="2:24">
      <c r="B5" s="123" t="s">
        <v>33</v>
      </c>
      <c r="C5" s="124">
        <v>33.463999999999999</v>
      </c>
      <c r="D5" s="124">
        <v>90.396000000000001</v>
      </c>
      <c r="E5" s="124">
        <v>1.0699999999999999E-2</v>
      </c>
      <c r="F5" s="124">
        <v>5785.3</v>
      </c>
      <c r="I5" s="125" t="s">
        <v>38</v>
      </c>
      <c r="J5" s="125" t="s">
        <v>39</v>
      </c>
      <c r="K5" s="125" t="s">
        <v>40</v>
      </c>
      <c r="L5" s="125" t="s">
        <v>41</v>
      </c>
      <c r="N5" s="126" t="s">
        <v>45</v>
      </c>
      <c r="O5" s="126" t="s">
        <v>135</v>
      </c>
      <c r="P5" s="126" t="s">
        <v>46</v>
      </c>
      <c r="Q5" s="127" t="s">
        <v>50</v>
      </c>
      <c r="R5" s="126" t="s">
        <v>136</v>
      </c>
      <c r="T5" s="126" t="s">
        <v>45</v>
      </c>
      <c r="U5" s="126" t="s">
        <v>135</v>
      </c>
      <c r="V5" s="126" t="s">
        <v>46</v>
      </c>
      <c r="W5" s="127" t="s">
        <v>50</v>
      </c>
      <c r="X5" s="126" t="s">
        <v>136</v>
      </c>
    </row>
    <row r="6" spans="2:24">
      <c r="B6" s="123" t="s">
        <v>34</v>
      </c>
      <c r="C6" s="124">
        <v>33.392000000000003</v>
      </c>
      <c r="D6" s="124">
        <v>88.691999999999993</v>
      </c>
      <c r="E6" s="124">
        <v>7.6E-3</v>
      </c>
      <c r="F6" s="124">
        <v>6149.3</v>
      </c>
      <c r="I6" s="128">
        <v>33.506</v>
      </c>
      <c r="J6" s="128">
        <v>90.257000000000005</v>
      </c>
      <c r="K6" s="129">
        <v>8.9999999999999993E-3</v>
      </c>
      <c r="L6" s="166">
        <v>6132.2</v>
      </c>
      <c r="N6" s="123" t="s">
        <v>38</v>
      </c>
      <c r="O6" s="130">
        <f>I6</f>
        <v>33.506</v>
      </c>
      <c r="P6" s="131">
        <v>0.1</v>
      </c>
      <c r="Q6" s="131">
        <f>P6+100%</f>
        <v>1.1000000000000001</v>
      </c>
      <c r="R6" s="130">
        <f>O6*Q6</f>
        <v>36.8566</v>
      </c>
      <c r="T6" s="123" t="s">
        <v>38</v>
      </c>
      <c r="U6" s="132">
        <f>I11</f>
        <v>33.442999999999998</v>
      </c>
      <c r="V6" s="133">
        <v>0.1</v>
      </c>
      <c r="W6" s="133">
        <f>V6+100%</f>
        <v>1.1000000000000001</v>
      </c>
      <c r="X6" s="132">
        <f>U6*W6</f>
        <v>36.787300000000002</v>
      </c>
    </row>
    <row r="7" spans="2:24">
      <c r="B7" s="123" t="s">
        <v>35</v>
      </c>
      <c r="C7" s="124">
        <v>33.515999999999998</v>
      </c>
      <c r="D7" s="124">
        <v>90.533000000000001</v>
      </c>
      <c r="E7" s="124">
        <v>1.01E-2</v>
      </c>
      <c r="F7" s="124">
        <v>6005.3</v>
      </c>
      <c r="I7" s="134"/>
      <c r="J7" s="134"/>
      <c r="K7" s="134"/>
      <c r="L7" s="134"/>
      <c r="N7" s="123" t="s">
        <v>39</v>
      </c>
      <c r="O7" s="130">
        <f>J6</f>
        <v>90.257000000000005</v>
      </c>
      <c r="P7" s="131">
        <v>0.1</v>
      </c>
      <c r="Q7" s="131">
        <f>P7+100%</f>
        <v>1.1000000000000001</v>
      </c>
      <c r="R7" s="130">
        <f>O7*Q7</f>
        <v>99.28270000000002</v>
      </c>
      <c r="T7" s="123" t="s">
        <v>39</v>
      </c>
      <c r="U7" s="132">
        <f>J11</f>
        <v>89.307000000000002</v>
      </c>
      <c r="V7" s="133">
        <v>0.1</v>
      </c>
      <c r="W7" s="133">
        <f t="shared" ref="W7:W9" si="0">V7+100%</f>
        <v>1.1000000000000001</v>
      </c>
      <c r="X7" s="132">
        <f>U7*W7</f>
        <v>98.237700000000004</v>
      </c>
    </row>
    <row r="8" spans="2:24">
      <c r="B8" s="123" t="s">
        <v>36</v>
      </c>
      <c r="C8" s="124">
        <v>33.600999999999999</v>
      </c>
      <c r="D8" s="124">
        <v>90.763999999999996</v>
      </c>
      <c r="E8" s="124">
        <v>7.6E-3</v>
      </c>
      <c r="F8" s="124">
        <v>6293</v>
      </c>
      <c r="I8" s="114" t="s">
        <v>74</v>
      </c>
      <c r="N8" s="123" t="s">
        <v>40</v>
      </c>
      <c r="O8" s="135">
        <f>K6</f>
        <v>8.9999999999999993E-3</v>
      </c>
      <c r="P8" s="131">
        <v>0.8</v>
      </c>
      <c r="Q8" s="131">
        <f>100%-P8</f>
        <v>0.19999999999999996</v>
      </c>
      <c r="R8" s="135">
        <f>O8*Q8</f>
        <v>1.7999999999999995E-3</v>
      </c>
      <c r="T8" s="123" t="s">
        <v>40</v>
      </c>
      <c r="U8" s="136">
        <f>K11</f>
        <v>9.9000000000000008E-3</v>
      </c>
      <c r="V8" s="133">
        <v>0.8</v>
      </c>
      <c r="W8" s="133">
        <f>100%-V8</f>
        <v>0.19999999999999996</v>
      </c>
      <c r="X8" s="136">
        <f>U8*W8</f>
        <v>1.9799999999999996E-3</v>
      </c>
    </row>
    <row r="9" spans="2:24">
      <c r="B9" s="123" t="s">
        <v>37</v>
      </c>
      <c r="C9" s="124">
        <v>33.622</v>
      </c>
      <c r="D9" s="124">
        <v>90.822000000000003</v>
      </c>
      <c r="E9" s="124">
        <v>7.3000000000000001E-3</v>
      </c>
      <c r="F9" s="124">
        <v>6297</v>
      </c>
      <c r="I9" s="205">
        <v>2022</v>
      </c>
      <c r="J9" s="205"/>
      <c r="K9" s="205"/>
      <c r="L9" s="205"/>
      <c r="N9" s="123" t="s">
        <v>41</v>
      </c>
      <c r="O9" s="137">
        <f>L6</f>
        <v>6132.2</v>
      </c>
      <c r="P9" s="131">
        <v>0.1</v>
      </c>
      <c r="Q9" s="131">
        <f t="shared" ref="Q9" si="1">P9+100%</f>
        <v>1.1000000000000001</v>
      </c>
      <c r="R9" s="138">
        <f>O9*Q9</f>
        <v>6745.42</v>
      </c>
      <c r="T9" s="123" t="s">
        <v>41</v>
      </c>
      <c r="U9" s="139">
        <f>L11</f>
        <v>6098.7</v>
      </c>
      <c r="V9" s="133">
        <v>0.1</v>
      </c>
      <c r="W9" s="133">
        <f t="shared" si="0"/>
        <v>1.1000000000000001</v>
      </c>
      <c r="X9" s="139">
        <f>U9*W9</f>
        <v>6708.5700000000006</v>
      </c>
    </row>
    <row r="10" spans="2:24">
      <c r="B10" s="123" t="s">
        <v>18</v>
      </c>
      <c r="C10" s="140">
        <f>SUM(C4:C9)</f>
        <v>201.03699999999998</v>
      </c>
      <c r="D10" s="140">
        <f>SUM(D4:D9)</f>
        <v>541.5440000000001</v>
      </c>
      <c r="E10" s="141">
        <f>SUM(E4:E9)</f>
        <v>5.3999999999999999E-2</v>
      </c>
      <c r="F10" s="142">
        <f>SUM(F4:F9)</f>
        <v>36793.199999999997</v>
      </c>
      <c r="I10" s="125" t="s">
        <v>38</v>
      </c>
      <c r="J10" s="125" t="s">
        <v>39</v>
      </c>
      <c r="K10" s="125" t="s">
        <v>40</v>
      </c>
      <c r="L10" s="125" t="s">
        <v>41</v>
      </c>
    </row>
    <row r="11" spans="2:24">
      <c r="B11" s="123" t="s">
        <v>42</v>
      </c>
      <c r="C11" s="132">
        <f>C10/6</f>
        <v>33.506166666666665</v>
      </c>
      <c r="D11" s="132">
        <f>D10/6</f>
        <v>90.257333333333349</v>
      </c>
      <c r="E11" s="136">
        <f>E10/6</f>
        <v>8.9999999999999993E-3</v>
      </c>
      <c r="F11" s="139">
        <f>F10/6</f>
        <v>6132.2</v>
      </c>
      <c r="I11" s="128">
        <v>33.442999999999998</v>
      </c>
      <c r="J11" s="116">
        <v>89.307000000000002</v>
      </c>
      <c r="K11" s="116">
        <v>9.9000000000000008E-3</v>
      </c>
      <c r="L11" s="116">
        <v>6098.7</v>
      </c>
    </row>
    <row r="12" spans="2:24">
      <c r="B12" s="143" t="s">
        <v>43</v>
      </c>
      <c r="C12" s="144">
        <f>MAX(C4:C9)</f>
        <v>33.622</v>
      </c>
      <c r="D12" s="144">
        <f>MAX(D4:D9)</f>
        <v>90.822000000000003</v>
      </c>
      <c r="E12" s="145">
        <f>MIN(E4:E9)</f>
        <v>7.3000000000000001E-3</v>
      </c>
      <c r="F12" s="146">
        <f>MAX(F4:F9)</f>
        <v>6297</v>
      </c>
    </row>
    <row r="13" spans="2:24">
      <c r="B13" s="147" t="s">
        <v>44</v>
      </c>
      <c r="C13" s="148">
        <f>MIN(C4:C9)</f>
        <v>33.392000000000003</v>
      </c>
      <c r="D13" s="148">
        <f>MIN(D4:D9)</f>
        <v>88.691999999999993</v>
      </c>
      <c r="E13" s="149">
        <f>MAX(E4:E9)</f>
        <v>1.0699999999999999E-2</v>
      </c>
      <c r="F13" s="150">
        <f>MIN(F4:F9)</f>
        <v>5785.3</v>
      </c>
      <c r="N13" s="114" t="s">
        <v>63</v>
      </c>
    </row>
    <row r="14" spans="2:24" ht="16.2" customHeight="1">
      <c r="N14" s="114" t="s">
        <v>82</v>
      </c>
    </row>
    <row r="15" spans="2:24" ht="15" customHeight="1">
      <c r="B15" s="114" t="s">
        <v>228</v>
      </c>
      <c r="N15" s="114" t="s">
        <v>48</v>
      </c>
    </row>
    <row r="16" spans="2:24" hidden="1">
      <c r="B16" s="222">
        <v>2022</v>
      </c>
      <c r="C16" s="222"/>
      <c r="D16" s="222"/>
      <c r="E16" s="222"/>
      <c r="F16" s="222"/>
      <c r="N16" s="114" t="s">
        <v>49</v>
      </c>
      <c r="P16" s="151"/>
    </row>
    <row r="17" spans="2:15">
      <c r="B17" s="115" t="s">
        <v>99</v>
      </c>
      <c r="C17" s="115" t="s">
        <v>38</v>
      </c>
      <c r="D17" s="115" t="s">
        <v>39</v>
      </c>
      <c r="E17" s="115" t="s">
        <v>40</v>
      </c>
      <c r="F17" s="115" t="s">
        <v>41</v>
      </c>
      <c r="N17" s="152" t="s">
        <v>83</v>
      </c>
    </row>
    <row r="18" spans="2:15">
      <c r="B18" s="123" t="s">
        <v>32</v>
      </c>
      <c r="C18" s="124">
        <v>33.374000000000002</v>
      </c>
      <c r="D18" s="124">
        <v>88.521000000000001</v>
      </c>
      <c r="E18" s="124">
        <v>1.2800000000000001E-2</v>
      </c>
      <c r="F18" s="124">
        <v>5665.3</v>
      </c>
    </row>
    <row r="19" spans="2:15">
      <c r="B19" s="123" t="s">
        <v>33</v>
      </c>
      <c r="C19" s="124">
        <v>33.404000000000003</v>
      </c>
      <c r="D19" s="124">
        <v>88.709000000000003</v>
      </c>
      <c r="E19" s="124">
        <v>1.09E-2</v>
      </c>
      <c r="F19" s="124">
        <v>6091.3</v>
      </c>
      <c r="O19" s="152"/>
    </row>
    <row r="20" spans="2:15">
      <c r="B20" s="123" t="s">
        <v>34</v>
      </c>
      <c r="C20" s="124">
        <v>33.311999999999998</v>
      </c>
      <c r="D20" s="124">
        <v>86.960999999999999</v>
      </c>
      <c r="E20" s="124">
        <v>1.0699999999999999E-2</v>
      </c>
      <c r="F20" s="124">
        <v>6000.3</v>
      </c>
    </row>
    <row r="21" spans="2:15">
      <c r="B21" s="123" t="s">
        <v>35</v>
      </c>
      <c r="C21" s="124">
        <v>33.445999999999998</v>
      </c>
      <c r="D21" s="124">
        <v>90.344999999999999</v>
      </c>
      <c r="E21" s="192">
        <v>1.0999999999999999E-2</v>
      </c>
      <c r="F21" s="124">
        <v>6023</v>
      </c>
    </row>
    <row r="22" spans="2:15">
      <c r="B22" s="123" t="s">
        <v>36</v>
      </c>
      <c r="C22" s="124">
        <v>33.573999999999998</v>
      </c>
      <c r="D22" s="124">
        <v>90.691999999999993</v>
      </c>
      <c r="E22" s="124">
        <v>7.1000000000000004E-3</v>
      </c>
      <c r="F22" s="124">
        <v>6288</v>
      </c>
    </row>
    <row r="23" spans="2:15">
      <c r="B23" s="123" t="s">
        <v>37</v>
      </c>
      <c r="C23" s="124">
        <v>33.545999999999999</v>
      </c>
      <c r="D23" s="124">
        <v>90.616</v>
      </c>
      <c r="E23" s="124">
        <v>6.6E-3</v>
      </c>
      <c r="F23" s="124">
        <v>6524.3</v>
      </c>
    </row>
    <row r="24" spans="2:15">
      <c r="B24" s="123" t="s">
        <v>18</v>
      </c>
      <c r="C24" s="132">
        <f>SUM(C18:C23)</f>
        <v>200.65600000000001</v>
      </c>
      <c r="D24" s="132">
        <f>SUM(D18:D23)</f>
        <v>535.84400000000005</v>
      </c>
      <c r="E24" s="136">
        <f>SUM(E18:E23)</f>
        <v>5.91E-2</v>
      </c>
      <c r="F24" s="139">
        <f>SUM(F18:F23)</f>
        <v>36592.200000000004</v>
      </c>
    </row>
    <row r="25" spans="2:15">
      <c r="B25" s="123" t="s">
        <v>42</v>
      </c>
      <c r="C25" s="132">
        <f>C24/6</f>
        <v>33.442666666666668</v>
      </c>
      <c r="D25" s="132">
        <f>D24/6</f>
        <v>89.307333333333347</v>
      </c>
      <c r="E25" s="136">
        <f>E24/6</f>
        <v>9.8499999999999994E-3</v>
      </c>
      <c r="F25" s="139">
        <f>F24/6</f>
        <v>6098.7000000000007</v>
      </c>
    </row>
    <row r="26" spans="2:15">
      <c r="B26" s="143" t="s">
        <v>43</v>
      </c>
      <c r="C26" s="144">
        <f>MAX(C18:C23)</f>
        <v>33.573999999999998</v>
      </c>
      <c r="D26" s="144">
        <f>MAX(D18:D23)</f>
        <v>90.691999999999993</v>
      </c>
      <c r="E26" s="145">
        <f>MIN(E18:E23)</f>
        <v>6.6E-3</v>
      </c>
      <c r="F26" s="193">
        <f>MAX(F18:F23)</f>
        <v>6524.3</v>
      </c>
    </row>
    <row r="27" spans="2:15">
      <c r="B27" s="147" t="s">
        <v>44</v>
      </c>
      <c r="C27" s="148">
        <f>MIN(C18:C23)</f>
        <v>33.311999999999998</v>
      </c>
      <c r="D27" s="148">
        <f>MIN(D18:D23)</f>
        <v>86.960999999999999</v>
      </c>
      <c r="E27" s="149">
        <f>MAX(E18:E23)</f>
        <v>1.2800000000000001E-2</v>
      </c>
      <c r="F27" s="150">
        <f>MIN(F18:F23)</f>
        <v>5665.3</v>
      </c>
    </row>
  </sheetData>
  <mergeCells count="6">
    <mergeCell ref="T4:X4"/>
    <mergeCell ref="B2:F2"/>
    <mergeCell ref="B16:F16"/>
    <mergeCell ref="I4:L4"/>
    <mergeCell ref="I9:L9"/>
    <mergeCell ref="N4:R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L168"/>
  <sheetViews>
    <sheetView topLeftCell="A18" zoomScale="70" zoomScaleNormal="70" workbookViewId="0">
      <selection activeCell="E42" sqref="E42"/>
    </sheetView>
  </sheetViews>
  <sheetFormatPr defaultRowHeight="15.6"/>
  <cols>
    <col min="1" max="1" width="8.88671875" style="32"/>
    <col min="2" max="2" width="18.6640625" style="32" customWidth="1"/>
    <col min="3" max="5" width="19.77734375" style="32" customWidth="1"/>
    <col min="6" max="6" width="21.77734375" style="32" customWidth="1"/>
    <col min="7" max="7" width="20.5546875" style="32" customWidth="1"/>
    <col min="8" max="8" width="14.109375" style="32" customWidth="1"/>
    <col min="9" max="9" width="9.33203125" style="32" bestFit="1" customWidth="1"/>
    <col min="10" max="10" width="8.88671875" style="32"/>
    <col min="11" max="11" width="11.33203125" style="32" bestFit="1" customWidth="1"/>
    <col min="12" max="12" width="9.44140625" style="32" bestFit="1" customWidth="1"/>
    <col min="13" max="16384" width="8.88671875" style="32"/>
  </cols>
  <sheetData>
    <row r="2" spans="1:12">
      <c r="B2" s="32" t="s">
        <v>85</v>
      </c>
    </row>
    <row r="3" spans="1:12">
      <c r="B3" s="228" t="s">
        <v>100</v>
      </c>
      <c r="C3" s="228"/>
      <c r="D3" s="228"/>
      <c r="E3" s="228"/>
      <c r="F3" s="228"/>
      <c r="H3" s="32" t="s">
        <v>70</v>
      </c>
    </row>
    <row r="4" spans="1:12">
      <c r="B4" s="89" t="s">
        <v>51</v>
      </c>
      <c r="C4" s="89">
        <v>1</v>
      </c>
      <c r="D4" s="89">
        <v>2</v>
      </c>
      <c r="E4" s="89">
        <v>3</v>
      </c>
      <c r="F4" s="89">
        <v>4</v>
      </c>
      <c r="H4" s="228" t="s">
        <v>100</v>
      </c>
      <c r="I4" s="228"/>
      <c r="J4" s="228"/>
      <c r="K4" s="228"/>
      <c r="L4" s="228"/>
    </row>
    <row r="5" spans="1:12" ht="36" customHeight="1">
      <c r="B5" s="41" t="s">
        <v>64</v>
      </c>
      <c r="C5" s="61">
        <f>'Rasio dan Penentuan Level'!C13</f>
        <v>33.392000000000003</v>
      </c>
      <c r="D5" s="61">
        <f>'Rasio dan Penentuan Level'!D13</f>
        <v>88.691999999999993</v>
      </c>
      <c r="E5" s="42">
        <f>'Rasio dan Penentuan Level'!E13</f>
        <v>1.0699999999999999E-2</v>
      </c>
      <c r="F5" s="62">
        <f>'Rasio dan Penentuan Level'!F13</f>
        <v>5785.3</v>
      </c>
      <c r="H5" s="85" t="s">
        <v>51</v>
      </c>
      <c r="I5" s="85">
        <v>1</v>
      </c>
      <c r="J5" s="85">
        <v>2</v>
      </c>
      <c r="K5" s="85">
        <v>3</v>
      </c>
      <c r="L5" s="85">
        <v>4</v>
      </c>
    </row>
    <row r="6" spans="1:12" ht="36" customHeight="1">
      <c r="B6" s="43" t="s">
        <v>62</v>
      </c>
      <c r="C6" s="63">
        <f>'Rasio dan Penentuan Level'!I6</f>
        <v>33.506</v>
      </c>
      <c r="D6" s="63">
        <f>'Rasio dan Penentuan Level'!J6</f>
        <v>90.257000000000005</v>
      </c>
      <c r="E6" s="44">
        <f>'Rasio dan Penentuan Level'!K6</f>
        <v>8.9999999999999993E-3</v>
      </c>
      <c r="F6" s="66">
        <f>'Rasio dan Penentuan Level'!L6</f>
        <v>6132.2</v>
      </c>
      <c r="H6" s="96" t="s">
        <v>112</v>
      </c>
      <c r="I6" s="67">
        <f>(C7-C6)/(10-3)</f>
        <v>0.47865714285714284</v>
      </c>
      <c r="J6" s="67">
        <f>(D7-D6)/(10-3)</f>
        <v>1.2893857142857164</v>
      </c>
      <c r="K6" s="38">
        <f>(E7-E6)/(10-3)</f>
        <v>-1.0285714285714286E-3</v>
      </c>
      <c r="L6" s="52">
        <f>(F7-F6)/(10-3)</f>
        <v>87.602857142857175</v>
      </c>
    </row>
    <row r="7" spans="1:12" ht="36" customHeight="1">
      <c r="B7" s="39" t="s">
        <v>65</v>
      </c>
      <c r="C7" s="64">
        <f>'Rasio dan Penentuan Level'!R6</f>
        <v>36.8566</v>
      </c>
      <c r="D7" s="64">
        <f>'Rasio dan Penentuan Level'!R7</f>
        <v>99.28270000000002</v>
      </c>
      <c r="E7" s="40">
        <f>'Rasio dan Penentuan Level'!R8</f>
        <v>1.7999999999999995E-3</v>
      </c>
      <c r="F7" s="65">
        <f>'Rasio dan Penentuan Level'!R9</f>
        <v>6745.42</v>
      </c>
      <c r="H7" s="96" t="s">
        <v>113</v>
      </c>
      <c r="I7" s="2">
        <f>(C6-C5)/(3-0)</f>
        <v>3.7999999999999069E-2</v>
      </c>
      <c r="J7" s="67">
        <f>(D6-D5)/(3-0)</f>
        <v>0.52166666666667061</v>
      </c>
      <c r="K7" s="38">
        <f>(E6-E5)/(3-0)</f>
        <v>-5.6666666666666671E-4</v>
      </c>
      <c r="L7" s="71">
        <f>(F6-F5)/(3-0)</f>
        <v>115.63333333333321</v>
      </c>
    </row>
    <row r="10" spans="1:12">
      <c r="C10" s="32" t="s">
        <v>66</v>
      </c>
    </row>
    <row r="11" spans="1:12">
      <c r="C11" s="33" t="s">
        <v>38</v>
      </c>
      <c r="D11" s="33" t="s">
        <v>39</v>
      </c>
      <c r="E11" s="34" t="s">
        <v>40</v>
      </c>
      <c r="F11" s="34" t="s">
        <v>41</v>
      </c>
      <c r="G11" s="33" t="s">
        <v>16</v>
      </c>
      <c r="H11" s="223" t="s">
        <v>52</v>
      </c>
    </row>
    <row r="12" spans="1:12">
      <c r="C12" s="46"/>
      <c r="D12" s="46"/>
      <c r="E12" s="49"/>
      <c r="F12" s="49"/>
      <c r="G12" s="46" t="s">
        <v>67</v>
      </c>
      <c r="H12" s="224"/>
    </row>
    <row r="13" spans="1:12">
      <c r="A13" s="98"/>
      <c r="C13" s="68">
        <f>C7</f>
        <v>36.8566</v>
      </c>
      <c r="D13" s="68">
        <f t="shared" ref="D13:F13" si="0">D7</f>
        <v>99.28270000000002</v>
      </c>
      <c r="E13" s="48">
        <f t="shared" si="0"/>
        <v>1.7999999999999995E-3</v>
      </c>
      <c r="F13" s="69">
        <f t="shared" si="0"/>
        <v>6745.42</v>
      </c>
      <c r="G13" s="33" t="s">
        <v>115</v>
      </c>
      <c r="H13" s="95" t="s">
        <v>53</v>
      </c>
    </row>
    <row r="14" spans="1:12">
      <c r="A14" s="98"/>
      <c r="C14" s="68">
        <f t="shared" ref="C14:C17" si="1">C15+0.479</f>
        <v>36.379999999999995</v>
      </c>
      <c r="D14" s="68">
        <f>D15+1.289</f>
        <v>97.991000000000014</v>
      </c>
      <c r="E14" s="102">
        <f t="shared" ref="E14:E17" si="2">E15-0.001</f>
        <v>3.0000000000000001E-3</v>
      </c>
      <c r="F14" s="70">
        <f t="shared" ref="F14:F17" si="3">F15+87.6</f>
        <v>6657.800000000002</v>
      </c>
      <c r="G14" s="97" t="s">
        <v>116</v>
      </c>
      <c r="H14" s="225" t="s">
        <v>54</v>
      </c>
    </row>
    <row r="15" spans="1:12">
      <c r="C15" s="68">
        <f t="shared" si="1"/>
        <v>35.900999999999996</v>
      </c>
      <c r="D15" s="68">
        <f t="shared" ref="D15:D17" si="4">D16+1.289</f>
        <v>96.702000000000012</v>
      </c>
      <c r="E15" s="102">
        <f t="shared" si="2"/>
        <v>4.0000000000000001E-3</v>
      </c>
      <c r="F15" s="70">
        <f t="shared" si="3"/>
        <v>6570.2000000000016</v>
      </c>
      <c r="G15" s="97" t="s">
        <v>117</v>
      </c>
      <c r="H15" s="225"/>
    </row>
    <row r="16" spans="1:12">
      <c r="C16" s="68">
        <f t="shared" si="1"/>
        <v>35.421999999999997</v>
      </c>
      <c r="D16" s="68">
        <f t="shared" si="4"/>
        <v>95.413000000000011</v>
      </c>
      <c r="E16" s="102">
        <f t="shared" si="2"/>
        <v>5.0000000000000001E-3</v>
      </c>
      <c r="F16" s="70">
        <f t="shared" si="3"/>
        <v>6482.6000000000013</v>
      </c>
      <c r="G16" s="97" t="s">
        <v>118</v>
      </c>
      <c r="H16" s="225"/>
    </row>
    <row r="17" spans="3:8">
      <c r="C17" s="68">
        <f t="shared" si="1"/>
        <v>34.942999999999998</v>
      </c>
      <c r="D17" s="68">
        <f t="shared" si="4"/>
        <v>94.124000000000009</v>
      </c>
      <c r="E17" s="102">
        <f t="shared" si="2"/>
        <v>6.0000000000000001E-3</v>
      </c>
      <c r="F17" s="70">
        <f t="shared" si="3"/>
        <v>6395.0000000000009</v>
      </c>
      <c r="G17" s="97" t="s">
        <v>119</v>
      </c>
      <c r="H17" s="225"/>
    </row>
    <row r="18" spans="3:8">
      <c r="C18" s="68">
        <f>C19+0.479</f>
        <v>34.463999999999999</v>
      </c>
      <c r="D18" s="68">
        <f>D19+1.289</f>
        <v>92.835000000000008</v>
      </c>
      <c r="E18" s="102">
        <f>E19-0.001</f>
        <v>7.0000000000000001E-3</v>
      </c>
      <c r="F18" s="70">
        <f>F19+87.6</f>
        <v>6307.4000000000005</v>
      </c>
      <c r="G18" s="97" t="s">
        <v>120</v>
      </c>
      <c r="H18" s="225" t="s">
        <v>55</v>
      </c>
    </row>
    <row r="19" spans="3:8">
      <c r="C19" s="68">
        <f>C20+0.479</f>
        <v>33.984999999999999</v>
      </c>
      <c r="D19" s="68">
        <f>D20+1.289</f>
        <v>91.546000000000006</v>
      </c>
      <c r="E19" s="102">
        <f>E20-0.001</f>
        <v>8.0000000000000002E-3</v>
      </c>
      <c r="F19" s="70">
        <f>F20+87.6</f>
        <v>6219.8</v>
      </c>
      <c r="G19" s="97" t="s">
        <v>121</v>
      </c>
      <c r="H19" s="225"/>
    </row>
    <row r="20" spans="3:8">
      <c r="C20" s="68">
        <f>C6</f>
        <v>33.506</v>
      </c>
      <c r="D20" s="68">
        <f t="shared" ref="D20:F20" si="5">D6</f>
        <v>90.257000000000005</v>
      </c>
      <c r="E20" s="48">
        <f t="shared" si="5"/>
        <v>8.9999999999999993E-3</v>
      </c>
      <c r="F20" s="69">
        <f t="shared" si="5"/>
        <v>6132.2</v>
      </c>
      <c r="G20" s="85" t="s">
        <v>122</v>
      </c>
      <c r="H20" s="225"/>
    </row>
    <row r="21" spans="3:8">
      <c r="C21" s="68">
        <f>C22+0.038</f>
        <v>33.467999999999996</v>
      </c>
      <c r="D21" s="68">
        <f>D22+0.522</f>
        <v>89.736000000000004</v>
      </c>
      <c r="E21" s="102">
        <f>E22-0.0006</f>
        <v>9.4999999999999998E-3</v>
      </c>
      <c r="F21" s="70">
        <f>F22+115.6</f>
        <v>6016.5000000000009</v>
      </c>
      <c r="G21" s="97" t="s">
        <v>123</v>
      </c>
      <c r="H21" s="225" t="s">
        <v>56</v>
      </c>
    </row>
    <row r="22" spans="3:8">
      <c r="C22" s="68">
        <f>C23+0.038</f>
        <v>33.43</v>
      </c>
      <c r="D22" s="68">
        <f>D23+0.522</f>
        <v>89.213999999999999</v>
      </c>
      <c r="E22" s="102">
        <f>E23-0.0006</f>
        <v>1.01E-2</v>
      </c>
      <c r="F22" s="70">
        <f>F23+115.6</f>
        <v>5900.9000000000005</v>
      </c>
      <c r="G22" s="97" t="s">
        <v>124</v>
      </c>
      <c r="H22" s="225"/>
    </row>
    <row r="23" spans="3:8">
      <c r="C23" s="68">
        <f>C5</f>
        <v>33.392000000000003</v>
      </c>
      <c r="D23" s="68">
        <f t="shared" ref="D23:F23" si="6">D5</f>
        <v>88.691999999999993</v>
      </c>
      <c r="E23" s="48">
        <f t="shared" si="6"/>
        <v>1.0699999999999999E-2</v>
      </c>
      <c r="F23" s="69">
        <f t="shared" si="6"/>
        <v>5785.3</v>
      </c>
      <c r="G23" s="37" t="s">
        <v>114</v>
      </c>
      <c r="H23" s="95" t="s">
        <v>57</v>
      </c>
    </row>
    <row r="24" spans="3:8">
      <c r="C24" s="97"/>
      <c r="D24" s="97"/>
      <c r="E24" s="100"/>
      <c r="F24" s="100"/>
      <c r="G24" s="97" t="s">
        <v>47</v>
      </c>
      <c r="H24" s="93"/>
    </row>
    <row r="25" spans="3:8">
      <c r="C25" s="90">
        <v>34</v>
      </c>
      <c r="D25" s="97">
        <v>9.6999999999999993</v>
      </c>
      <c r="E25" s="100">
        <v>27.9</v>
      </c>
      <c r="F25" s="100">
        <v>28.4</v>
      </c>
      <c r="G25" s="97" t="s">
        <v>68</v>
      </c>
      <c r="H25" s="93"/>
    </row>
    <row r="26" spans="3:8">
      <c r="C26" s="97"/>
      <c r="D26" s="97"/>
      <c r="E26" s="97"/>
      <c r="F26" s="97"/>
      <c r="G26" s="101" t="s">
        <v>69</v>
      </c>
      <c r="H26" s="93"/>
    </row>
    <row r="27" spans="3:8">
      <c r="C27" s="97"/>
      <c r="D27" s="97"/>
      <c r="E27" s="100"/>
      <c r="F27" s="97"/>
      <c r="G27" s="101" t="s">
        <v>52</v>
      </c>
      <c r="H27" s="93"/>
    </row>
    <row r="28" spans="3:8">
      <c r="C28" s="226"/>
      <c r="D28" s="226"/>
      <c r="E28" s="226"/>
      <c r="F28" s="226"/>
      <c r="G28" s="226"/>
      <c r="H28" s="93"/>
    </row>
    <row r="29" spans="3:8">
      <c r="C29" s="225" t="s">
        <v>142</v>
      </c>
      <c r="D29" s="225"/>
      <c r="E29" s="97" t="s">
        <v>58</v>
      </c>
      <c r="F29" s="97" t="s">
        <v>125</v>
      </c>
      <c r="G29" s="97" t="s">
        <v>60</v>
      </c>
      <c r="H29" s="93"/>
    </row>
    <row r="30" spans="3:8" ht="30" customHeight="1">
      <c r="C30" s="225"/>
      <c r="D30" s="225"/>
      <c r="E30" s="97"/>
      <c r="F30" s="97"/>
      <c r="G30" s="20"/>
      <c r="H30" s="93"/>
    </row>
    <row r="33" spans="3:8">
      <c r="C33" s="32" t="s">
        <v>75</v>
      </c>
    </row>
    <row r="34" spans="3:8">
      <c r="C34" s="33" t="s">
        <v>38</v>
      </c>
      <c r="D34" s="33" t="s">
        <v>39</v>
      </c>
      <c r="E34" s="34" t="s">
        <v>40</v>
      </c>
      <c r="F34" s="34" t="s">
        <v>41</v>
      </c>
      <c r="G34" s="33" t="s">
        <v>16</v>
      </c>
      <c r="H34" s="223" t="s">
        <v>52</v>
      </c>
    </row>
    <row r="35" spans="3:8">
      <c r="C35" s="179">
        <f>'Rasio dan Penentuan Level'!C4</f>
        <v>33.442</v>
      </c>
      <c r="D35" s="179">
        <f>'Rasio dan Penentuan Level'!D4</f>
        <v>90.337000000000003</v>
      </c>
      <c r="E35" s="179">
        <f>'Rasio dan Penentuan Level'!E4</f>
        <v>1.0699999999999999E-2</v>
      </c>
      <c r="F35" s="179">
        <f>'Rasio dan Penentuan Level'!F4</f>
        <v>6263.3</v>
      </c>
      <c r="G35" s="46" t="s">
        <v>67</v>
      </c>
      <c r="H35" s="224"/>
    </row>
    <row r="36" spans="3:8">
      <c r="C36" s="181">
        <v>36.856999999999999</v>
      </c>
      <c r="D36" s="181">
        <v>99.283000000000001</v>
      </c>
      <c r="E36" s="181">
        <v>1.8E-3</v>
      </c>
      <c r="F36" s="181">
        <v>6745.42</v>
      </c>
      <c r="G36" s="176" t="s">
        <v>115</v>
      </c>
      <c r="H36" s="95" t="s">
        <v>53</v>
      </c>
    </row>
    <row r="37" spans="3:8">
      <c r="C37" s="181" t="s">
        <v>195</v>
      </c>
      <c r="D37" s="181" t="s">
        <v>198</v>
      </c>
      <c r="E37" s="182" t="s">
        <v>216</v>
      </c>
      <c r="F37" s="181" t="s">
        <v>226</v>
      </c>
      <c r="G37" s="101" t="s">
        <v>116</v>
      </c>
      <c r="H37" s="225" t="s">
        <v>54</v>
      </c>
    </row>
    <row r="38" spans="3:8">
      <c r="C38" s="181" t="s">
        <v>194</v>
      </c>
      <c r="D38" s="181" t="s">
        <v>199</v>
      </c>
      <c r="E38" s="182" t="s">
        <v>215</v>
      </c>
      <c r="F38" s="181" t="s">
        <v>225</v>
      </c>
      <c r="G38" s="101" t="s">
        <v>117</v>
      </c>
      <c r="H38" s="225"/>
    </row>
    <row r="39" spans="3:8">
      <c r="C39" s="181" t="s">
        <v>193</v>
      </c>
      <c r="D39" s="181" t="s">
        <v>200</v>
      </c>
      <c r="E39" s="182" t="s">
        <v>214</v>
      </c>
      <c r="F39" s="181" t="s">
        <v>224</v>
      </c>
      <c r="G39" s="101" t="s">
        <v>118</v>
      </c>
      <c r="H39" s="225"/>
    </row>
    <row r="40" spans="3:8">
      <c r="C40" s="181" t="s">
        <v>197</v>
      </c>
      <c r="D40" s="181" t="s">
        <v>201</v>
      </c>
      <c r="E40" s="182" t="s">
        <v>213</v>
      </c>
      <c r="F40" s="181" t="s">
        <v>223</v>
      </c>
      <c r="G40" s="101" t="s">
        <v>119</v>
      </c>
      <c r="H40" s="225"/>
    </row>
    <row r="41" spans="3:8">
      <c r="C41" s="181" t="s">
        <v>192</v>
      </c>
      <c r="D41" s="181" t="s">
        <v>202</v>
      </c>
      <c r="E41" s="182" t="s">
        <v>212</v>
      </c>
      <c r="F41" s="181" t="s">
        <v>222</v>
      </c>
      <c r="G41" s="101" t="s">
        <v>120</v>
      </c>
      <c r="H41" s="225" t="s">
        <v>55</v>
      </c>
    </row>
    <row r="42" spans="3:8">
      <c r="C42" s="181" t="s">
        <v>191</v>
      </c>
      <c r="D42" s="181" t="s">
        <v>203</v>
      </c>
      <c r="E42" s="181" t="s">
        <v>211</v>
      </c>
      <c r="F42" s="181" t="s">
        <v>221</v>
      </c>
      <c r="G42" s="101" t="s">
        <v>121</v>
      </c>
      <c r="H42" s="225"/>
    </row>
    <row r="43" spans="3:8">
      <c r="C43" s="181" t="s">
        <v>190</v>
      </c>
      <c r="D43" s="181" t="s">
        <v>204</v>
      </c>
      <c r="E43" s="181" t="s">
        <v>210</v>
      </c>
      <c r="F43" s="181" t="s">
        <v>220</v>
      </c>
      <c r="G43" s="177" t="s">
        <v>122</v>
      </c>
      <c r="H43" s="225"/>
    </row>
    <row r="44" spans="3:8">
      <c r="C44" s="181" t="s">
        <v>189</v>
      </c>
      <c r="D44" s="181" t="s">
        <v>205</v>
      </c>
      <c r="E44" s="181" t="s">
        <v>209</v>
      </c>
      <c r="F44" s="181" t="s">
        <v>219</v>
      </c>
      <c r="G44" s="101" t="s">
        <v>123</v>
      </c>
      <c r="H44" s="225" t="s">
        <v>56</v>
      </c>
    </row>
    <row r="45" spans="3:8">
      <c r="C45" s="181" t="s">
        <v>188</v>
      </c>
      <c r="D45" s="181" t="s">
        <v>206</v>
      </c>
      <c r="E45" s="181" t="s">
        <v>208</v>
      </c>
      <c r="F45" s="181" t="s">
        <v>217</v>
      </c>
      <c r="G45" s="101" t="s">
        <v>124</v>
      </c>
      <c r="H45" s="225"/>
    </row>
    <row r="46" spans="3:8">
      <c r="C46" s="181" t="s">
        <v>187</v>
      </c>
      <c r="D46" s="181" t="s">
        <v>196</v>
      </c>
      <c r="E46" s="181" t="s">
        <v>207</v>
      </c>
      <c r="F46" s="181" t="s">
        <v>218</v>
      </c>
      <c r="G46" s="178" t="s">
        <v>114</v>
      </c>
      <c r="H46" s="95" t="s">
        <v>57</v>
      </c>
    </row>
    <row r="47" spans="3:8">
      <c r="C47" s="168">
        <v>1</v>
      </c>
      <c r="D47" s="168">
        <v>3</v>
      </c>
      <c r="E47" s="180">
        <v>0</v>
      </c>
      <c r="F47" s="180">
        <v>4</v>
      </c>
      <c r="G47" s="97" t="s">
        <v>47</v>
      </c>
      <c r="H47" s="93"/>
    </row>
    <row r="48" spans="3:8">
      <c r="C48" s="90">
        <v>34</v>
      </c>
      <c r="D48" s="111">
        <v>9.6999999999999993</v>
      </c>
      <c r="E48" s="112">
        <v>27.9</v>
      </c>
      <c r="F48" s="112">
        <v>28.4</v>
      </c>
      <c r="G48" s="97" t="s">
        <v>68</v>
      </c>
      <c r="H48" s="93"/>
    </row>
    <row r="49" spans="3:8">
      <c r="C49" s="97">
        <f>C47*C48</f>
        <v>34</v>
      </c>
      <c r="D49" s="97">
        <f t="shared" ref="D49:F49" si="7">D47*D48</f>
        <v>29.099999999999998</v>
      </c>
      <c r="E49" s="97">
        <f t="shared" si="7"/>
        <v>0</v>
      </c>
      <c r="F49" s="97">
        <f t="shared" si="7"/>
        <v>113.6</v>
      </c>
      <c r="G49" s="101" t="s">
        <v>69</v>
      </c>
      <c r="H49" s="93"/>
    </row>
    <row r="50" spans="3:8">
      <c r="C50" s="97" t="str">
        <f>H44</f>
        <v>Buruk</v>
      </c>
      <c r="D50" s="164" t="s">
        <v>55</v>
      </c>
      <c r="E50" s="100" t="str">
        <f>H46</f>
        <v>Sangat Buruk</v>
      </c>
      <c r="F50" s="97" t="str">
        <f>H41</f>
        <v>Sedang</v>
      </c>
      <c r="G50" s="101" t="s">
        <v>52</v>
      </c>
      <c r="H50" s="93"/>
    </row>
    <row r="51" spans="3:8">
      <c r="C51" s="226"/>
      <c r="D51" s="226"/>
      <c r="E51" s="226"/>
      <c r="F51" s="226"/>
      <c r="G51" s="226"/>
      <c r="H51" s="93"/>
    </row>
    <row r="52" spans="3:8" ht="16.05" customHeight="1">
      <c r="C52" s="225" t="s">
        <v>142</v>
      </c>
      <c r="D52" s="225"/>
      <c r="E52" s="97" t="s">
        <v>58</v>
      </c>
      <c r="F52" s="97" t="s">
        <v>125</v>
      </c>
      <c r="G52" s="97" t="s">
        <v>60</v>
      </c>
      <c r="H52" s="93"/>
    </row>
    <row r="53" spans="3:8" ht="30" customHeight="1">
      <c r="C53" s="225"/>
      <c r="D53" s="225"/>
      <c r="E53" s="97">
        <f>SUM(C49:F49)</f>
        <v>176.7</v>
      </c>
      <c r="F53" s="97">
        <v>0</v>
      </c>
      <c r="G53" s="103">
        <v>0</v>
      </c>
      <c r="H53" s="93"/>
    </row>
    <row r="56" spans="3:8">
      <c r="C56" s="32" t="s">
        <v>76</v>
      </c>
    </row>
    <row r="57" spans="3:8">
      <c r="C57" s="33" t="s">
        <v>38</v>
      </c>
      <c r="D57" s="33" t="s">
        <v>39</v>
      </c>
      <c r="E57" s="34" t="s">
        <v>40</v>
      </c>
      <c r="F57" s="34" t="s">
        <v>41</v>
      </c>
      <c r="G57" s="33" t="s">
        <v>16</v>
      </c>
      <c r="H57" s="223" t="s">
        <v>52</v>
      </c>
    </row>
    <row r="58" spans="3:8">
      <c r="C58" s="46">
        <f>'Rasio dan Penentuan Level'!C5</f>
        <v>33.463999999999999</v>
      </c>
      <c r="D58" s="46">
        <f>'Rasio dan Penentuan Level'!D5</f>
        <v>90.396000000000001</v>
      </c>
      <c r="E58" s="46">
        <f>'Rasio dan Penentuan Level'!E5</f>
        <v>1.0699999999999999E-2</v>
      </c>
      <c r="F58" s="46">
        <f>'Rasio dan Penentuan Level'!F5</f>
        <v>5785.3</v>
      </c>
      <c r="G58" s="46" t="s">
        <v>67</v>
      </c>
      <c r="H58" s="224"/>
    </row>
    <row r="59" spans="3:8">
      <c r="C59" s="68">
        <f>C36</f>
        <v>36.856999999999999</v>
      </c>
      <c r="D59" s="68">
        <f t="shared" ref="D59:F59" si="8">D36</f>
        <v>99.283000000000001</v>
      </c>
      <c r="E59" s="48">
        <f t="shared" si="8"/>
        <v>1.8E-3</v>
      </c>
      <c r="F59" s="69">
        <f t="shared" si="8"/>
        <v>6745.42</v>
      </c>
      <c r="G59" s="33" t="s">
        <v>115</v>
      </c>
      <c r="H59" s="95" t="s">
        <v>53</v>
      </c>
    </row>
    <row r="60" spans="3:8">
      <c r="C60" s="68" t="str">
        <f t="shared" ref="C60:F60" si="9">C37</f>
        <v>36,380 - 36,856</v>
      </c>
      <c r="D60" s="68" t="str">
        <f t="shared" si="9"/>
        <v xml:space="preserve">97,991 - 99,282 </v>
      </c>
      <c r="E60" s="48" t="str">
        <f t="shared" si="9"/>
        <v>0,0019 - 0,0030</v>
      </c>
      <c r="F60" s="69" t="str">
        <f t="shared" si="9"/>
        <v>6657,80 - 6745,41</v>
      </c>
      <c r="G60" s="97" t="s">
        <v>116</v>
      </c>
      <c r="H60" s="225" t="s">
        <v>54</v>
      </c>
    </row>
    <row r="61" spans="3:8">
      <c r="C61" s="68" t="str">
        <f t="shared" ref="C61:F61" si="10">C38</f>
        <v>35,901 - 36, 379</v>
      </c>
      <c r="D61" s="68" t="str">
        <f t="shared" si="10"/>
        <v>96,702 - 97,990</v>
      </c>
      <c r="E61" s="48" t="str">
        <f t="shared" si="10"/>
        <v>0,0031 - 0,0040</v>
      </c>
      <c r="F61" s="69" t="str">
        <f t="shared" si="10"/>
        <v>6570,20 - 6657,79</v>
      </c>
      <c r="G61" s="97" t="s">
        <v>117</v>
      </c>
      <c r="H61" s="225"/>
    </row>
    <row r="62" spans="3:8">
      <c r="C62" s="68" t="str">
        <f t="shared" ref="C62:F62" si="11">C39</f>
        <v>35,422 - 35,900</v>
      </c>
      <c r="D62" s="68" t="str">
        <f t="shared" si="11"/>
        <v xml:space="preserve">95,413 - 96,701 </v>
      </c>
      <c r="E62" s="48" t="str">
        <f t="shared" si="11"/>
        <v>0,0041 - 0,0050</v>
      </c>
      <c r="F62" s="69" t="str">
        <f t="shared" si="11"/>
        <v>6482,60 - 6570,19</v>
      </c>
      <c r="G62" s="97" t="s">
        <v>118</v>
      </c>
      <c r="H62" s="225"/>
    </row>
    <row r="63" spans="3:8">
      <c r="C63" s="68" t="str">
        <f t="shared" ref="C63:F63" si="12">C40</f>
        <v>34,943 - 35,421</v>
      </c>
      <c r="D63" s="68" t="str">
        <f t="shared" si="12"/>
        <v xml:space="preserve">94,124 - 95,412 </v>
      </c>
      <c r="E63" s="48" t="str">
        <f t="shared" si="12"/>
        <v>0,0051 - 0,0060</v>
      </c>
      <c r="F63" s="69" t="str">
        <f t="shared" si="12"/>
        <v xml:space="preserve">6395 - 6482,59 </v>
      </c>
      <c r="G63" s="97" t="s">
        <v>119</v>
      </c>
      <c r="H63" s="225"/>
    </row>
    <row r="64" spans="3:8">
      <c r="C64" s="68" t="str">
        <f>C41</f>
        <v>34,464 - 34,942</v>
      </c>
      <c r="D64" s="68" t="str">
        <f t="shared" ref="D64:F64" si="13">D41</f>
        <v>92,835 - 94,123</v>
      </c>
      <c r="E64" s="48" t="str">
        <f t="shared" si="13"/>
        <v>0,0061 - 0,0070</v>
      </c>
      <c r="F64" s="69" t="str">
        <f t="shared" si="13"/>
        <v>6307,40 - 6394,99</v>
      </c>
      <c r="G64" s="97" t="s">
        <v>120</v>
      </c>
      <c r="H64" s="225" t="s">
        <v>55</v>
      </c>
    </row>
    <row r="65" spans="3:8">
      <c r="C65" s="68" t="str">
        <f t="shared" ref="C65:F65" si="14">C42</f>
        <v>33,985 - 34,463</v>
      </c>
      <c r="D65" s="68" t="str">
        <f t="shared" si="14"/>
        <v xml:space="preserve">91,546 - 92,834 </v>
      </c>
      <c r="E65" s="48" t="str">
        <f t="shared" si="14"/>
        <v>0,0071 - 0,0080</v>
      </c>
      <c r="F65" s="69" t="str">
        <f t="shared" si="14"/>
        <v>6219,80 - 6307,39</v>
      </c>
      <c r="G65" s="97" t="s">
        <v>121</v>
      </c>
      <c r="H65" s="225"/>
    </row>
    <row r="66" spans="3:8">
      <c r="C66" s="68" t="str">
        <f t="shared" ref="C66:F66" si="15">C43</f>
        <v>33,506 - 33,984</v>
      </c>
      <c r="D66" s="73" t="str">
        <f>D43</f>
        <v>90,257 - 91,545</v>
      </c>
      <c r="E66" s="48" t="str">
        <f t="shared" si="15"/>
        <v xml:space="preserve">0,0081 - 0,0090 </v>
      </c>
      <c r="F66" s="69" t="str">
        <f t="shared" si="15"/>
        <v xml:space="preserve">6132,20 - 6219,79 </v>
      </c>
      <c r="G66" s="85" t="s">
        <v>122</v>
      </c>
      <c r="H66" s="225"/>
    </row>
    <row r="67" spans="3:8">
      <c r="C67" s="68" t="str">
        <f t="shared" ref="C67:F67" si="16">C44</f>
        <v>33,468 - 33,505</v>
      </c>
      <c r="D67" s="68" t="str">
        <f t="shared" si="16"/>
        <v xml:space="preserve">89,736 - 90,256 </v>
      </c>
      <c r="E67" s="48" t="str">
        <f t="shared" si="16"/>
        <v>0,0091 - 0,0095</v>
      </c>
      <c r="F67" s="69" t="str">
        <f t="shared" si="16"/>
        <v>6016,50 - 6132,19</v>
      </c>
      <c r="G67" s="97" t="s">
        <v>123</v>
      </c>
      <c r="H67" s="225" t="s">
        <v>56</v>
      </c>
    </row>
    <row r="68" spans="3:8">
      <c r="C68" s="73" t="str">
        <f t="shared" ref="C68:F68" si="17">C45</f>
        <v>33,430 - 33,467</v>
      </c>
      <c r="D68" s="68" t="str">
        <f t="shared" si="17"/>
        <v>89,214 - 89,735</v>
      </c>
      <c r="E68" s="48" t="str">
        <f t="shared" si="17"/>
        <v>0,0096 - 0,0101</v>
      </c>
      <c r="F68" s="69" t="str">
        <f t="shared" si="17"/>
        <v>5900,90 - 6016,49</v>
      </c>
      <c r="G68" s="97" t="s">
        <v>124</v>
      </c>
      <c r="H68" s="225"/>
    </row>
    <row r="69" spans="3:8">
      <c r="C69" s="68" t="str">
        <f t="shared" ref="C69:F69" si="18">C46</f>
        <v>33,392 - 33,429</v>
      </c>
      <c r="D69" s="68" t="str">
        <f t="shared" si="18"/>
        <v>88,692 - 89,213</v>
      </c>
      <c r="E69" s="45" t="str">
        <f t="shared" si="18"/>
        <v>0,0102 - 0,0107</v>
      </c>
      <c r="F69" s="29" t="str">
        <f t="shared" si="18"/>
        <v>5785,30 - 5900,89</v>
      </c>
      <c r="G69" s="37" t="s">
        <v>114</v>
      </c>
      <c r="H69" s="95" t="s">
        <v>57</v>
      </c>
    </row>
    <row r="70" spans="3:8">
      <c r="C70" s="97">
        <v>1</v>
      </c>
      <c r="D70" s="97">
        <v>3</v>
      </c>
      <c r="E70" s="100">
        <v>0</v>
      </c>
      <c r="F70" s="100">
        <v>0</v>
      </c>
      <c r="G70" s="97" t="s">
        <v>47</v>
      </c>
      <c r="H70" s="93"/>
    </row>
    <row r="71" spans="3:8">
      <c r="C71" s="90">
        <v>34</v>
      </c>
      <c r="D71" s="111">
        <v>9.6999999999999993</v>
      </c>
      <c r="E71" s="112">
        <v>27.9</v>
      </c>
      <c r="F71" s="112">
        <v>28.4</v>
      </c>
      <c r="G71" s="97" t="s">
        <v>68</v>
      </c>
      <c r="H71" s="93"/>
    </row>
    <row r="72" spans="3:8">
      <c r="C72" s="97">
        <f>C70*C71</f>
        <v>34</v>
      </c>
      <c r="D72" s="97">
        <f t="shared" ref="D72" si="19">D70*D71</f>
        <v>29.099999999999998</v>
      </c>
      <c r="E72" s="97">
        <f t="shared" ref="E72" si="20">E70*E71</f>
        <v>0</v>
      </c>
      <c r="F72" s="97">
        <f t="shared" ref="F72" si="21">F70*F71</f>
        <v>0</v>
      </c>
      <c r="G72" s="101" t="s">
        <v>69</v>
      </c>
      <c r="H72" s="93"/>
    </row>
    <row r="73" spans="3:8">
      <c r="C73" s="97" t="str">
        <f>H67</f>
        <v>Buruk</v>
      </c>
      <c r="D73" s="97" t="str">
        <f>H64</f>
        <v>Sedang</v>
      </c>
      <c r="E73" s="100" t="str">
        <f>H69</f>
        <v>Sangat Buruk</v>
      </c>
      <c r="F73" s="97" t="str">
        <f>H69</f>
        <v>Sangat Buruk</v>
      </c>
      <c r="G73" s="101" t="s">
        <v>52</v>
      </c>
      <c r="H73" s="93"/>
    </row>
    <row r="74" spans="3:8">
      <c r="C74" s="226"/>
      <c r="D74" s="226"/>
      <c r="E74" s="226"/>
      <c r="F74" s="226"/>
      <c r="G74" s="226"/>
      <c r="H74" s="93"/>
    </row>
    <row r="75" spans="3:8">
      <c r="C75" s="225" t="s">
        <v>142</v>
      </c>
      <c r="D75" s="225"/>
      <c r="E75" s="97" t="s">
        <v>58</v>
      </c>
      <c r="F75" s="97" t="s">
        <v>125</v>
      </c>
      <c r="G75" s="97" t="s">
        <v>60</v>
      </c>
      <c r="H75" s="93"/>
    </row>
    <row r="76" spans="3:8" ht="30" customHeight="1">
      <c r="C76" s="225"/>
      <c r="D76" s="225"/>
      <c r="E76" s="97">
        <f>SUM(C72:F72)</f>
        <v>63.099999999999994</v>
      </c>
      <c r="F76" s="97">
        <f>E53</f>
        <v>176.7</v>
      </c>
      <c r="G76" s="104">
        <f>((E76-F76)/F76)*100%</f>
        <v>-0.64289756649688734</v>
      </c>
      <c r="H76" s="93"/>
    </row>
    <row r="79" spans="3:8">
      <c r="C79" s="32" t="s">
        <v>77</v>
      </c>
    </row>
    <row r="80" spans="3:8">
      <c r="C80" s="33" t="s">
        <v>38</v>
      </c>
      <c r="D80" s="33" t="s">
        <v>39</v>
      </c>
      <c r="E80" s="34" t="s">
        <v>40</v>
      </c>
      <c r="F80" s="34" t="s">
        <v>41</v>
      </c>
      <c r="G80" s="33" t="s">
        <v>16</v>
      </c>
      <c r="H80" s="223" t="s">
        <v>52</v>
      </c>
    </row>
    <row r="81" spans="3:8">
      <c r="C81" s="46">
        <f>'Rasio dan Penentuan Level'!C6</f>
        <v>33.392000000000003</v>
      </c>
      <c r="D81" s="46">
        <f>'Rasio dan Penentuan Level'!D6</f>
        <v>88.691999999999993</v>
      </c>
      <c r="E81" s="46">
        <f>'Rasio dan Penentuan Level'!E6</f>
        <v>7.6E-3</v>
      </c>
      <c r="F81" s="46">
        <f>'Rasio dan Penentuan Level'!F6</f>
        <v>6149.3</v>
      </c>
      <c r="G81" s="46" t="s">
        <v>67</v>
      </c>
      <c r="H81" s="224"/>
    </row>
    <row r="82" spans="3:8">
      <c r="C82" s="68">
        <f>C59</f>
        <v>36.856999999999999</v>
      </c>
      <c r="D82" s="68">
        <f t="shared" ref="D82:F82" si="22">D59</f>
        <v>99.283000000000001</v>
      </c>
      <c r="E82" s="48">
        <f t="shared" si="22"/>
        <v>1.8E-3</v>
      </c>
      <c r="F82" s="69">
        <f t="shared" si="22"/>
        <v>6745.42</v>
      </c>
      <c r="G82" s="33" t="s">
        <v>115</v>
      </c>
      <c r="H82" s="95" t="s">
        <v>53</v>
      </c>
    </row>
    <row r="83" spans="3:8">
      <c r="C83" s="68" t="str">
        <f t="shared" ref="C83:F83" si="23">C60</f>
        <v>36,380 - 36,856</v>
      </c>
      <c r="D83" s="68" t="str">
        <f t="shared" si="23"/>
        <v xml:space="preserve">97,991 - 99,282 </v>
      </c>
      <c r="E83" s="48" t="str">
        <f t="shared" si="23"/>
        <v>0,0019 - 0,0030</v>
      </c>
      <c r="F83" s="69" t="str">
        <f t="shared" si="23"/>
        <v>6657,80 - 6745,41</v>
      </c>
      <c r="G83" s="97" t="s">
        <v>116</v>
      </c>
      <c r="H83" s="225" t="s">
        <v>54</v>
      </c>
    </row>
    <row r="84" spans="3:8">
      <c r="C84" s="68" t="str">
        <f t="shared" ref="C84:F84" si="24">C61</f>
        <v>35,901 - 36, 379</v>
      </c>
      <c r="D84" s="68" t="str">
        <f t="shared" si="24"/>
        <v>96,702 - 97,990</v>
      </c>
      <c r="E84" s="48" t="str">
        <f t="shared" si="24"/>
        <v>0,0031 - 0,0040</v>
      </c>
      <c r="F84" s="69" t="str">
        <f t="shared" si="24"/>
        <v>6570,20 - 6657,79</v>
      </c>
      <c r="G84" s="97" t="s">
        <v>117</v>
      </c>
      <c r="H84" s="225"/>
    </row>
    <row r="85" spans="3:8">
      <c r="C85" s="68" t="str">
        <f t="shared" ref="C85:F85" si="25">C62</f>
        <v>35,422 - 35,900</v>
      </c>
      <c r="D85" s="68" t="str">
        <f t="shared" si="25"/>
        <v xml:space="preserve">95,413 - 96,701 </v>
      </c>
      <c r="E85" s="48" t="str">
        <f t="shared" si="25"/>
        <v>0,0041 - 0,0050</v>
      </c>
      <c r="F85" s="69" t="str">
        <f t="shared" si="25"/>
        <v>6482,60 - 6570,19</v>
      </c>
      <c r="G85" s="97" t="s">
        <v>118</v>
      </c>
      <c r="H85" s="225"/>
    </row>
    <row r="86" spans="3:8">
      <c r="C86" s="68" t="str">
        <f t="shared" ref="C86:F86" si="26">C63</f>
        <v>34,943 - 35,421</v>
      </c>
      <c r="D86" s="68" t="str">
        <f t="shared" si="26"/>
        <v xml:space="preserve">94,124 - 95,412 </v>
      </c>
      <c r="E86" s="48" t="str">
        <f t="shared" si="26"/>
        <v>0,0051 - 0,0060</v>
      </c>
      <c r="F86" s="69" t="str">
        <f t="shared" si="26"/>
        <v xml:space="preserve">6395 - 6482,59 </v>
      </c>
      <c r="G86" s="97" t="s">
        <v>119</v>
      </c>
      <c r="H86" s="225"/>
    </row>
    <row r="87" spans="3:8">
      <c r="C87" s="68" t="str">
        <f t="shared" ref="C87:F87" si="27">C64</f>
        <v>34,464 - 34,942</v>
      </c>
      <c r="D87" s="68" t="str">
        <f t="shared" si="27"/>
        <v>92,835 - 94,123</v>
      </c>
      <c r="E87" s="48" t="str">
        <f t="shared" si="27"/>
        <v>0,0061 - 0,0070</v>
      </c>
      <c r="F87" s="69" t="str">
        <f t="shared" si="27"/>
        <v>6307,40 - 6394,99</v>
      </c>
      <c r="G87" s="97" t="s">
        <v>120</v>
      </c>
      <c r="H87" s="225" t="s">
        <v>55</v>
      </c>
    </row>
    <row r="88" spans="3:8">
      <c r="C88" s="68" t="str">
        <f t="shared" ref="C88:F88" si="28">C65</f>
        <v>33,985 - 34,463</v>
      </c>
      <c r="D88" s="68" t="str">
        <f t="shared" si="28"/>
        <v xml:space="preserve">91,546 - 92,834 </v>
      </c>
      <c r="E88" s="45" t="str">
        <f t="shared" si="28"/>
        <v>0,0071 - 0,0080</v>
      </c>
      <c r="F88" s="69" t="str">
        <f t="shared" si="28"/>
        <v>6219,80 - 6307,39</v>
      </c>
      <c r="G88" s="97" t="s">
        <v>121</v>
      </c>
      <c r="H88" s="225"/>
    </row>
    <row r="89" spans="3:8">
      <c r="C89" s="68" t="str">
        <f t="shared" ref="C89" si="29">C66</f>
        <v>33,506 - 33,984</v>
      </c>
      <c r="D89" s="68" t="str">
        <f>D66</f>
        <v>90,257 - 91,545</v>
      </c>
      <c r="E89" s="48" t="str">
        <f t="shared" ref="E89:F89" si="30">E66</f>
        <v xml:space="preserve">0,0081 - 0,0090 </v>
      </c>
      <c r="F89" s="29" t="str">
        <f t="shared" si="30"/>
        <v xml:space="preserve">6132,20 - 6219,79 </v>
      </c>
      <c r="G89" s="85" t="s">
        <v>122</v>
      </c>
      <c r="H89" s="225"/>
    </row>
    <row r="90" spans="3:8">
      <c r="C90" s="68" t="str">
        <f t="shared" ref="C90:F90" si="31">C67</f>
        <v>33,468 - 33,505</v>
      </c>
      <c r="D90" s="68" t="str">
        <f t="shared" si="31"/>
        <v xml:space="preserve">89,736 - 90,256 </v>
      </c>
      <c r="E90" s="48" t="str">
        <f t="shared" si="31"/>
        <v>0,0091 - 0,0095</v>
      </c>
      <c r="F90" s="69" t="str">
        <f t="shared" si="31"/>
        <v>6016,50 - 6132,19</v>
      </c>
      <c r="G90" s="97" t="s">
        <v>123</v>
      </c>
      <c r="H90" s="225" t="s">
        <v>56</v>
      </c>
    </row>
    <row r="91" spans="3:8">
      <c r="C91" s="68" t="str">
        <f t="shared" ref="C91:F91" si="32">C68</f>
        <v>33,430 - 33,467</v>
      </c>
      <c r="D91" s="68" t="str">
        <f t="shared" si="32"/>
        <v>89,214 - 89,735</v>
      </c>
      <c r="E91" s="48" t="str">
        <f t="shared" si="32"/>
        <v>0,0096 - 0,0101</v>
      </c>
      <c r="F91" s="69" t="str">
        <f t="shared" si="32"/>
        <v>5900,90 - 6016,49</v>
      </c>
      <c r="G91" s="97" t="s">
        <v>124</v>
      </c>
      <c r="H91" s="225"/>
    </row>
    <row r="92" spans="3:8">
      <c r="C92" s="73" t="str">
        <f t="shared" ref="C92:F92" si="33">C69</f>
        <v>33,392 - 33,429</v>
      </c>
      <c r="D92" s="73" t="str">
        <f t="shared" si="33"/>
        <v>88,692 - 89,213</v>
      </c>
      <c r="E92" s="48" t="str">
        <f t="shared" si="33"/>
        <v>0,0102 - 0,0107</v>
      </c>
      <c r="F92" s="69" t="str">
        <f t="shared" si="33"/>
        <v>5785,30 - 5900,89</v>
      </c>
      <c r="G92" s="37" t="s">
        <v>114</v>
      </c>
      <c r="H92" s="95" t="s">
        <v>57</v>
      </c>
    </row>
    <row r="93" spans="3:8">
      <c r="C93" s="97">
        <v>0</v>
      </c>
      <c r="D93" s="97">
        <v>0</v>
      </c>
      <c r="E93" s="100">
        <v>4</v>
      </c>
      <c r="F93" s="100">
        <v>3</v>
      </c>
      <c r="G93" s="97" t="s">
        <v>47</v>
      </c>
      <c r="H93" s="93"/>
    </row>
    <row r="94" spans="3:8">
      <c r="C94" s="90">
        <v>34</v>
      </c>
      <c r="D94" s="111">
        <v>9.6999999999999993</v>
      </c>
      <c r="E94" s="112">
        <v>27.9</v>
      </c>
      <c r="F94" s="112">
        <v>28.4</v>
      </c>
      <c r="G94" s="97" t="s">
        <v>68</v>
      </c>
      <c r="H94" s="93"/>
    </row>
    <row r="95" spans="3:8">
      <c r="C95" s="97">
        <f>C93*C94</f>
        <v>0</v>
      </c>
      <c r="D95" s="97">
        <f t="shared" ref="D95" si="34">D93*D94</f>
        <v>0</v>
      </c>
      <c r="E95" s="97">
        <f t="shared" ref="E95" si="35">E93*E94</f>
        <v>111.6</v>
      </c>
      <c r="F95" s="97">
        <f t="shared" ref="F95" si="36">F93*F94</f>
        <v>85.199999999999989</v>
      </c>
      <c r="G95" s="101" t="s">
        <v>69</v>
      </c>
      <c r="H95" s="93"/>
    </row>
    <row r="96" spans="3:8">
      <c r="C96" s="97" t="str">
        <f>H92</f>
        <v>Sangat Buruk</v>
      </c>
      <c r="D96" s="97" t="str">
        <f>H92</f>
        <v>Sangat Buruk</v>
      </c>
      <c r="E96" s="100" t="str">
        <f>H87</f>
        <v>Sedang</v>
      </c>
      <c r="F96" s="97" t="str">
        <f>H87</f>
        <v>Sedang</v>
      </c>
      <c r="G96" s="101" t="s">
        <v>52</v>
      </c>
      <c r="H96" s="93"/>
    </row>
    <row r="97" spans="3:8">
      <c r="C97" s="226"/>
      <c r="D97" s="226"/>
      <c r="E97" s="226"/>
      <c r="F97" s="226"/>
      <c r="G97" s="226"/>
      <c r="H97" s="93"/>
    </row>
    <row r="98" spans="3:8">
      <c r="C98" s="225" t="s">
        <v>142</v>
      </c>
      <c r="D98" s="225"/>
      <c r="E98" s="97" t="s">
        <v>58</v>
      </c>
      <c r="F98" s="97" t="s">
        <v>125</v>
      </c>
      <c r="G98" s="97" t="s">
        <v>60</v>
      </c>
      <c r="H98" s="93"/>
    </row>
    <row r="99" spans="3:8" ht="30" customHeight="1">
      <c r="C99" s="225"/>
      <c r="D99" s="225"/>
      <c r="E99" s="97">
        <f>SUM(C95:F95)</f>
        <v>196.79999999999998</v>
      </c>
      <c r="F99" s="97">
        <f>E76</f>
        <v>63.099999999999994</v>
      </c>
      <c r="G99" s="104">
        <f>((E99-F99)/F99)*100%</f>
        <v>2.1188589540412046</v>
      </c>
      <c r="H99" s="93"/>
    </row>
    <row r="102" spans="3:8">
      <c r="C102" s="32" t="s">
        <v>78</v>
      </c>
    </row>
    <row r="103" spans="3:8">
      <c r="C103" s="33" t="s">
        <v>38</v>
      </c>
      <c r="D103" s="33" t="s">
        <v>39</v>
      </c>
      <c r="E103" s="34" t="s">
        <v>40</v>
      </c>
      <c r="F103" s="34" t="s">
        <v>41</v>
      </c>
      <c r="G103" s="33" t="s">
        <v>16</v>
      </c>
      <c r="H103" s="223" t="s">
        <v>52</v>
      </c>
    </row>
    <row r="104" spans="3:8">
      <c r="C104" s="73">
        <f>'Rasio dan Penentuan Level'!C7</f>
        <v>33.515999999999998</v>
      </c>
      <c r="D104" s="46">
        <f>'Rasio dan Penentuan Level'!D7</f>
        <v>90.533000000000001</v>
      </c>
      <c r="E104" s="46">
        <f>'Rasio dan Penentuan Level'!E7</f>
        <v>1.01E-2</v>
      </c>
      <c r="F104" s="29">
        <f>'Rasio dan Penentuan Level'!F7</f>
        <v>6005.3</v>
      </c>
      <c r="G104" s="46" t="s">
        <v>67</v>
      </c>
      <c r="H104" s="224"/>
    </row>
    <row r="105" spans="3:8">
      <c r="C105" s="67">
        <f>C82</f>
        <v>36.856999999999999</v>
      </c>
      <c r="D105" s="67">
        <f t="shared" ref="D105:F105" si="37">D82</f>
        <v>99.283000000000001</v>
      </c>
      <c r="E105" s="38">
        <f t="shared" si="37"/>
        <v>1.8E-3</v>
      </c>
      <c r="F105" s="52">
        <f t="shared" si="37"/>
        <v>6745.42</v>
      </c>
      <c r="G105" s="33" t="s">
        <v>115</v>
      </c>
      <c r="H105" s="95" t="s">
        <v>53</v>
      </c>
    </row>
    <row r="106" spans="3:8">
      <c r="C106" s="67" t="str">
        <f t="shared" ref="C106:F106" si="38">C83</f>
        <v>36,380 - 36,856</v>
      </c>
      <c r="D106" s="67" t="str">
        <f t="shared" si="38"/>
        <v xml:space="preserve">97,991 - 99,282 </v>
      </c>
      <c r="E106" s="38" t="str">
        <f t="shared" si="38"/>
        <v>0,0019 - 0,0030</v>
      </c>
      <c r="F106" s="52" t="str">
        <f t="shared" si="38"/>
        <v>6657,80 - 6745,41</v>
      </c>
      <c r="G106" s="97" t="s">
        <v>116</v>
      </c>
      <c r="H106" s="225" t="s">
        <v>54</v>
      </c>
    </row>
    <row r="107" spans="3:8">
      <c r="C107" s="67" t="str">
        <f t="shared" ref="C107:F107" si="39">C84</f>
        <v>35,901 - 36, 379</v>
      </c>
      <c r="D107" s="67" t="str">
        <f t="shared" si="39"/>
        <v>96,702 - 97,990</v>
      </c>
      <c r="E107" s="38" t="str">
        <f t="shared" si="39"/>
        <v>0,0031 - 0,0040</v>
      </c>
      <c r="F107" s="52" t="str">
        <f t="shared" si="39"/>
        <v>6570,20 - 6657,79</v>
      </c>
      <c r="G107" s="97" t="s">
        <v>117</v>
      </c>
      <c r="H107" s="225"/>
    </row>
    <row r="108" spans="3:8">
      <c r="C108" s="67" t="str">
        <f t="shared" ref="C108:F108" si="40">C85</f>
        <v>35,422 - 35,900</v>
      </c>
      <c r="D108" s="67" t="str">
        <f t="shared" si="40"/>
        <v xml:space="preserve">95,413 - 96,701 </v>
      </c>
      <c r="E108" s="38" t="str">
        <f t="shared" si="40"/>
        <v>0,0041 - 0,0050</v>
      </c>
      <c r="F108" s="52" t="str">
        <f t="shared" si="40"/>
        <v>6482,60 - 6570,19</v>
      </c>
      <c r="G108" s="97" t="s">
        <v>118</v>
      </c>
      <c r="H108" s="225"/>
    </row>
    <row r="109" spans="3:8">
      <c r="C109" s="67" t="str">
        <f t="shared" ref="C109:F109" si="41">C86</f>
        <v>34,943 - 35,421</v>
      </c>
      <c r="D109" s="67" t="str">
        <f t="shared" si="41"/>
        <v xml:space="preserve">94,124 - 95,412 </v>
      </c>
      <c r="E109" s="38" t="str">
        <f t="shared" si="41"/>
        <v>0,0051 - 0,0060</v>
      </c>
      <c r="F109" s="52" t="str">
        <f t="shared" si="41"/>
        <v xml:space="preserve">6395 - 6482,59 </v>
      </c>
      <c r="G109" s="97" t="s">
        <v>119</v>
      </c>
      <c r="H109" s="225"/>
    </row>
    <row r="110" spans="3:8">
      <c r="C110" s="67" t="str">
        <f t="shared" ref="C110:F110" si="42">C87</f>
        <v>34,464 - 34,942</v>
      </c>
      <c r="D110" s="67" t="str">
        <f t="shared" si="42"/>
        <v>92,835 - 94,123</v>
      </c>
      <c r="E110" s="38" t="str">
        <f t="shared" si="42"/>
        <v>0,0061 - 0,0070</v>
      </c>
      <c r="F110" s="52" t="str">
        <f t="shared" si="42"/>
        <v>6307,40 - 6394,99</v>
      </c>
      <c r="G110" s="97" t="s">
        <v>120</v>
      </c>
      <c r="H110" s="225" t="s">
        <v>55</v>
      </c>
    </row>
    <row r="111" spans="3:8">
      <c r="C111" s="67" t="str">
        <f t="shared" ref="C111:F112" si="43">C88</f>
        <v>33,985 - 34,463</v>
      </c>
      <c r="D111" s="67" t="str">
        <f t="shared" si="43"/>
        <v xml:space="preserve">91,546 - 92,834 </v>
      </c>
      <c r="E111" s="38" t="str">
        <f t="shared" si="43"/>
        <v>0,0071 - 0,0080</v>
      </c>
      <c r="F111" s="52" t="str">
        <f t="shared" si="43"/>
        <v>6219,80 - 6307,39</v>
      </c>
      <c r="G111" s="97" t="s">
        <v>121</v>
      </c>
      <c r="H111" s="225"/>
    </row>
    <row r="112" spans="3:8">
      <c r="C112" s="73" t="str">
        <f t="shared" si="43"/>
        <v>33,506 - 33,984</v>
      </c>
      <c r="D112" s="73" t="str">
        <f>D89</f>
        <v>90,257 - 91,545</v>
      </c>
      <c r="E112" s="48" t="str">
        <f t="shared" ref="E112:F112" si="44">E89</f>
        <v xml:space="preserve">0,0081 - 0,0090 </v>
      </c>
      <c r="F112" s="69" t="str">
        <f t="shared" si="44"/>
        <v xml:space="preserve">6132,20 - 6219,79 </v>
      </c>
      <c r="G112" s="85" t="s">
        <v>122</v>
      </c>
      <c r="H112" s="225"/>
    </row>
    <row r="113" spans="3:8">
      <c r="C113" s="68" t="str">
        <f t="shared" ref="C113:F113" si="45">C90</f>
        <v>33,468 - 33,505</v>
      </c>
      <c r="D113" s="68" t="str">
        <f t="shared" si="45"/>
        <v xml:space="preserve">89,736 - 90,256 </v>
      </c>
      <c r="E113" s="48" t="str">
        <f t="shared" si="45"/>
        <v>0,0091 - 0,0095</v>
      </c>
      <c r="F113" s="69" t="str">
        <f t="shared" si="45"/>
        <v>6016,50 - 6132,19</v>
      </c>
      <c r="G113" s="97" t="s">
        <v>123</v>
      </c>
      <c r="H113" s="225" t="s">
        <v>56</v>
      </c>
    </row>
    <row r="114" spans="3:8">
      <c r="C114" s="68" t="str">
        <f t="shared" ref="C114:E114" si="46">C91</f>
        <v>33,430 - 33,467</v>
      </c>
      <c r="D114" s="68" t="str">
        <f t="shared" si="46"/>
        <v>89,214 - 89,735</v>
      </c>
      <c r="E114" s="45" t="str">
        <f t="shared" si="46"/>
        <v>0,0096 - 0,0101</v>
      </c>
      <c r="F114" s="29" t="str">
        <f>F91</f>
        <v>5900,90 - 6016,49</v>
      </c>
      <c r="G114" s="97" t="s">
        <v>124</v>
      </c>
      <c r="H114" s="225"/>
    </row>
    <row r="115" spans="3:8">
      <c r="C115" s="68" t="str">
        <f t="shared" ref="C115:F115" si="47">C92</f>
        <v>33,392 - 33,429</v>
      </c>
      <c r="D115" s="68" t="str">
        <f t="shared" si="47"/>
        <v>88,692 - 89,213</v>
      </c>
      <c r="E115" s="48" t="str">
        <f t="shared" si="47"/>
        <v>0,0102 - 0,0107</v>
      </c>
      <c r="F115" s="69" t="str">
        <f t="shared" si="47"/>
        <v>5785,30 - 5900,89</v>
      </c>
      <c r="G115" s="37" t="s">
        <v>114</v>
      </c>
      <c r="H115" s="95" t="s">
        <v>57</v>
      </c>
    </row>
    <row r="116" spans="3:8">
      <c r="C116" s="97">
        <v>3</v>
      </c>
      <c r="D116" s="97">
        <v>3</v>
      </c>
      <c r="E116" s="100">
        <v>1</v>
      </c>
      <c r="F116" s="100">
        <v>1</v>
      </c>
      <c r="G116" s="97" t="s">
        <v>47</v>
      </c>
      <c r="H116" s="93"/>
    </row>
    <row r="117" spans="3:8">
      <c r="C117" s="90">
        <v>34</v>
      </c>
      <c r="D117" s="111">
        <v>9.6999999999999993</v>
      </c>
      <c r="E117" s="112">
        <v>27.9</v>
      </c>
      <c r="F117" s="112">
        <v>28.4</v>
      </c>
      <c r="G117" s="97" t="s">
        <v>68</v>
      </c>
      <c r="H117" s="93"/>
    </row>
    <row r="118" spans="3:8">
      <c r="C118" s="97">
        <f>C116*C117</f>
        <v>102</v>
      </c>
      <c r="D118" s="97">
        <f t="shared" ref="D118:F118" si="48">D116*D117</f>
        <v>29.099999999999998</v>
      </c>
      <c r="E118" s="97">
        <f t="shared" si="48"/>
        <v>27.9</v>
      </c>
      <c r="F118" s="97">
        <f t="shared" si="48"/>
        <v>28.4</v>
      </c>
      <c r="G118" s="101" t="s">
        <v>69</v>
      </c>
      <c r="H118" s="93"/>
    </row>
    <row r="119" spans="3:8">
      <c r="C119" s="97" t="str">
        <f>H110</f>
        <v>Sedang</v>
      </c>
      <c r="D119" s="97" t="str">
        <f>H110</f>
        <v>Sedang</v>
      </c>
      <c r="E119" s="100" t="str">
        <f>H113</f>
        <v>Buruk</v>
      </c>
      <c r="F119" s="97" t="str">
        <f>H113</f>
        <v>Buruk</v>
      </c>
      <c r="G119" s="101" t="s">
        <v>52</v>
      </c>
      <c r="H119" s="93"/>
    </row>
    <row r="120" spans="3:8">
      <c r="C120" s="226"/>
      <c r="D120" s="226"/>
      <c r="E120" s="226"/>
      <c r="F120" s="226"/>
      <c r="G120" s="226"/>
      <c r="H120" s="93"/>
    </row>
    <row r="121" spans="3:8">
      <c r="C121" s="225" t="s">
        <v>142</v>
      </c>
      <c r="D121" s="225"/>
      <c r="E121" s="97" t="s">
        <v>58</v>
      </c>
      <c r="F121" s="97" t="s">
        <v>125</v>
      </c>
      <c r="G121" s="97" t="s">
        <v>60</v>
      </c>
      <c r="H121" s="93"/>
    </row>
    <row r="122" spans="3:8" ht="30" customHeight="1">
      <c r="C122" s="225"/>
      <c r="D122" s="225"/>
      <c r="E122" s="97">
        <f>SUM(C118:F118)</f>
        <v>187.4</v>
      </c>
      <c r="F122" s="97">
        <f>E99</f>
        <v>196.79999999999998</v>
      </c>
      <c r="G122" s="104">
        <f>((E122-F122)/F122)*100%</f>
        <v>-4.7764227642276308E-2</v>
      </c>
      <c r="H122" s="93"/>
    </row>
    <row r="125" spans="3:8">
      <c r="C125" s="32" t="s">
        <v>79</v>
      </c>
    </row>
    <row r="126" spans="3:8">
      <c r="C126" s="33" t="s">
        <v>38</v>
      </c>
      <c r="D126" s="33" t="s">
        <v>39</v>
      </c>
      <c r="E126" s="34" t="s">
        <v>40</v>
      </c>
      <c r="F126" s="34" t="s">
        <v>41</v>
      </c>
      <c r="G126" s="33" t="s">
        <v>16</v>
      </c>
      <c r="H126" s="229" t="s">
        <v>52</v>
      </c>
    </row>
    <row r="127" spans="3:8">
      <c r="C127" s="73">
        <f>'Rasio dan Penentuan Level'!C8</f>
        <v>33.600999999999999</v>
      </c>
      <c r="D127" s="73">
        <f>'Rasio dan Penentuan Level'!D8</f>
        <v>90.763999999999996</v>
      </c>
      <c r="E127" s="45">
        <f>'Rasio dan Penentuan Level'!E8</f>
        <v>7.6E-3</v>
      </c>
      <c r="F127" s="74">
        <f>'Rasio dan Penentuan Level'!F8</f>
        <v>6293</v>
      </c>
      <c r="G127" s="46" t="s">
        <v>67</v>
      </c>
      <c r="H127" s="230"/>
    </row>
    <row r="128" spans="3:8">
      <c r="C128" s="67">
        <f>C105</f>
        <v>36.856999999999999</v>
      </c>
      <c r="D128" s="67">
        <f t="shared" ref="D128:F128" si="49">D105</f>
        <v>99.283000000000001</v>
      </c>
      <c r="E128" s="38">
        <f t="shared" si="49"/>
        <v>1.8E-3</v>
      </c>
      <c r="F128" s="52">
        <f t="shared" si="49"/>
        <v>6745.42</v>
      </c>
      <c r="G128" s="33" t="s">
        <v>115</v>
      </c>
      <c r="H128" s="35" t="s">
        <v>53</v>
      </c>
    </row>
    <row r="129" spans="3:8">
      <c r="C129" s="67" t="str">
        <f t="shared" ref="C129:F129" si="50">C106</f>
        <v>36,380 - 36,856</v>
      </c>
      <c r="D129" s="67" t="str">
        <f t="shared" si="50"/>
        <v xml:space="preserve">97,991 - 99,282 </v>
      </c>
      <c r="E129" s="38" t="str">
        <f t="shared" si="50"/>
        <v>0,0019 - 0,0030</v>
      </c>
      <c r="F129" s="52" t="str">
        <f t="shared" si="50"/>
        <v>6657,80 - 6745,41</v>
      </c>
      <c r="G129" s="97" t="s">
        <v>116</v>
      </c>
      <c r="H129" s="227" t="s">
        <v>54</v>
      </c>
    </row>
    <row r="130" spans="3:8">
      <c r="C130" s="67" t="str">
        <f t="shared" ref="C130:F130" si="51">C107</f>
        <v>35,901 - 36, 379</v>
      </c>
      <c r="D130" s="67" t="str">
        <f t="shared" si="51"/>
        <v>96,702 - 97,990</v>
      </c>
      <c r="E130" s="38" t="str">
        <f t="shared" si="51"/>
        <v>0,0031 - 0,0040</v>
      </c>
      <c r="F130" s="52" t="str">
        <f t="shared" si="51"/>
        <v>6570,20 - 6657,79</v>
      </c>
      <c r="G130" s="97" t="s">
        <v>117</v>
      </c>
      <c r="H130" s="227"/>
    </row>
    <row r="131" spans="3:8">
      <c r="C131" s="67" t="str">
        <f t="shared" ref="C131:F131" si="52">C108</f>
        <v>35,422 - 35,900</v>
      </c>
      <c r="D131" s="67" t="str">
        <f t="shared" si="52"/>
        <v xml:space="preserve">95,413 - 96,701 </v>
      </c>
      <c r="E131" s="38" t="str">
        <f t="shared" si="52"/>
        <v>0,0041 - 0,0050</v>
      </c>
      <c r="F131" s="52" t="str">
        <f t="shared" si="52"/>
        <v>6482,60 - 6570,19</v>
      </c>
      <c r="G131" s="97" t="s">
        <v>118</v>
      </c>
      <c r="H131" s="227"/>
    </row>
    <row r="132" spans="3:8">
      <c r="C132" s="67" t="str">
        <f t="shared" ref="C132:F132" si="53">C109</f>
        <v>34,943 - 35,421</v>
      </c>
      <c r="D132" s="67" t="str">
        <f t="shared" si="53"/>
        <v xml:space="preserve">94,124 - 95,412 </v>
      </c>
      <c r="E132" s="38" t="str">
        <f t="shared" si="53"/>
        <v>0,0051 - 0,0060</v>
      </c>
      <c r="F132" s="52" t="str">
        <f t="shared" si="53"/>
        <v xml:space="preserve">6395 - 6482,59 </v>
      </c>
      <c r="G132" s="97" t="s">
        <v>119</v>
      </c>
      <c r="H132" s="227"/>
    </row>
    <row r="133" spans="3:8">
      <c r="C133" s="67" t="str">
        <f t="shared" ref="C133:F133" si="54">C110</f>
        <v>34,464 - 34,942</v>
      </c>
      <c r="D133" s="67" t="str">
        <f t="shared" si="54"/>
        <v>92,835 - 94,123</v>
      </c>
      <c r="E133" s="38" t="str">
        <f t="shared" si="54"/>
        <v>0,0061 - 0,0070</v>
      </c>
      <c r="F133" s="52" t="str">
        <f t="shared" si="54"/>
        <v>6307,40 - 6394,99</v>
      </c>
      <c r="G133" s="97" t="s">
        <v>120</v>
      </c>
      <c r="H133" s="227" t="s">
        <v>55</v>
      </c>
    </row>
    <row r="134" spans="3:8">
      <c r="C134" s="67" t="str">
        <f t="shared" ref="C134:F134" si="55">C111</f>
        <v>33,985 - 34,463</v>
      </c>
      <c r="D134" s="67" t="str">
        <f t="shared" si="55"/>
        <v xml:space="preserve">91,546 - 92,834 </v>
      </c>
      <c r="E134" s="45" t="str">
        <f t="shared" si="55"/>
        <v>0,0071 - 0,0080</v>
      </c>
      <c r="F134" s="29" t="str">
        <f t="shared" si="55"/>
        <v>6219,80 - 6307,39</v>
      </c>
      <c r="G134" s="97" t="s">
        <v>121</v>
      </c>
      <c r="H134" s="227"/>
    </row>
    <row r="135" spans="3:8">
      <c r="C135" s="73" t="str">
        <f t="shared" ref="C135" si="56">C112</f>
        <v>33,506 - 33,984</v>
      </c>
      <c r="D135" s="73" t="str">
        <f>D112</f>
        <v>90,257 - 91,545</v>
      </c>
      <c r="E135" s="48" t="str">
        <f t="shared" ref="E135:F135" si="57">E112</f>
        <v xml:space="preserve">0,0081 - 0,0090 </v>
      </c>
      <c r="F135" s="69" t="str">
        <f t="shared" si="57"/>
        <v xml:space="preserve">6132,20 - 6219,79 </v>
      </c>
      <c r="G135" s="85" t="s">
        <v>122</v>
      </c>
      <c r="H135" s="227"/>
    </row>
    <row r="136" spans="3:8">
      <c r="C136" s="68" t="str">
        <f t="shared" ref="C136:F136" si="58">C113</f>
        <v>33,468 - 33,505</v>
      </c>
      <c r="D136" s="68" t="str">
        <f t="shared" si="58"/>
        <v xml:space="preserve">89,736 - 90,256 </v>
      </c>
      <c r="E136" s="48" t="str">
        <f t="shared" si="58"/>
        <v>0,0091 - 0,0095</v>
      </c>
      <c r="F136" s="69" t="str">
        <f t="shared" si="58"/>
        <v>6016,50 - 6132,19</v>
      </c>
      <c r="G136" s="97" t="s">
        <v>123</v>
      </c>
      <c r="H136" s="227" t="s">
        <v>56</v>
      </c>
    </row>
    <row r="137" spans="3:8">
      <c r="C137" s="68" t="str">
        <f t="shared" ref="C137:F137" si="59">C114</f>
        <v>33,430 - 33,467</v>
      </c>
      <c r="D137" s="68" t="str">
        <f t="shared" si="59"/>
        <v>89,214 - 89,735</v>
      </c>
      <c r="E137" s="48" t="str">
        <f t="shared" si="59"/>
        <v>0,0096 - 0,0101</v>
      </c>
      <c r="F137" s="69" t="str">
        <f t="shared" si="59"/>
        <v>5900,90 - 6016,49</v>
      </c>
      <c r="G137" s="97" t="s">
        <v>124</v>
      </c>
      <c r="H137" s="227"/>
    </row>
    <row r="138" spans="3:8">
      <c r="C138" s="68" t="str">
        <f t="shared" ref="C138:F138" si="60">C115</f>
        <v>33,392 - 33,429</v>
      </c>
      <c r="D138" s="68" t="str">
        <f t="shared" si="60"/>
        <v>88,692 - 89,213</v>
      </c>
      <c r="E138" s="48" t="str">
        <f t="shared" si="60"/>
        <v>0,0102 - 0,0107</v>
      </c>
      <c r="F138" s="69" t="str">
        <f t="shared" si="60"/>
        <v>5785,30 - 5900,89</v>
      </c>
      <c r="G138" s="37" t="s">
        <v>114</v>
      </c>
      <c r="H138" s="35" t="s">
        <v>57</v>
      </c>
    </row>
    <row r="139" spans="3:8">
      <c r="C139" s="36">
        <v>3</v>
      </c>
      <c r="D139" s="36">
        <v>3</v>
      </c>
      <c r="E139" s="51">
        <v>4</v>
      </c>
      <c r="F139" s="51">
        <v>4</v>
      </c>
      <c r="G139" s="36" t="s">
        <v>47</v>
      </c>
      <c r="H139" s="93"/>
    </row>
    <row r="140" spans="3:8">
      <c r="C140" s="90">
        <v>34</v>
      </c>
      <c r="D140" s="111">
        <v>9.6999999999999993</v>
      </c>
      <c r="E140" s="112">
        <v>27.9</v>
      </c>
      <c r="F140" s="112">
        <v>28.4</v>
      </c>
      <c r="G140" s="36" t="s">
        <v>68</v>
      </c>
      <c r="H140" s="93"/>
    </row>
    <row r="141" spans="3:8">
      <c r="C141" s="36">
        <f>C139*C140</f>
        <v>102</v>
      </c>
      <c r="D141" s="36">
        <f t="shared" ref="D141:F141" si="61">D139*D140</f>
        <v>29.099999999999998</v>
      </c>
      <c r="E141" s="36">
        <f t="shared" si="61"/>
        <v>111.6</v>
      </c>
      <c r="F141" s="36">
        <f t="shared" si="61"/>
        <v>113.6</v>
      </c>
      <c r="G141" s="47" t="s">
        <v>69</v>
      </c>
      <c r="H141" s="93"/>
    </row>
    <row r="142" spans="3:8">
      <c r="C142" s="36" t="str">
        <f>H133</f>
        <v>Sedang</v>
      </c>
      <c r="D142" s="36" t="str">
        <f>H133</f>
        <v>Sedang</v>
      </c>
      <c r="E142" s="165" t="str">
        <f>H133</f>
        <v>Sedang</v>
      </c>
      <c r="F142" s="165" t="str">
        <f>H133</f>
        <v>Sedang</v>
      </c>
      <c r="G142" s="47" t="s">
        <v>52</v>
      </c>
      <c r="H142" s="93"/>
    </row>
    <row r="143" spans="3:8">
      <c r="C143" s="228"/>
      <c r="D143" s="228"/>
      <c r="E143" s="228"/>
      <c r="F143" s="228"/>
      <c r="G143" s="228"/>
      <c r="H143" s="93"/>
    </row>
    <row r="144" spans="3:8">
      <c r="C144" s="225" t="s">
        <v>142</v>
      </c>
      <c r="D144" s="225"/>
      <c r="E144" s="36" t="s">
        <v>58</v>
      </c>
      <c r="F144" s="96" t="s">
        <v>125</v>
      </c>
      <c r="G144" s="36" t="s">
        <v>60</v>
      </c>
      <c r="H144" s="93"/>
    </row>
    <row r="145" spans="3:8" ht="30" customHeight="1">
      <c r="C145" s="225"/>
      <c r="D145" s="225"/>
      <c r="E145" s="36">
        <f>SUM(C141:F141)</f>
        <v>356.29999999999995</v>
      </c>
      <c r="F145" s="36">
        <f>E122</f>
        <v>187.4</v>
      </c>
      <c r="G145" s="99">
        <f>((E145-F145)/F145)*100%</f>
        <v>0.90128068303094955</v>
      </c>
      <c r="H145" s="93"/>
    </row>
    <row r="148" spans="3:8">
      <c r="C148" s="32" t="s">
        <v>80</v>
      </c>
    </row>
    <row r="149" spans="3:8">
      <c r="C149" s="33" t="s">
        <v>38</v>
      </c>
      <c r="D149" s="33" t="s">
        <v>39</v>
      </c>
      <c r="E149" s="34" t="s">
        <v>40</v>
      </c>
      <c r="F149" s="34" t="s">
        <v>41</v>
      </c>
      <c r="G149" s="33" t="s">
        <v>16</v>
      </c>
      <c r="H149" s="229" t="s">
        <v>52</v>
      </c>
    </row>
    <row r="150" spans="3:8">
      <c r="C150" s="73">
        <f>'Rasio dan Penentuan Level'!C9</f>
        <v>33.622</v>
      </c>
      <c r="D150" s="73">
        <f>'Rasio dan Penentuan Level'!D9</f>
        <v>90.822000000000003</v>
      </c>
      <c r="E150" s="45">
        <f>'Rasio dan Penentuan Level'!E9</f>
        <v>7.3000000000000001E-3</v>
      </c>
      <c r="F150" s="74">
        <f>'Rasio dan Penentuan Level'!F9</f>
        <v>6297</v>
      </c>
      <c r="G150" s="46" t="s">
        <v>67</v>
      </c>
      <c r="H150" s="230"/>
    </row>
    <row r="151" spans="3:8">
      <c r="C151" s="67">
        <f>C128</f>
        <v>36.856999999999999</v>
      </c>
      <c r="D151" s="67">
        <f t="shared" ref="D151:F151" si="62">D128</f>
        <v>99.283000000000001</v>
      </c>
      <c r="E151" s="38">
        <f t="shared" si="62"/>
        <v>1.8E-3</v>
      </c>
      <c r="F151" s="52">
        <f t="shared" si="62"/>
        <v>6745.42</v>
      </c>
      <c r="G151" s="33" t="s">
        <v>115</v>
      </c>
      <c r="H151" s="35" t="s">
        <v>53</v>
      </c>
    </row>
    <row r="152" spans="3:8">
      <c r="C152" s="67" t="str">
        <f t="shared" ref="C152:F152" si="63">C129</f>
        <v>36,380 - 36,856</v>
      </c>
      <c r="D152" s="67" t="str">
        <f t="shared" si="63"/>
        <v xml:space="preserve">97,991 - 99,282 </v>
      </c>
      <c r="E152" s="38" t="str">
        <f t="shared" si="63"/>
        <v>0,0019 - 0,0030</v>
      </c>
      <c r="F152" s="52" t="str">
        <f t="shared" si="63"/>
        <v>6657,80 - 6745,41</v>
      </c>
      <c r="G152" s="97" t="s">
        <v>116</v>
      </c>
      <c r="H152" s="227" t="s">
        <v>54</v>
      </c>
    </row>
    <row r="153" spans="3:8">
      <c r="C153" s="67" t="str">
        <f t="shared" ref="C153:F153" si="64">C130</f>
        <v>35,901 - 36, 379</v>
      </c>
      <c r="D153" s="67" t="str">
        <f t="shared" si="64"/>
        <v>96,702 - 97,990</v>
      </c>
      <c r="E153" s="38" t="str">
        <f t="shared" si="64"/>
        <v>0,0031 - 0,0040</v>
      </c>
      <c r="F153" s="52" t="str">
        <f t="shared" si="64"/>
        <v>6570,20 - 6657,79</v>
      </c>
      <c r="G153" s="97" t="s">
        <v>117</v>
      </c>
      <c r="H153" s="227"/>
    </row>
    <row r="154" spans="3:8">
      <c r="C154" s="67" t="str">
        <f t="shared" ref="C154:F154" si="65">C131</f>
        <v>35,422 - 35,900</v>
      </c>
      <c r="D154" s="67" t="str">
        <f t="shared" si="65"/>
        <v xml:space="preserve">95,413 - 96,701 </v>
      </c>
      <c r="E154" s="38" t="str">
        <f t="shared" si="65"/>
        <v>0,0041 - 0,0050</v>
      </c>
      <c r="F154" s="52" t="str">
        <f t="shared" si="65"/>
        <v>6482,60 - 6570,19</v>
      </c>
      <c r="G154" s="97" t="s">
        <v>118</v>
      </c>
      <c r="H154" s="227"/>
    </row>
    <row r="155" spans="3:8">
      <c r="C155" s="67" t="str">
        <f t="shared" ref="C155:F155" si="66">C132</f>
        <v>34,943 - 35,421</v>
      </c>
      <c r="D155" s="67" t="str">
        <f t="shared" si="66"/>
        <v xml:space="preserve">94,124 - 95,412 </v>
      </c>
      <c r="E155" s="38" t="str">
        <f t="shared" si="66"/>
        <v>0,0051 - 0,0060</v>
      </c>
      <c r="F155" s="52" t="str">
        <f t="shared" si="66"/>
        <v xml:space="preserve">6395 - 6482,59 </v>
      </c>
      <c r="G155" s="97" t="s">
        <v>119</v>
      </c>
      <c r="H155" s="227"/>
    </row>
    <row r="156" spans="3:8">
      <c r="C156" s="67" t="str">
        <f t="shared" ref="C156:F156" si="67">C133</f>
        <v>34,464 - 34,942</v>
      </c>
      <c r="D156" s="67" t="str">
        <f t="shared" si="67"/>
        <v>92,835 - 94,123</v>
      </c>
      <c r="E156" s="38" t="str">
        <f t="shared" si="67"/>
        <v>0,0061 - 0,0070</v>
      </c>
      <c r="F156" s="52" t="str">
        <f t="shared" si="67"/>
        <v>6307,40 - 6394,99</v>
      </c>
      <c r="G156" s="97" t="s">
        <v>120</v>
      </c>
      <c r="H156" s="227" t="s">
        <v>55</v>
      </c>
    </row>
    <row r="157" spans="3:8">
      <c r="C157" s="67" t="str">
        <f t="shared" ref="C157:F157" si="68">C134</f>
        <v>33,985 - 34,463</v>
      </c>
      <c r="D157" s="67" t="str">
        <f t="shared" si="68"/>
        <v xml:space="preserve">91,546 - 92,834 </v>
      </c>
      <c r="E157" s="45" t="str">
        <f t="shared" si="68"/>
        <v>0,0071 - 0,0080</v>
      </c>
      <c r="F157" s="29" t="str">
        <f t="shared" si="68"/>
        <v>6219,80 - 6307,39</v>
      </c>
      <c r="G157" s="97" t="s">
        <v>121</v>
      </c>
      <c r="H157" s="227"/>
    </row>
    <row r="158" spans="3:8">
      <c r="C158" s="73" t="str">
        <f t="shared" ref="C158" si="69">C135</f>
        <v>33,506 - 33,984</v>
      </c>
      <c r="D158" s="73" t="str">
        <f>D135</f>
        <v>90,257 - 91,545</v>
      </c>
      <c r="E158" s="48" t="str">
        <f t="shared" ref="E158:F158" si="70">E135</f>
        <v xml:space="preserve">0,0081 - 0,0090 </v>
      </c>
      <c r="F158" s="69" t="str">
        <f t="shared" si="70"/>
        <v xml:space="preserve">6132,20 - 6219,79 </v>
      </c>
      <c r="G158" s="85" t="s">
        <v>122</v>
      </c>
      <c r="H158" s="227"/>
    </row>
    <row r="159" spans="3:8">
      <c r="C159" s="68" t="str">
        <f t="shared" ref="C159:F159" si="71">C136</f>
        <v>33,468 - 33,505</v>
      </c>
      <c r="D159" s="68" t="str">
        <f t="shared" si="71"/>
        <v xml:space="preserve">89,736 - 90,256 </v>
      </c>
      <c r="E159" s="48" t="str">
        <f t="shared" si="71"/>
        <v>0,0091 - 0,0095</v>
      </c>
      <c r="F159" s="69" t="str">
        <f t="shared" si="71"/>
        <v>6016,50 - 6132,19</v>
      </c>
      <c r="G159" s="97" t="s">
        <v>123</v>
      </c>
      <c r="H159" s="227" t="s">
        <v>56</v>
      </c>
    </row>
    <row r="160" spans="3:8">
      <c r="C160" s="68" t="str">
        <f t="shared" ref="C160:F160" si="72">C137</f>
        <v>33,430 - 33,467</v>
      </c>
      <c r="D160" s="68" t="str">
        <f t="shared" si="72"/>
        <v>89,214 - 89,735</v>
      </c>
      <c r="E160" s="48" t="str">
        <f t="shared" si="72"/>
        <v>0,0096 - 0,0101</v>
      </c>
      <c r="F160" s="69" t="str">
        <f t="shared" si="72"/>
        <v>5900,90 - 6016,49</v>
      </c>
      <c r="G160" s="97" t="s">
        <v>124</v>
      </c>
      <c r="H160" s="227"/>
    </row>
    <row r="161" spans="3:8">
      <c r="C161" s="68" t="str">
        <f t="shared" ref="C161:F161" si="73">C138</f>
        <v>33,392 - 33,429</v>
      </c>
      <c r="D161" s="68" t="str">
        <f t="shared" si="73"/>
        <v>88,692 - 89,213</v>
      </c>
      <c r="E161" s="48" t="str">
        <f t="shared" si="73"/>
        <v>0,0102 - 0,0107</v>
      </c>
      <c r="F161" s="69" t="str">
        <f t="shared" si="73"/>
        <v>5785,30 - 5900,89</v>
      </c>
      <c r="G161" s="37" t="s">
        <v>114</v>
      </c>
      <c r="H161" s="35" t="s">
        <v>57</v>
      </c>
    </row>
    <row r="162" spans="3:8">
      <c r="C162" s="36">
        <v>3</v>
      </c>
      <c r="D162" s="36">
        <v>3</v>
      </c>
      <c r="E162" s="51">
        <v>4</v>
      </c>
      <c r="F162" s="51">
        <v>4</v>
      </c>
      <c r="G162" s="36" t="s">
        <v>47</v>
      </c>
      <c r="H162" s="93"/>
    </row>
    <row r="163" spans="3:8">
      <c r="C163" s="90">
        <v>34</v>
      </c>
      <c r="D163" s="111">
        <v>9.6999999999999993</v>
      </c>
      <c r="E163" s="112">
        <v>27.9</v>
      </c>
      <c r="F163" s="112">
        <v>28.4</v>
      </c>
      <c r="G163" s="36" t="s">
        <v>68</v>
      </c>
      <c r="H163" s="93"/>
    </row>
    <row r="164" spans="3:8">
      <c r="C164" s="36">
        <f>C162*C163</f>
        <v>102</v>
      </c>
      <c r="D164" s="36">
        <f t="shared" ref="D164:F164" si="74">D162*D163</f>
        <v>29.099999999999998</v>
      </c>
      <c r="E164" s="36">
        <f t="shared" si="74"/>
        <v>111.6</v>
      </c>
      <c r="F164" s="36">
        <f t="shared" si="74"/>
        <v>113.6</v>
      </c>
      <c r="G164" s="47" t="s">
        <v>69</v>
      </c>
      <c r="H164" s="93"/>
    </row>
    <row r="165" spans="3:8">
      <c r="C165" s="36" t="str">
        <f>H156</f>
        <v>Sedang</v>
      </c>
      <c r="D165" s="36" t="str">
        <f>H156</f>
        <v>Sedang</v>
      </c>
      <c r="E165" s="51" t="str">
        <f>H156</f>
        <v>Sedang</v>
      </c>
      <c r="F165" s="36" t="str">
        <f>H156</f>
        <v>Sedang</v>
      </c>
      <c r="G165" s="47" t="s">
        <v>52</v>
      </c>
      <c r="H165" s="93"/>
    </row>
    <row r="166" spans="3:8">
      <c r="C166" s="228"/>
      <c r="D166" s="228"/>
      <c r="E166" s="228"/>
      <c r="F166" s="228"/>
      <c r="G166" s="228"/>
      <c r="H166" s="93"/>
    </row>
    <row r="167" spans="3:8">
      <c r="C167" s="225" t="s">
        <v>142</v>
      </c>
      <c r="D167" s="225"/>
      <c r="E167" s="36" t="s">
        <v>58</v>
      </c>
      <c r="F167" s="96" t="s">
        <v>125</v>
      </c>
      <c r="G167" s="36" t="s">
        <v>60</v>
      </c>
      <c r="H167" s="93"/>
    </row>
    <row r="168" spans="3:8" ht="30" customHeight="1">
      <c r="C168" s="225"/>
      <c r="D168" s="225"/>
      <c r="E168" s="36">
        <f>SUM(C164:F164)</f>
        <v>356.29999999999995</v>
      </c>
      <c r="F168" s="36">
        <f>E145</f>
        <v>356.29999999999995</v>
      </c>
      <c r="G168" s="167">
        <f>((E168-F168)/F168)*100%</f>
        <v>0</v>
      </c>
      <c r="H168" s="93"/>
    </row>
  </sheetData>
  <mergeCells count="44">
    <mergeCell ref="H4:L4"/>
    <mergeCell ref="B3:F3"/>
    <mergeCell ref="H152:H155"/>
    <mergeCell ref="H156:H158"/>
    <mergeCell ref="H159:H160"/>
    <mergeCell ref="H11:H12"/>
    <mergeCell ref="H14:H17"/>
    <mergeCell ref="H103:H104"/>
    <mergeCell ref="H106:H109"/>
    <mergeCell ref="H110:H112"/>
    <mergeCell ref="H34:H35"/>
    <mergeCell ref="H18:H20"/>
    <mergeCell ref="H21:H22"/>
    <mergeCell ref="H67:H68"/>
    <mergeCell ref="C29:D30"/>
    <mergeCell ref="C28:G28"/>
    <mergeCell ref="H113:H114"/>
    <mergeCell ref="C120:G120"/>
    <mergeCell ref="C121:D122"/>
    <mergeCell ref="H126:H127"/>
    <mergeCell ref="H129:H132"/>
    <mergeCell ref="C167:D168"/>
    <mergeCell ref="H133:H135"/>
    <mergeCell ref="H136:H137"/>
    <mergeCell ref="C143:G143"/>
    <mergeCell ref="C144:D145"/>
    <mergeCell ref="H149:H150"/>
    <mergeCell ref="C166:G166"/>
    <mergeCell ref="H37:H40"/>
    <mergeCell ref="H41:H43"/>
    <mergeCell ref="H44:H45"/>
    <mergeCell ref="C51:G51"/>
    <mergeCell ref="C52:D53"/>
    <mergeCell ref="H57:H58"/>
    <mergeCell ref="H60:H63"/>
    <mergeCell ref="H64:H66"/>
    <mergeCell ref="C74:G74"/>
    <mergeCell ref="C98:D99"/>
    <mergeCell ref="C75:D76"/>
    <mergeCell ref="H80:H81"/>
    <mergeCell ref="H83:H86"/>
    <mergeCell ref="H87:H89"/>
    <mergeCell ref="H90:H91"/>
    <mergeCell ref="C97:G97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L167"/>
  <sheetViews>
    <sheetView zoomScale="50" zoomScaleNormal="50" workbookViewId="0">
      <selection activeCell="G1" sqref="G1"/>
    </sheetView>
  </sheetViews>
  <sheetFormatPr defaultRowHeight="15.6"/>
  <cols>
    <col min="1" max="1" width="8.88671875" style="32"/>
    <col min="2" max="2" width="18.6640625" style="32" customWidth="1"/>
    <col min="3" max="5" width="19.77734375" style="32" customWidth="1"/>
    <col min="6" max="6" width="21.44140625" style="32" customWidth="1"/>
    <col min="7" max="7" width="20.5546875" style="32" customWidth="1"/>
    <col min="8" max="8" width="14.109375" style="32" customWidth="1"/>
    <col min="9" max="9" width="9.33203125" style="32" bestFit="1" customWidth="1"/>
    <col min="10" max="10" width="8.88671875" style="32"/>
    <col min="11" max="11" width="11.33203125" style="32" bestFit="1" customWidth="1"/>
    <col min="12" max="12" width="9.44140625" style="32" bestFit="1" customWidth="1"/>
    <col min="13" max="16384" width="8.88671875" style="32"/>
  </cols>
  <sheetData>
    <row r="2" spans="2:12">
      <c r="B2" s="32" t="s">
        <v>84</v>
      </c>
    </row>
    <row r="3" spans="2:12">
      <c r="B3" s="226" t="s">
        <v>101</v>
      </c>
      <c r="C3" s="226"/>
      <c r="D3" s="226"/>
      <c r="E3" s="226"/>
      <c r="F3" s="226"/>
      <c r="H3" s="32" t="s">
        <v>70</v>
      </c>
    </row>
    <row r="4" spans="2:12">
      <c r="B4" s="172" t="s">
        <v>51</v>
      </c>
      <c r="C4" s="172">
        <v>1</v>
      </c>
      <c r="D4" s="172">
        <v>2</v>
      </c>
      <c r="E4" s="172">
        <v>3</v>
      </c>
      <c r="F4" s="172">
        <v>4</v>
      </c>
      <c r="H4" s="226" t="s">
        <v>101</v>
      </c>
      <c r="I4" s="226"/>
      <c r="J4" s="226"/>
      <c r="K4" s="226"/>
      <c r="L4" s="226"/>
    </row>
    <row r="5" spans="2:12" ht="15" customHeight="1">
      <c r="B5" s="41" t="s">
        <v>138</v>
      </c>
      <c r="C5" s="61">
        <f>'Rasio dan Penentuan Level'!C27</f>
        <v>33.311999999999998</v>
      </c>
      <c r="D5" s="61">
        <f>'Rasio dan Penentuan Level'!D27</f>
        <v>86.960999999999999</v>
      </c>
      <c r="E5" s="42">
        <f>'Rasio dan Penentuan Level'!E27</f>
        <v>1.2800000000000001E-2</v>
      </c>
      <c r="F5" s="62">
        <f>'Rasio dan Penentuan Level'!F27</f>
        <v>5665.3</v>
      </c>
      <c r="H5" s="85" t="s">
        <v>51</v>
      </c>
      <c r="I5" s="85">
        <v>1</v>
      </c>
      <c r="J5" s="85">
        <v>2</v>
      </c>
      <c r="K5" s="85">
        <v>3</v>
      </c>
      <c r="L5" s="85">
        <v>4</v>
      </c>
    </row>
    <row r="6" spans="2:12" ht="15" customHeight="1">
      <c r="B6" s="174" t="s">
        <v>139</v>
      </c>
      <c r="C6" s="63">
        <f>'Rasio dan Penentuan Level'!I11</f>
        <v>33.442999999999998</v>
      </c>
      <c r="D6" s="63">
        <f>'Rasio dan Penentuan Level'!J11</f>
        <v>89.307000000000002</v>
      </c>
      <c r="E6" s="44">
        <f>'Rasio dan Penentuan Level'!K11</f>
        <v>9.9000000000000008E-3</v>
      </c>
      <c r="F6" s="187">
        <f>'Rasio dan Penentuan Level'!L11</f>
        <v>6098.7</v>
      </c>
      <c r="H6" s="56" t="s">
        <v>71</v>
      </c>
      <c r="I6" s="67">
        <f>(C7-C6)/(10-3)</f>
        <v>0.47775714285714344</v>
      </c>
      <c r="J6" s="67">
        <f>(D7-D6)/(10-3)</f>
        <v>1.275814285714286</v>
      </c>
      <c r="K6" s="38">
        <f>(E7-E6)/(10-3)</f>
        <v>-1.1314285714285716E-3</v>
      </c>
      <c r="L6" s="52">
        <f>(F7-F6)/(10-3)</f>
        <v>87.128571428571504</v>
      </c>
    </row>
    <row r="7" spans="2:12" ht="15" customHeight="1">
      <c r="B7" s="39" t="s">
        <v>140</v>
      </c>
      <c r="C7" s="64">
        <f>'Rasio dan Penentuan Level'!X6</f>
        <v>36.787300000000002</v>
      </c>
      <c r="D7" s="64">
        <f>'Rasio dan Penentuan Level'!X7</f>
        <v>98.237700000000004</v>
      </c>
      <c r="E7" s="40">
        <f>'Rasio dan Penentuan Level'!X8</f>
        <v>1.9799999999999996E-3</v>
      </c>
      <c r="F7" s="65">
        <v>6708.6</v>
      </c>
      <c r="H7" s="56" t="s">
        <v>72</v>
      </c>
      <c r="I7" s="67">
        <f>(C6-C5)/(3-0)</f>
        <v>4.3666666666666742E-2</v>
      </c>
      <c r="J7" s="67">
        <f>(D6-D5)/(3-0)</f>
        <v>0.78200000000000125</v>
      </c>
      <c r="K7" s="38">
        <f>(E6-E5)/(3-0)</f>
        <v>-9.6666666666666656E-4</v>
      </c>
      <c r="L7" s="52">
        <f>(F6-F5)/(3-0)</f>
        <v>144.46666666666655</v>
      </c>
    </row>
    <row r="10" spans="2:12">
      <c r="C10" s="32" t="s">
        <v>86</v>
      </c>
    </row>
    <row r="11" spans="2:12">
      <c r="C11" s="33" t="s">
        <v>38</v>
      </c>
      <c r="D11" s="33" t="s">
        <v>39</v>
      </c>
      <c r="E11" s="34" t="s">
        <v>40</v>
      </c>
      <c r="F11" s="34" t="s">
        <v>41</v>
      </c>
      <c r="G11" s="33" t="s">
        <v>16</v>
      </c>
      <c r="H11" s="229" t="s">
        <v>52</v>
      </c>
    </row>
    <row r="12" spans="2:12">
      <c r="C12" s="46"/>
      <c r="D12" s="46"/>
      <c r="E12" s="49"/>
      <c r="F12" s="49"/>
      <c r="G12" s="46" t="s">
        <v>67</v>
      </c>
      <c r="H12" s="230"/>
    </row>
    <row r="13" spans="2:12">
      <c r="C13" s="68">
        <f>C7</f>
        <v>36.787300000000002</v>
      </c>
      <c r="D13" s="68">
        <f>D7</f>
        <v>98.237700000000004</v>
      </c>
      <c r="E13" s="48">
        <f>E7</f>
        <v>1.9799999999999996E-3</v>
      </c>
      <c r="F13" s="69">
        <f>F7</f>
        <v>6708.6</v>
      </c>
      <c r="G13" s="33" t="s">
        <v>115</v>
      </c>
      <c r="H13" s="55" t="s">
        <v>53</v>
      </c>
    </row>
    <row r="14" spans="2:12">
      <c r="B14" s="98"/>
      <c r="C14" s="68">
        <f t="shared" ref="C14:C18" si="0">C15+0.478</f>
        <v>36.311000000000007</v>
      </c>
      <c r="D14" s="67">
        <f t="shared" ref="D14:D17" si="1">D15+1.276</f>
        <v>96.96299999999998</v>
      </c>
      <c r="E14" s="50">
        <f t="shared" ref="E14:E18" si="2">E15-0.0011</f>
        <v>3.2999999999999991E-3</v>
      </c>
      <c r="F14" s="70">
        <f>F15+87.13</f>
        <v>6621.4800000000005</v>
      </c>
      <c r="G14" s="97" t="s">
        <v>116</v>
      </c>
      <c r="H14" s="227" t="s">
        <v>54</v>
      </c>
    </row>
    <row r="15" spans="2:12">
      <c r="C15" s="68">
        <f t="shared" si="0"/>
        <v>35.833000000000006</v>
      </c>
      <c r="D15" s="67">
        <f t="shared" si="1"/>
        <v>95.686999999999983</v>
      </c>
      <c r="E15" s="50">
        <f t="shared" si="2"/>
        <v>4.3999999999999994E-3</v>
      </c>
      <c r="F15" s="70">
        <f>F16+87.13</f>
        <v>6534.35</v>
      </c>
      <c r="G15" s="97" t="s">
        <v>117</v>
      </c>
      <c r="H15" s="227"/>
    </row>
    <row r="16" spans="2:12">
      <c r="B16" s="98"/>
      <c r="C16" s="68">
        <f t="shared" si="0"/>
        <v>35.355000000000004</v>
      </c>
      <c r="D16" s="67">
        <f>D17+1.276</f>
        <v>94.410999999999987</v>
      </c>
      <c r="E16" s="50">
        <f t="shared" si="2"/>
        <v>5.4999999999999997E-3</v>
      </c>
      <c r="F16" s="70">
        <f t="shared" ref="F16:F18" si="3">F17+87.13</f>
        <v>6447.22</v>
      </c>
      <c r="G16" s="97" t="s">
        <v>118</v>
      </c>
      <c r="H16" s="227"/>
    </row>
    <row r="17" spans="3:8">
      <c r="C17" s="68">
        <f>C18+0.478</f>
        <v>34.877000000000002</v>
      </c>
      <c r="D17" s="67">
        <f t="shared" si="1"/>
        <v>93.134999999999991</v>
      </c>
      <c r="E17" s="50">
        <f t="shared" si="2"/>
        <v>6.6E-3</v>
      </c>
      <c r="F17" s="70">
        <f t="shared" si="3"/>
        <v>6360.09</v>
      </c>
      <c r="G17" s="97" t="s">
        <v>119</v>
      </c>
      <c r="H17" s="227"/>
    </row>
    <row r="18" spans="3:8">
      <c r="C18" s="68">
        <f t="shared" si="0"/>
        <v>34.399000000000001</v>
      </c>
      <c r="D18" s="67">
        <f>D19+1.276</f>
        <v>91.858999999999995</v>
      </c>
      <c r="E18" s="50">
        <f t="shared" si="2"/>
        <v>7.7000000000000002E-3</v>
      </c>
      <c r="F18" s="70">
        <f t="shared" si="3"/>
        <v>6272.96</v>
      </c>
      <c r="G18" s="97" t="s">
        <v>120</v>
      </c>
      <c r="H18" s="227" t="s">
        <v>55</v>
      </c>
    </row>
    <row r="19" spans="3:8">
      <c r="C19" s="68">
        <f>C20+0.478</f>
        <v>33.920999999999999</v>
      </c>
      <c r="D19" s="67">
        <f>D20+1.276</f>
        <v>90.582999999999998</v>
      </c>
      <c r="E19" s="50">
        <f>E20-0.0011</f>
        <v>8.8000000000000005E-3</v>
      </c>
      <c r="F19" s="70">
        <f>F20+87.13</f>
        <v>6185.83</v>
      </c>
      <c r="G19" s="97" t="s">
        <v>121</v>
      </c>
      <c r="H19" s="227"/>
    </row>
    <row r="20" spans="3:8">
      <c r="C20" s="68">
        <f>C6</f>
        <v>33.442999999999998</v>
      </c>
      <c r="D20" s="68">
        <f>D6</f>
        <v>89.307000000000002</v>
      </c>
      <c r="E20" s="48">
        <f>E6</f>
        <v>9.9000000000000008E-3</v>
      </c>
      <c r="F20" s="69">
        <f t="shared" ref="F20" si="4">F6</f>
        <v>6098.7</v>
      </c>
      <c r="G20" s="85" t="s">
        <v>122</v>
      </c>
      <c r="H20" s="227"/>
    </row>
    <row r="21" spans="3:8">
      <c r="C21" s="67">
        <f>C22+0.044</f>
        <v>33.399999999999991</v>
      </c>
      <c r="D21" s="67">
        <f>D22+0.782</f>
        <v>88.524999999999991</v>
      </c>
      <c r="E21" s="50">
        <f>E22-0.001</f>
        <v>1.0800000000000001E-2</v>
      </c>
      <c r="F21" s="72">
        <f>F22+144.47</f>
        <v>5954.2400000000007</v>
      </c>
      <c r="G21" s="97" t="s">
        <v>123</v>
      </c>
      <c r="H21" s="227" t="s">
        <v>56</v>
      </c>
    </row>
    <row r="22" spans="3:8">
      <c r="C22" s="67">
        <f>C23+0.044</f>
        <v>33.355999999999995</v>
      </c>
      <c r="D22" s="67">
        <f>D23+0.782</f>
        <v>87.742999999999995</v>
      </c>
      <c r="E22" s="50">
        <f>E23-0.001</f>
        <v>1.1800000000000001E-2</v>
      </c>
      <c r="F22" s="72">
        <f>F23+144.47</f>
        <v>5809.77</v>
      </c>
      <c r="G22" s="97" t="s">
        <v>124</v>
      </c>
      <c r="H22" s="227"/>
    </row>
    <row r="23" spans="3:8">
      <c r="C23" s="68">
        <f>C5</f>
        <v>33.311999999999998</v>
      </c>
      <c r="D23" s="68">
        <f>D5</f>
        <v>86.960999999999999</v>
      </c>
      <c r="E23" s="48">
        <f>E5</f>
        <v>1.2800000000000001E-2</v>
      </c>
      <c r="F23" s="69">
        <f>F5</f>
        <v>5665.3</v>
      </c>
      <c r="G23" s="37" t="s">
        <v>114</v>
      </c>
      <c r="H23" s="55" t="s">
        <v>57</v>
      </c>
    </row>
    <row r="24" spans="3:8">
      <c r="C24" s="56"/>
      <c r="D24" s="56"/>
      <c r="E24" s="51"/>
      <c r="F24" s="51"/>
      <c r="G24" s="56" t="s">
        <v>47</v>
      </c>
      <c r="H24" s="93"/>
    </row>
    <row r="25" spans="3:8">
      <c r="C25" s="90">
        <v>34</v>
      </c>
      <c r="D25" s="111">
        <v>9.6999999999999993</v>
      </c>
      <c r="E25" s="112">
        <v>27.9</v>
      </c>
      <c r="F25" s="112">
        <v>28.4</v>
      </c>
      <c r="G25" s="56" t="s">
        <v>68</v>
      </c>
      <c r="H25" s="93"/>
    </row>
    <row r="26" spans="3:8">
      <c r="C26" s="56"/>
      <c r="D26" s="56"/>
      <c r="E26" s="51"/>
      <c r="F26" s="56"/>
      <c r="G26" s="47" t="s">
        <v>69</v>
      </c>
      <c r="H26" s="93"/>
    </row>
    <row r="27" spans="3:8">
      <c r="C27" s="56"/>
      <c r="D27" s="56"/>
      <c r="E27" s="51"/>
      <c r="F27" s="56"/>
      <c r="G27" s="47" t="s">
        <v>52</v>
      </c>
      <c r="H27" s="93"/>
    </row>
    <row r="28" spans="3:8">
      <c r="C28" s="228"/>
      <c r="D28" s="228"/>
      <c r="E28" s="228"/>
      <c r="F28" s="228"/>
      <c r="G28" s="228"/>
      <c r="H28" s="93"/>
    </row>
    <row r="29" spans="3:8">
      <c r="C29" s="225" t="s">
        <v>142</v>
      </c>
      <c r="D29" s="225"/>
      <c r="E29" s="56" t="s">
        <v>58</v>
      </c>
      <c r="F29" s="56" t="s">
        <v>59</v>
      </c>
      <c r="G29" s="56" t="s">
        <v>60</v>
      </c>
      <c r="H29" s="93"/>
    </row>
    <row r="30" spans="3:8" ht="30" customHeight="1">
      <c r="C30" s="225"/>
      <c r="D30" s="225"/>
      <c r="E30" s="56"/>
      <c r="F30" s="56"/>
      <c r="G30" s="96"/>
      <c r="H30" s="93"/>
    </row>
    <row r="33" spans="3:8">
      <c r="C33" s="32" t="s">
        <v>87</v>
      </c>
    </row>
    <row r="34" spans="3:8">
      <c r="C34" s="33" t="s">
        <v>38</v>
      </c>
      <c r="D34" s="33" t="s">
        <v>39</v>
      </c>
      <c r="E34" s="185" t="s">
        <v>40</v>
      </c>
      <c r="F34" s="185" t="s">
        <v>41</v>
      </c>
      <c r="G34" s="33" t="s">
        <v>16</v>
      </c>
      <c r="H34" s="225" t="s">
        <v>52</v>
      </c>
    </row>
    <row r="35" spans="3:8">
      <c r="C35" s="46">
        <f>'Rasio dan Penentuan Level'!C18</f>
        <v>33.374000000000002</v>
      </c>
      <c r="D35" s="46">
        <f>'Rasio dan Penentuan Level'!D18</f>
        <v>88.521000000000001</v>
      </c>
      <c r="E35" s="46">
        <f>'Rasio dan Penentuan Level'!E18</f>
        <v>1.2800000000000001E-2</v>
      </c>
      <c r="F35" s="46">
        <f>'Rasio dan Penentuan Level'!F18</f>
        <v>5665.3</v>
      </c>
      <c r="G35" s="46" t="s">
        <v>67</v>
      </c>
      <c r="H35" s="225"/>
    </row>
    <row r="36" spans="3:8">
      <c r="C36" s="68">
        <v>36.786999999999999</v>
      </c>
      <c r="D36" s="68">
        <v>98.238</v>
      </c>
      <c r="E36" s="48">
        <v>2E-3</v>
      </c>
      <c r="F36" s="69">
        <v>6708.6</v>
      </c>
      <c r="G36" s="33" t="s">
        <v>115</v>
      </c>
      <c r="H36" s="173" t="s">
        <v>53</v>
      </c>
    </row>
    <row r="37" spans="3:8">
      <c r="C37" s="68" t="s">
        <v>156</v>
      </c>
      <c r="D37" s="68" t="s">
        <v>166</v>
      </c>
      <c r="E37" s="48" t="s">
        <v>185</v>
      </c>
      <c r="F37" s="69" t="s">
        <v>176</v>
      </c>
      <c r="G37" s="172" t="s">
        <v>116</v>
      </c>
      <c r="H37" s="225" t="s">
        <v>54</v>
      </c>
    </row>
    <row r="38" spans="3:8">
      <c r="C38" s="68" t="s">
        <v>155</v>
      </c>
      <c r="D38" s="68" t="s">
        <v>165</v>
      </c>
      <c r="E38" s="48" t="s">
        <v>184</v>
      </c>
      <c r="F38" s="69" t="s">
        <v>175</v>
      </c>
      <c r="G38" s="172" t="s">
        <v>117</v>
      </c>
      <c r="H38" s="225"/>
    </row>
    <row r="39" spans="3:8">
      <c r="C39" s="68" t="s">
        <v>154</v>
      </c>
      <c r="D39" s="68" t="s">
        <v>164</v>
      </c>
      <c r="E39" s="48" t="s">
        <v>183</v>
      </c>
      <c r="F39" s="69" t="s">
        <v>174</v>
      </c>
      <c r="G39" s="172" t="s">
        <v>118</v>
      </c>
      <c r="H39" s="225"/>
    </row>
    <row r="40" spans="3:8">
      <c r="C40" s="68" t="s">
        <v>153</v>
      </c>
      <c r="D40" s="68" t="s">
        <v>163</v>
      </c>
      <c r="E40" s="48" t="s">
        <v>186</v>
      </c>
      <c r="F40" s="69" t="s">
        <v>173</v>
      </c>
      <c r="G40" s="172" t="s">
        <v>119</v>
      </c>
      <c r="H40" s="225"/>
    </row>
    <row r="41" spans="3:8">
      <c r="C41" s="68" t="s">
        <v>152</v>
      </c>
      <c r="D41" s="68" t="s">
        <v>162</v>
      </c>
      <c r="E41" s="48" t="s">
        <v>182</v>
      </c>
      <c r="F41" s="69" t="s">
        <v>172</v>
      </c>
      <c r="G41" s="172" t="s">
        <v>120</v>
      </c>
      <c r="H41" s="225" t="s">
        <v>55</v>
      </c>
    </row>
    <row r="42" spans="3:8">
      <c r="C42" s="68" t="s">
        <v>151</v>
      </c>
      <c r="D42" s="68" t="s">
        <v>161</v>
      </c>
      <c r="E42" s="48" t="s">
        <v>181</v>
      </c>
      <c r="F42" s="69" t="s">
        <v>171</v>
      </c>
      <c r="G42" s="172" t="s">
        <v>121</v>
      </c>
      <c r="H42" s="225"/>
    </row>
    <row r="43" spans="3:8">
      <c r="C43" s="68" t="s">
        <v>150</v>
      </c>
      <c r="D43" s="68" t="s">
        <v>160</v>
      </c>
      <c r="E43" s="48" t="s">
        <v>180</v>
      </c>
      <c r="F43" s="69" t="s">
        <v>170</v>
      </c>
      <c r="G43" s="186" t="s">
        <v>122</v>
      </c>
      <c r="H43" s="225"/>
    </row>
    <row r="44" spans="3:8">
      <c r="C44" s="68" t="s">
        <v>149</v>
      </c>
      <c r="D44" s="68" t="s">
        <v>159</v>
      </c>
      <c r="E44" s="48" t="s">
        <v>179</v>
      </c>
      <c r="F44" s="69" t="s">
        <v>169</v>
      </c>
      <c r="G44" s="172" t="s">
        <v>123</v>
      </c>
      <c r="H44" s="225" t="s">
        <v>56</v>
      </c>
    </row>
    <row r="45" spans="3:8">
      <c r="C45" s="73" t="s">
        <v>148</v>
      </c>
      <c r="D45" s="73" t="s">
        <v>158</v>
      </c>
      <c r="E45" s="48" t="s">
        <v>178</v>
      </c>
      <c r="F45" s="69" t="s">
        <v>168</v>
      </c>
      <c r="G45" s="172" t="s">
        <v>124</v>
      </c>
      <c r="H45" s="225"/>
    </row>
    <row r="46" spans="3:8">
      <c r="C46" s="68" t="s">
        <v>147</v>
      </c>
      <c r="D46" s="68" t="s">
        <v>157</v>
      </c>
      <c r="E46" s="45" t="s">
        <v>177</v>
      </c>
      <c r="F46" s="29" t="s">
        <v>167</v>
      </c>
      <c r="G46" s="37" t="s">
        <v>114</v>
      </c>
      <c r="H46" s="173" t="s">
        <v>57</v>
      </c>
    </row>
    <row r="47" spans="3:8">
      <c r="C47" s="172">
        <v>1</v>
      </c>
      <c r="D47" s="172">
        <v>1</v>
      </c>
      <c r="E47" s="172">
        <v>0</v>
      </c>
      <c r="F47" s="172">
        <v>0</v>
      </c>
      <c r="G47" s="172" t="s">
        <v>47</v>
      </c>
      <c r="H47" s="20"/>
    </row>
    <row r="48" spans="3:8">
      <c r="C48" s="90">
        <v>34</v>
      </c>
      <c r="D48" s="172">
        <v>9.6999999999999993</v>
      </c>
      <c r="E48" s="172">
        <v>27.9</v>
      </c>
      <c r="F48" s="172">
        <v>28.4</v>
      </c>
      <c r="G48" s="172" t="s">
        <v>68</v>
      </c>
      <c r="H48" s="20"/>
    </row>
    <row r="49" spans="3:8">
      <c r="C49" s="172">
        <f>C47*C48</f>
        <v>34</v>
      </c>
      <c r="D49" s="172">
        <f t="shared" ref="D49:F49" si="5">D47*D48</f>
        <v>9.6999999999999993</v>
      </c>
      <c r="E49" s="172">
        <f t="shared" si="5"/>
        <v>0</v>
      </c>
      <c r="F49" s="172">
        <f t="shared" si="5"/>
        <v>0</v>
      </c>
      <c r="G49" s="172" t="s">
        <v>69</v>
      </c>
      <c r="H49" s="20"/>
    </row>
    <row r="50" spans="3:8">
      <c r="C50" s="172" t="str">
        <f>H44</f>
        <v>Buruk</v>
      </c>
      <c r="D50" s="172" t="str">
        <f>H44</f>
        <v>Buruk</v>
      </c>
      <c r="E50" s="172" t="str">
        <f>H46</f>
        <v>Sangat Buruk</v>
      </c>
      <c r="F50" s="172" t="str">
        <f>H46</f>
        <v>Sangat Buruk</v>
      </c>
      <c r="G50" s="172" t="s">
        <v>52</v>
      </c>
      <c r="H50" s="20"/>
    </row>
    <row r="51" spans="3:8">
      <c r="C51" s="225" t="s">
        <v>142</v>
      </c>
      <c r="D51" s="225"/>
      <c r="E51" s="172" t="s">
        <v>58</v>
      </c>
      <c r="F51" s="172" t="s">
        <v>125</v>
      </c>
      <c r="G51" s="172" t="s">
        <v>60</v>
      </c>
      <c r="H51" s="20"/>
    </row>
    <row r="52" spans="3:8" ht="30" customHeight="1">
      <c r="C52" s="225"/>
      <c r="D52" s="225"/>
      <c r="E52" s="172">
        <f>SUM(C49:F49)</f>
        <v>43.7</v>
      </c>
      <c r="F52" s="172">
        <v>0</v>
      </c>
      <c r="G52" s="103">
        <v>0</v>
      </c>
      <c r="H52" s="20"/>
    </row>
    <row r="55" spans="3:8">
      <c r="C55" s="32" t="s">
        <v>88</v>
      </c>
    </row>
    <row r="56" spans="3:8">
      <c r="C56" s="33" t="s">
        <v>38</v>
      </c>
      <c r="D56" s="33" t="s">
        <v>39</v>
      </c>
      <c r="E56" s="34" t="s">
        <v>40</v>
      </c>
      <c r="F56" s="34" t="s">
        <v>41</v>
      </c>
      <c r="G56" s="33" t="s">
        <v>16</v>
      </c>
      <c r="H56" s="229" t="s">
        <v>52</v>
      </c>
    </row>
    <row r="57" spans="3:8">
      <c r="C57" s="46">
        <f>'Rasio dan Penentuan Level'!C19</f>
        <v>33.404000000000003</v>
      </c>
      <c r="D57" s="46">
        <f>'Rasio dan Penentuan Level'!D19</f>
        <v>88.709000000000003</v>
      </c>
      <c r="E57" s="46">
        <f>'Rasio dan Penentuan Level'!E19</f>
        <v>1.09E-2</v>
      </c>
      <c r="F57" s="46">
        <f>'Rasio dan Penentuan Level'!F19</f>
        <v>6091.3</v>
      </c>
      <c r="G57" s="46" t="s">
        <v>67</v>
      </c>
      <c r="H57" s="230"/>
    </row>
    <row r="58" spans="3:8">
      <c r="C58" s="67">
        <f>C36</f>
        <v>36.786999999999999</v>
      </c>
      <c r="D58" s="67">
        <f t="shared" ref="D58:F58" si="6">D36</f>
        <v>98.238</v>
      </c>
      <c r="E58" s="38">
        <f t="shared" si="6"/>
        <v>2E-3</v>
      </c>
      <c r="F58" s="52">
        <f t="shared" si="6"/>
        <v>6708.6</v>
      </c>
      <c r="G58" s="33" t="s">
        <v>115</v>
      </c>
      <c r="H58" s="55" t="s">
        <v>53</v>
      </c>
    </row>
    <row r="59" spans="3:8">
      <c r="C59" s="67" t="str">
        <f t="shared" ref="C59:F63" si="7">C37</f>
        <v>36,311 - 36,786</v>
      </c>
      <c r="D59" s="67" t="str">
        <f t="shared" si="7"/>
        <v>96,963 - 98,237</v>
      </c>
      <c r="E59" s="38" t="str">
        <f t="shared" si="7"/>
        <v>0,0021 - 0,0033</v>
      </c>
      <c r="F59" s="52" t="str">
        <f t="shared" si="7"/>
        <v>6621,48 - 6708,59</v>
      </c>
      <c r="G59" s="97" t="s">
        <v>116</v>
      </c>
      <c r="H59" s="227" t="s">
        <v>54</v>
      </c>
    </row>
    <row r="60" spans="3:8">
      <c r="C60" s="67" t="str">
        <f t="shared" si="7"/>
        <v>35,833 - 36,310</v>
      </c>
      <c r="D60" s="67" t="str">
        <f t="shared" si="7"/>
        <v>95,687 - 96,962</v>
      </c>
      <c r="E60" s="38" t="str">
        <f t="shared" si="7"/>
        <v>0,0034 - 0,0044</v>
      </c>
      <c r="F60" s="52" t="str">
        <f t="shared" si="7"/>
        <v>6534,35 - 6621,47</v>
      </c>
      <c r="G60" s="97" t="s">
        <v>117</v>
      </c>
      <c r="H60" s="227"/>
    </row>
    <row r="61" spans="3:8">
      <c r="C61" s="67" t="str">
        <f t="shared" si="7"/>
        <v>35,355 - 35,832</v>
      </c>
      <c r="D61" s="67" t="str">
        <f t="shared" si="7"/>
        <v>94,411 - 95,686</v>
      </c>
      <c r="E61" s="38" t="str">
        <f t="shared" si="7"/>
        <v>0,0045 - 0,0055</v>
      </c>
      <c r="F61" s="52" t="str">
        <f t="shared" si="7"/>
        <v>6447,22 - 6534,34</v>
      </c>
      <c r="G61" s="97" t="s">
        <v>118</v>
      </c>
      <c r="H61" s="227"/>
    </row>
    <row r="62" spans="3:8">
      <c r="C62" s="67" t="str">
        <f t="shared" si="7"/>
        <v>34,877 - 35,354</v>
      </c>
      <c r="D62" s="67" t="str">
        <f t="shared" si="7"/>
        <v>93,135 - 94,410</v>
      </c>
      <c r="E62" s="38" t="str">
        <f t="shared" si="7"/>
        <v>0,0056 - 0,0066</v>
      </c>
      <c r="F62" s="52" t="str">
        <f t="shared" si="7"/>
        <v>6360,09 - 6447,21</v>
      </c>
      <c r="G62" s="97" t="s">
        <v>119</v>
      </c>
      <c r="H62" s="227"/>
    </row>
    <row r="63" spans="3:8">
      <c r="C63" s="67" t="str">
        <f>C41</f>
        <v>34,399 - 34,876</v>
      </c>
      <c r="D63" s="67" t="str">
        <f t="shared" si="7"/>
        <v>91,859 - 93,134</v>
      </c>
      <c r="E63" s="38" t="str">
        <f t="shared" si="7"/>
        <v>0,0067 - 0,0077</v>
      </c>
      <c r="F63" s="52" t="str">
        <f t="shared" si="7"/>
        <v>6272,96 - 6360,08</v>
      </c>
      <c r="G63" s="97" t="s">
        <v>120</v>
      </c>
      <c r="H63" s="227" t="s">
        <v>55</v>
      </c>
    </row>
    <row r="64" spans="3:8">
      <c r="C64" s="67" t="str">
        <f t="shared" ref="C64:F68" si="8">C42</f>
        <v>33,921 - 34,398</v>
      </c>
      <c r="D64" s="67" t="str">
        <f t="shared" si="8"/>
        <v>90,583 - 91,858</v>
      </c>
      <c r="E64" s="38" t="str">
        <f t="shared" si="8"/>
        <v>0,0078 - 0,0088</v>
      </c>
      <c r="F64" s="52" t="str">
        <f t="shared" si="8"/>
        <v>6185,83 - 6272,65</v>
      </c>
      <c r="G64" s="97" t="s">
        <v>121</v>
      </c>
      <c r="H64" s="227"/>
    </row>
    <row r="65" spans="3:8">
      <c r="C65" s="67" t="str">
        <f t="shared" si="8"/>
        <v>33,443 - 33,920</v>
      </c>
      <c r="D65" s="67" t="str">
        <f>D43</f>
        <v>89,307 - 90,582</v>
      </c>
      <c r="E65" s="38" t="str">
        <f t="shared" si="8"/>
        <v>0,0089 - 0,0099</v>
      </c>
      <c r="F65" s="52" t="str">
        <f t="shared" si="8"/>
        <v>6098,70 - 6185,82</v>
      </c>
      <c r="G65" s="85" t="s">
        <v>122</v>
      </c>
      <c r="H65" s="227"/>
    </row>
    <row r="66" spans="3:8">
      <c r="C66" s="73" t="str">
        <f>C44</f>
        <v>33,400 - 33,442</v>
      </c>
      <c r="D66" s="73" t="str">
        <f t="shared" si="8"/>
        <v>88,525 - 89,306</v>
      </c>
      <c r="E66" s="38" t="str">
        <f t="shared" si="8"/>
        <v>0,0100 - 0,0108</v>
      </c>
      <c r="F66" s="29" t="str">
        <f t="shared" si="8"/>
        <v>5954,24 - 6098,69</v>
      </c>
      <c r="G66" s="97" t="s">
        <v>123</v>
      </c>
      <c r="H66" s="227" t="s">
        <v>56</v>
      </c>
    </row>
    <row r="67" spans="3:8">
      <c r="C67" s="67" t="str">
        <f t="shared" si="8"/>
        <v>33,356 - 33,399</v>
      </c>
      <c r="D67" s="67" t="str">
        <f t="shared" si="8"/>
        <v>87,743 - 88,524</v>
      </c>
      <c r="E67" s="45" t="str">
        <f t="shared" si="8"/>
        <v>0,0109 - 0,0118</v>
      </c>
      <c r="F67" s="52" t="str">
        <f t="shared" si="8"/>
        <v>5809,77 - 5954,23</v>
      </c>
      <c r="G67" s="97" t="s">
        <v>124</v>
      </c>
      <c r="H67" s="227"/>
    </row>
    <row r="68" spans="3:8">
      <c r="C68" s="67" t="str">
        <f t="shared" si="8"/>
        <v>33,312 - 33,355</v>
      </c>
      <c r="D68" s="67" t="str">
        <f t="shared" si="8"/>
        <v>86,961 - 87,742</v>
      </c>
      <c r="E68" s="38" t="str">
        <f t="shared" si="8"/>
        <v>0,0119 - 0,0128</v>
      </c>
      <c r="F68" s="52" t="str">
        <f t="shared" si="8"/>
        <v>5665,30 - 5809,76</v>
      </c>
      <c r="G68" s="37" t="s">
        <v>114</v>
      </c>
      <c r="H68" s="55" t="s">
        <v>57</v>
      </c>
    </row>
    <row r="69" spans="3:8">
      <c r="C69" s="56">
        <v>2</v>
      </c>
      <c r="D69" s="56">
        <v>2</v>
      </c>
      <c r="E69" s="51">
        <v>1</v>
      </c>
      <c r="F69" s="51">
        <v>2</v>
      </c>
      <c r="G69" s="56" t="s">
        <v>47</v>
      </c>
      <c r="H69" s="93"/>
    </row>
    <row r="70" spans="3:8">
      <c r="C70" s="90">
        <v>34</v>
      </c>
      <c r="D70" s="111">
        <v>9.6999999999999993</v>
      </c>
      <c r="E70" s="112">
        <v>27.9</v>
      </c>
      <c r="F70" s="112">
        <v>28.4</v>
      </c>
      <c r="G70" s="56" t="s">
        <v>68</v>
      </c>
      <c r="H70" s="93"/>
    </row>
    <row r="71" spans="3:8">
      <c r="C71" s="56">
        <f>C69*C70</f>
        <v>68</v>
      </c>
      <c r="D71" s="56">
        <f t="shared" ref="D71:F71" si="9">D69*D70</f>
        <v>19.399999999999999</v>
      </c>
      <c r="E71" s="56">
        <f t="shared" si="9"/>
        <v>27.9</v>
      </c>
      <c r="F71" s="56">
        <f t="shared" si="9"/>
        <v>56.8</v>
      </c>
      <c r="G71" s="47" t="s">
        <v>69</v>
      </c>
      <c r="H71" s="93"/>
    </row>
    <row r="72" spans="3:8">
      <c r="C72" s="56" t="str">
        <f>H66</f>
        <v>Buruk</v>
      </c>
      <c r="D72" s="57" t="str">
        <f>H66</f>
        <v>Buruk</v>
      </c>
      <c r="E72" s="57" t="str">
        <f>H66</f>
        <v>Buruk</v>
      </c>
      <c r="F72" s="57" t="str">
        <f>H66</f>
        <v>Buruk</v>
      </c>
      <c r="G72" s="47" t="s">
        <v>52</v>
      </c>
      <c r="H72" s="93"/>
    </row>
    <row r="73" spans="3:8">
      <c r="C73" s="228"/>
      <c r="D73" s="228"/>
      <c r="E73" s="228"/>
      <c r="F73" s="228"/>
      <c r="G73" s="228"/>
      <c r="H73" s="93"/>
    </row>
    <row r="74" spans="3:8">
      <c r="C74" s="225" t="s">
        <v>142</v>
      </c>
      <c r="D74" s="225"/>
      <c r="E74" s="56" t="s">
        <v>58</v>
      </c>
      <c r="F74" s="96" t="s">
        <v>125</v>
      </c>
      <c r="G74" s="56" t="s">
        <v>60</v>
      </c>
      <c r="H74" s="93"/>
    </row>
    <row r="75" spans="3:8" ht="30" customHeight="1">
      <c r="C75" s="225"/>
      <c r="D75" s="225"/>
      <c r="E75" s="71">
        <f>SUM(C71:F71)</f>
        <v>172.10000000000002</v>
      </c>
      <c r="F75" s="56">
        <f>E52</f>
        <v>43.7</v>
      </c>
      <c r="G75" s="99">
        <f>((E75-F75)/F75)*100%</f>
        <v>2.9382151029748291</v>
      </c>
      <c r="H75" s="93"/>
    </row>
    <row r="78" spans="3:8">
      <c r="C78" s="32" t="s">
        <v>89</v>
      </c>
    </row>
    <row r="79" spans="3:8">
      <c r="C79" s="33" t="s">
        <v>38</v>
      </c>
      <c r="D79" s="33" t="s">
        <v>39</v>
      </c>
      <c r="E79" s="34" t="s">
        <v>40</v>
      </c>
      <c r="F79" s="34" t="s">
        <v>41</v>
      </c>
      <c r="G79" s="33" t="s">
        <v>16</v>
      </c>
      <c r="H79" s="229" t="s">
        <v>52</v>
      </c>
    </row>
    <row r="80" spans="3:8">
      <c r="C80" s="46">
        <f>'Rasio dan Penentuan Level'!C20</f>
        <v>33.311999999999998</v>
      </c>
      <c r="D80" s="46">
        <f>'Rasio dan Penentuan Level'!D20</f>
        <v>86.960999999999999</v>
      </c>
      <c r="E80" s="46">
        <f>'Rasio dan Penentuan Level'!E20</f>
        <v>1.0699999999999999E-2</v>
      </c>
      <c r="F80" s="46">
        <f>'Rasio dan Penentuan Level'!F20</f>
        <v>6000.3</v>
      </c>
      <c r="G80" s="46" t="s">
        <v>67</v>
      </c>
      <c r="H80" s="230"/>
    </row>
    <row r="81" spans="3:8">
      <c r="C81" s="67">
        <f>C58</f>
        <v>36.786999999999999</v>
      </c>
      <c r="D81" s="67">
        <f t="shared" ref="D81:F81" si="10">D58</f>
        <v>98.238</v>
      </c>
      <c r="E81" s="38">
        <f t="shared" si="10"/>
        <v>2E-3</v>
      </c>
      <c r="F81" s="52">
        <f t="shared" si="10"/>
        <v>6708.6</v>
      </c>
      <c r="G81" s="33" t="s">
        <v>115</v>
      </c>
      <c r="H81" s="55" t="s">
        <v>53</v>
      </c>
    </row>
    <row r="82" spans="3:8">
      <c r="C82" s="67" t="str">
        <f t="shared" ref="C82:F91" si="11">C59</f>
        <v>36,311 - 36,786</v>
      </c>
      <c r="D82" s="67" t="str">
        <f t="shared" si="11"/>
        <v>96,963 - 98,237</v>
      </c>
      <c r="E82" s="38" t="str">
        <f t="shared" si="11"/>
        <v>0,0021 - 0,0033</v>
      </c>
      <c r="F82" s="52" t="str">
        <f t="shared" si="11"/>
        <v>6621,48 - 6708,59</v>
      </c>
      <c r="G82" s="97" t="s">
        <v>116</v>
      </c>
      <c r="H82" s="227" t="s">
        <v>54</v>
      </c>
    </row>
    <row r="83" spans="3:8">
      <c r="C83" s="67" t="str">
        <f t="shared" si="11"/>
        <v>35,833 - 36,310</v>
      </c>
      <c r="D83" s="67" t="str">
        <f t="shared" si="11"/>
        <v>95,687 - 96,962</v>
      </c>
      <c r="E83" s="38" t="str">
        <f t="shared" si="11"/>
        <v>0,0034 - 0,0044</v>
      </c>
      <c r="F83" s="52" t="str">
        <f t="shared" si="11"/>
        <v>6534,35 - 6621,47</v>
      </c>
      <c r="G83" s="97" t="s">
        <v>117</v>
      </c>
      <c r="H83" s="227"/>
    </row>
    <row r="84" spans="3:8">
      <c r="C84" s="67" t="str">
        <f t="shared" si="11"/>
        <v>35,355 - 35,832</v>
      </c>
      <c r="D84" s="67" t="str">
        <f t="shared" si="11"/>
        <v>94,411 - 95,686</v>
      </c>
      <c r="E84" s="38" t="str">
        <f t="shared" si="11"/>
        <v>0,0045 - 0,0055</v>
      </c>
      <c r="F84" s="52" t="str">
        <f t="shared" si="11"/>
        <v>6447,22 - 6534,34</v>
      </c>
      <c r="G84" s="97" t="s">
        <v>118</v>
      </c>
      <c r="H84" s="227"/>
    </row>
    <row r="85" spans="3:8">
      <c r="C85" s="67" t="str">
        <f t="shared" si="11"/>
        <v>34,877 - 35,354</v>
      </c>
      <c r="D85" s="67" t="str">
        <f t="shared" si="11"/>
        <v>93,135 - 94,410</v>
      </c>
      <c r="E85" s="38" t="str">
        <f t="shared" si="11"/>
        <v>0,0056 - 0,0066</v>
      </c>
      <c r="F85" s="52" t="str">
        <f t="shared" si="11"/>
        <v>6360,09 - 6447,21</v>
      </c>
      <c r="G85" s="97" t="s">
        <v>119</v>
      </c>
      <c r="H85" s="227"/>
    </row>
    <row r="86" spans="3:8">
      <c r="C86" s="67" t="str">
        <f t="shared" si="11"/>
        <v>34,399 - 34,876</v>
      </c>
      <c r="D86" s="67" t="str">
        <f t="shared" si="11"/>
        <v>91,859 - 93,134</v>
      </c>
      <c r="E86" s="38" t="str">
        <f t="shared" si="11"/>
        <v>0,0067 - 0,0077</v>
      </c>
      <c r="F86" s="52" t="str">
        <f t="shared" si="11"/>
        <v>6272,96 - 6360,08</v>
      </c>
      <c r="G86" s="97" t="s">
        <v>120</v>
      </c>
      <c r="H86" s="227" t="s">
        <v>55</v>
      </c>
    </row>
    <row r="87" spans="3:8">
      <c r="C87" s="67" t="str">
        <f t="shared" si="11"/>
        <v>33,921 - 34,398</v>
      </c>
      <c r="D87" s="67" t="str">
        <f t="shared" si="11"/>
        <v>90,583 - 91,858</v>
      </c>
      <c r="E87" s="38" t="str">
        <f t="shared" si="11"/>
        <v>0,0078 - 0,0088</v>
      </c>
      <c r="F87" s="52" t="str">
        <f t="shared" si="11"/>
        <v>6185,83 - 6272,65</v>
      </c>
      <c r="G87" s="97" t="s">
        <v>121</v>
      </c>
      <c r="H87" s="227"/>
    </row>
    <row r="88" spans="3:8">
      <c r="C88" s="67" t="str">
        <f t="shared" si="11"/>
        <v>33,443 - 33,920</v>
      </c>
      <c r="D88" s="67" t="str">
        <f>D65</f>
        <v>89,307 - 90,582</v>
      </c>
      <c r="E88" s="38" t="str">
        <f t="shared" si="11"/>
        <v>0,0089 - 0,0099</v>
      </c>
      <c r="F88" s="52" t="str">
        <f t="shared" si="11"/>
        <v>6098,70 - 6185,82</v>
      </c>
      <c r="G88" s="85" t="s">
        <v>122</v>
      </c>
      <c r="H88" s="227"/>
    </row>
    <row r="89" spans="3:8">
      <c r="C89" s="67" t="str">
        <f t="shared" si="11"/>
        <v>33,400 - 33,442</v>
      </c>
      <c r="D89" s="67" t="str">
        <f t="shared" si="11"/>
        <v>88,525 - 89,306</v>
      </c>
      <c r="E89" s="45" t="str">
        <f t="shared" si="11"/>
        <v>0,0100 - 0,0108</v>
      </c>
      <c r="F89" s="29" t="str">
        <f t="shared" si="11"/>
        <v>5954,24 - 6098,69</v>
      </c>
      <c r="G89" s="97" t="s">
        <v>123</v>
      </c>
      <c r="H89" s="227" t="s">
        <v>56</v>
      </c>
    </row>
    <row r="90" spans="3:8">
      <c r="C90" s="67" t="str">
        <f t="shared" si="11"/>
        <v>33,356 - 33,399</v>
      </c>
      <c r="D90" s="67" t="str">
        <f t="shared" si="11"/>
        <v>87,743 - 88,524</v>
      </c>
      <c r="E90" s="38" t="str">
        <f t="shared" si="11"/>
        <v>0,0109 - 0,0118</v>
      </c>
      <c r="F90" s="52" t="str">
        <f t="shared" si="11"/>
        <v>5809,77 - 5954,23</v>
      </c>
      <c r="G90" s="97" t="s">
        <v>124</v>
      </c>
      <c r="H90" s="227"/>
    </row>
    <row r="91" spans="3:8">
      <c r="C91" s="73" t="str">
        <f t="shared" si="11"/>
        <v>33,312 - 33,355</v>
      </c>
      <c r="D91" s="73" t="str">
        <f t="shared" si="11"/>
        <v>86,961 - 87,742</v>
      </c>
      <c r="E91" s="38" t="str">
        <f t="shared" si="11"/>
        <v>0,0119 - 0,0128</v>
      </c>
      <c r="F91" s="52" t="str">
        <f t="shared" si="11"/>
        <v>5665,30 - 5809,76</v>
      </c>
      <c r="G91" s="37" t="s">
        <v>114</v>
      </c>
      <c r="H91" s="55" t="s">
        <v>57</v>
      </c>
    </row>
    <row r="92" spans="3:8">
      <c r="C92" s="56">
        <v>0</v>
      </c>
      <c r="D92" s="56">
        <v>0</v>
      </c>
      <c r="E92" s="51">
        <v>2</v>
      </c>
      <c r="F92" s="51">
        <v>2</v>
      </c>
      <c r="G92" s="56" t="s">
        <v>47</v>
      </c>
      <c r="H92" s="93"/>
    </row>
    <row r="93" spans="3:8">
      <c r="C93" s="90">
        <v>34</v>
      </c>
      <c r="D93" s="111">
        <v>9.6999999999999993</v>
      </c>
      <c r="E93" s="112">
        <v>27.9</v>
      </c>
      <c r="F93" s="112">
        <v>28.4</v>
      </c>
      <c r="G93" s="56" t="s">
        <v>68</v>
      </c>
      <c r="H93" s="93"/>
    </row>
    <row r="94" spans="3:8">
      <c r="C94" s="56">
        <f>C92*C93</f>
        <v>0</v>
      </c>
      <c r="D94" s="57">
        <f>D92*D93</f>
        <v>0</v>
      </c>
      <c r="E94" s="56">
        <f t="shared" ref="E94:F94" si="12">E92*E93</f>
        <v>55.8</v>
      </c>
      <c r="F94" s="56">
        <f t="shared" si="12"/>
        <v>56.8</v>
      </c>
      <c r="G94" s="47" t="s">
        <v>69</v>
      </c>
      <c r="H94" s="93"/>
    </row>
    <row r="95" spans="3:8">
      <c r="C95" s="56" t="str">
        <f>H91</f>
        <v>Sangat Buruk</v>
      </c>
      <c r="D95" s="56" t="str">
        <f>H91</f>
        <v>Sangat Buruk</v>
      </c>
      <c r="E95" s="51" t="str">
        <f>H89</f>
        <v>Buruk</v>
      </c>
      <c r="F95" s="56" t="str">
        <f>H89</f>
        <v>Buruk</v>
      </c>
      <c r="G95" s="47" t="s">
        <v>52</v>
      </c>
      <c r="H95" s="93"/>
    </row>
    <row r="96" spans="3:8">
      <c r="C96" s="228"/>
      <c r="D96" s="228"/>
      <c r="E96" s="228"/>
      <c r="F96" s="228"/>
      <c r="G96" s="228"/>
      <c r="H96" s="93"/>
    </row>
    <row r="97" spans="3:8">
      <c r="C97" s="225" t="s">
        <v>142</v>
      </c>
      <c r="D97" s="225"/>
      <c r="E97" s="56" t="s">
        <v>58</v>
      </c>
      <c r="F97" s="96" t="s">
        <v>125</v>
      </c>
      <c r="G97" s="56" t="s">
        <v>60</v>
      </c>
      <c r="H97" s="93"/>
    </row>
    <row r="98" spans="3:8" ht="30" customHeight="1">
      <c r="C98" s="225"/>
      <c r="D98" s="225"/>
      <c r="E98" s="56">
        <f>SUM(C94:F94)</f>
        <v>112.6</v>
      </c>
      <c r="F98" s="71">
        <f>E75</f>
        <v>172.10000000000002</v>
      </c>
      <c r="G98" s="99">
        <f>((E98-F98)/F98)*100%</f>
        <v>-0.34572922719349225</v>
      </c>
      <c r="H98" s="93"/>
    </row>
    <row r="101" spans="3:8">
      <c r="C101" s="32" t="s">
        <v>90</v>
      </c>
    </row>
    <row r="102" spans="3:8">
      <c r="C102" s="33" t="s">
        <v>38</v>
      </c>
      <c r="D102" s="33" t="s">
        <v>39</v>
      </c>
      <c r="E102" s="34" t="s">
        <v>40</v>
      </c>
      <c r="F102" s="34" t="s">
        <v>41</v>
      </c>
      <c r="G102" s="33" t="s">
        <v>16</v>
      </c>
      <c r="H102" s="229" t="s">
        <v>52</v>
      </c>
    </row>
    <row r="103" spans="3:8">
      <c r="C103" s="73">
        <f>'Rasio dan Penentuan Level'!C21</f>
        <v>33.445999999999998</v>
      </c>
      <c r="D103" s="73">
        <f>'Rasio dan Penentuan Level'!D21</f>
        <v>90.344999999999999</v>
      </c>
      <c r="E103" s="45">
        <f>'Rasio dan Penentuan Level'!E21</f>
        <v>1.0999999999999999E-2</v>
      </c>
      <c r="F103" s="74">
        <f>'Rasio dan Penentuan Level'!F21</f>
        <v>6023</v>
      </c>
      <c r="G103" s="46" t="s">
        <v>67</v>
      </c>
      <c r="H103" s="230"/>
    </row>
    <row r="104" spans="3:8">
      <c r="C104" s="67">
        <f>C81</f>
        <v>36.786999999999999</v>
      </c>
      <c r="D104" s="67">
        <f t="shared" ref="D104:F104" si="13">D81</f>
        <v>98.238</v>
      </c>
      <c r="E104" s="38">
        <f t="shared" si="13"/>
        <v>2E-3</v>
      </c>
      <c r="F104" s="52">
        <f t="shared" si="13"/>
        <v>6708.6</v>
      </c>
      <c r="G104" s="33" t="s">
        <v>115</v>
      </c>
      <c r="H104" s="55" t="s">
        <v>53</v>
      </c>
    </row>
    <row r="105" spans="3:8">
      <c r="C105" s="67" t="str">
        <f t="shared" ref="C105:F114" si="14">C82</f>
        <v>36,311 - 36,786</v>
      </c>
      <c r="D105" s="67" t="str">
        <f t="shared" si="14"/>
        <v>96,963 - 98,237</v>
      </c>
      <c r="E105" s="38" t="str">
        <f t="shared" si="14"/>
        <v>0,0021 - 0,0033</v>
      </c>
      <c r="F105" s="52" t="str">
        <f t="shared" si="14"/>
        <v>6621,48 - 6708,59</v>
      </c>
      <c r="G105" s="97" t="s">
        <v>116</v>
      </c>
      <c r="H105" s="227" t="s">
        <v>54</v>
      </c>
    </row>
    <row r="106" spans="3:8">
      <c r="C106" s="67" t="str">
        <f t="shared" si="14"/>
        <v>35,833 - 36,310</v>
      </c>
      <c r="D106" s="67" t="str">
        <f t="shared" si="14"/>
        <v>95,687 - 96,962</v>
      </c>
      <c r="E106" s="38" t="str">
        <f t="shared" si="14"/>
        <v>0,0034 - 0,0044</v>
      </c>
      <c r="F106" s="52" t="str">
        <f t="shared" si="14"/>
        <v>6534,35 - 6621,47</v>
      </c>
      <c r="G106" s="97" t="s">
        <v>117</v>
      </c>
      <c r="H106" s="227"/>
    </row>
    <row r="107" spans="3:8">
      <c r="C107" s="67" t="str">
        <f t="shared" si="14"/>
        <v>35,355 - 35,832</v>
      </c>
      <c r="D107" s="67" t="str">
        <f t="shared" si="14"/>
        <v>94,411 - 95,686</v>
      </c>
      <c r="E107" s="38" t="str">
        <f t="shared" si="14"/>
        <v>0,0045 - 0,0055</v>
      </c>
      <c r="F107" s="52" t="str">
        <f t="shared" si="14"/>
        <v>6447,22 - 6534,34</v>
      </c>
      <c r="G107" s="97" t="s">
        <v>118</v>
      </c>
      <c r="H107" s="227"/>
    </row>
    <row r="108" spans="3:8">
      <c r="C108" s="67" t="str">
        <f t="shared" si="14"/>
        <v>34,877 - 35,354</v>
      </c>
      <c r="D108" s="67" t="str">
        <f t="shared" si="14"/>
        <v>93,135 - 94,410</v>
      </c>
      <c r="E108" s="38" t="str">
        <f t="shared" si="14"/>
        <v>0,0056 - 0,0066</v>
      </c>
      <c r="F108" s="52" t="str">
        <f t="shared" si="14"/>
        <v>6360,09 - 6447,21</v>
      </c>
      <c r="G108" s="97" t="s">
        <v>119</v>
      </c>
      <c r="H108" s="227"/>
    </row>
    <row r="109" spans="3:8">
      <c r="C109" s="67" t="str">
        <f t="shared" si="14"/>
        <v>34,399 - 34,876</v>
      </c>
      <c r="D109" s="67" t="str">
        <f t="shared" si="14"/>
        <v>91,859 - 93,134</v>
      </c>
      <c r="E109" s="38" t="str">
        <f t="shared" si="14"/>
        <v>0,0067 - 0,0077</v>
      </c>
      <c r="F109" s="52" t="str">
        <f t="shared" si="14"/>
        <v>6272,96 - 6360,08</v>
      </c>
      <c r="G109" s="97" t="s">
        <v>120</v>
      </c>
      <c r="H109" s="227" t="s">
        <v>55</v>
      </c>
    </row>
    <row r="110" spans="3:8">
      <c r="C110" s="67" t="str">
        <f t="shared" si="14"/>
        <v>33,921 - 34,398</v>
      </c>
      <c r="D110" s="67" t="str">
        <f t="shared" si="14"/>
        <v>90,583 - 91,858</v>
      </c>
      <c r="E110" s="38" t="str">
        <f t="shared" si="14"/>
        <v>0,0078 - 0,0088</v>
      </c>
      <c r="F110" s="52" t="str">
        <f t="shared" si="14"/>
        <v>6185,83 - 6272,65</v>
      </c>
      <c r="G110" s="97" t="s">
        <v>121</v>
      </c>
      <c r="H110" s="227"/>
    </row>
    <row r="111" spans="3:8">
      <c r="C111" s="73" t="str">
        <f t="shared" si="14"/>
        <v>33,443 - 33,920</v>
      </c>
      <c r="D111" s="73" t="str">
        <f>D88</f>
        <v>89,307 - 90,582</v>
      </c>
      <c r="E111" s="38" t="str">
        <f t="shared" si="14"/>
        <v>0,0089 - 0,0099</v>
      </c>
      <c r="F111" s="52" t="str">
        <f t="shared" si="14"/>
        <v>6098,70 - 6185,82</v>
      </c>
      <c r="G111" s="85" t="s">
        <v>122</v>
      </c>
      <c r="H111" s="227"/>
    </row>
    <row r="112" spans="3:8">
      <c r="C112" s="67" t="str">
        <f t="shared" si="14"/>
        <v>33,400 - 33,442</v>
      </c>
      <c r="D112" s="67" t="str">
        <f t="shared" si="14"/>
        <v>88,525 - 89,306</v>
      </c>
      <c r="E112" s="38" t="str">
        <f t="shared" si="14"/>
        <v>0,0100 - 0,0108</v>
      </c>
      <c r="F112" s="29" t="str">
        <f t="shared" si="14"/>
        <v>5954,24 - 6098,69</v>
      </c>
      <c r="G112" s="97" t="s">
        <v>123</v>
      </c>
      <c r="H112" s="227" t="s">
        <v>56</v>
      </c>
    </row>
    <row r="113" spans="3:8">
      <c r="C113" s="67" t="str">
        <f t="shared" si="14"/>
        <v>33,356 - 33,399</v>
      </c>
      <c r="D113" s="67" t="str">
        <f t="shared" si="14"/>
        <v>87,743 - 88,524</v>
      </c>
      <c r="E113" s="45" t="str">
        <f t="shared" si="14"/>
        <v>0,0109 - 0,0118</v>
      </c>
      <c r="F113" s="52" t="str">
        <f>F90</f>
        <v>5809,77 - 5954,23</v>
      </c>
      <c r="G113" s="97" t="s">
        <v>124</v>
      </c>
      <c r="H113" s="227"/>
    </row>
    <row r="114" spans="3:8">
      <c r="C114" s="67" t="str">
        <f t="shared" si="14"/>
        <v>33,312 - 33,355</v>
      </c>
      <c r="D114" s="67" t="str">
        <f t="shared" si="14"/>
        <v>86,961 - 87,742</v>
      </c>
      <c r="E114" s="38" t="str">
        <f t="shared" si="14"/>
        <v>0,0119 - 0,0128</v>
      </c>
      <c r="F114" s="52" t="str">
        <f t="shared" si="14"/>
        <v>5665,30 - 5809,76</v>
      </c>
      <c r="G114" s="37" t="s">
        <v>114</v>
      </c>
      <c r="H114" s="55" t="s">
        <v>57</v>
      </c>
    </row>
    <row r="115" spans="3:8">
      <c r="C115" s="56">
        <v>3</v>
      </c>
      <c r="D115" s="56">
        <v>3</v>
      </c>
      <c r="E115" s="51">
        <v>1</v>
      </c>
      <c r="F115" s="51">
        <v>2</v>
      </c>
      <c r="G115" s="56" t="s">
        <v>47</v>
      </c>
      <c r="H115" s="93"/>
    </row>
    <row r="116" spans="3:8">
      <c r="C116" s="90">
        <v>34</v>
      </c>
      <c r="D116" s="111">
        <v>9.6999999999999993</v>
      </c>
      <c r="E116" s="112">
        <v>27.9</v>
      </c>
      <c r="F116" s="112">
        <v>28.4</v>
      </c>
      <c r="G116" s="56" t="s">
        <v>68</v>
      </c>
      <c r="H116" s="93"/>
    </row>
    <row r="117" spans="3:8">
      <c r="C117" s="56">
        <f>C115*C116</f>
        <v>102</v>
      </c>
      <c r="D117" s="56">
        <f t="shared" ref="D117:F117" si="15">D115*D116</f>
        <v>29.099999999999998</v>
      </c>
      <c r="E117" s="56">
        <f t="shared" si="15"/>
        <v>27.9</v>
      </c>
      <c r="F117" s="56">
        <f t="shared" si="15"/>
        <v>56.8</v>
      </c>
      <c r="G117" s="47" t="s">
        <v>69</v>
      </c>
      <c r="H117" s="93"/>
    </row>
    <row r="118" spans="3:8">
      <c r="C118" s="56" t="str">
        <f>H109</f>
        <v>Sedang</v>
      </c>
      <c r="D118" s="56" t="str">
        <f>H109</f>
        <v>Sedang</v>
      </c>
      <c r="E118" s="51" t="str">
        <f>H112</f>
        <v>Buruk</v>
      </c>
      <c r="F118" s="56" t="str">
        <f>H112</f>
        <v>Buruk</v>
      </c>
      <c r="G118" s="47" t="s">
        <v>52</v>
      </c>
      <c r="H118" s="93"/>
    </row>
    <row r="119" spans="3:8">
      <c r="C119" s="228"/>
      <c r="D119" s="228"/>
      <c r="E119" s="228"/>
      <c r="F119" s="228"/>
      <c r="G119" s="228"/>
      <c r="H119" s="93"/>
    </row>
    <row r="120" spans="3:8">
      <c r="C120" s="225" t="s">
        <v>142</v>
      </c>
      <c r="D120" s="225"/>
      <c r="E120" s="56" t="s">
        <v>58</v>
      </c>
      <c r="F120" s="96" t="s">
        <v>125</v>
      </c>
      <c r="G120" s="56" t="s">
        <v>60</v>
      </c>
      <c r="H120" s="93"/>
    </row>
    <row r="121" spans="3:8" ht="30" customHeight="1">
      <c r="C121" s="225"/>
      <c r="D121" s="225"/>
      <c r="E121" s="56">
        <f>SUM(C117:F117)</f>
        <v>215.8</v>
      </c>
      <c r="F121" s="56">
        <f>E98</f>
        <v>112.6</v>
      </c>
      <c r="G121" s="99">
        <f>((E121-F121)/F121)*100%</f>
        <v>0.91651865008881017</v>
      </c>
      <c r="H121" s="93"/>
    </row>
    <row r="124" spans="3:8">
      <c r="C124" s="32" t="s">
        <v>91</v>
      </c>
    </row>
    <row r="125" spans="3:8">
      <c r="C125" s="33" t="s">
        <v>38</v>
      </c>
      <c r="D125" s="33" t="s">
        <v>39</v>
      </c>
      <c r="E125" s="34" t="s">
        <v>40</v>
      </c>
      <c r="F125" s="34" t="s">
        <v>41</v>
      </c>
      <c r="G125" s="33" t="s">
        <v>16</v>
      </c>
      <c r="H125" s="229" t="s">
        <v>52</v>
      </c>
    </row>
    <row r="126" spans="3:8">
      <c r="C126" s="73">
        <f>'Rasio dan Penentuan Level'!C22</f>
        <v>33.573999999999998</v>
      </c>
      <c r="D126" s="73">
        <f>'Rasio dan Penentuan Level'!D22</f>
        <v>90.691999999999993</v>
      </c>
      <c r="E126" s="45">
        <f>'Rasio dan Penentuan Level'!E22</f>
        <v>7.1000000000000004E-3</v>
      </c>
      <c r="F126" s="74">
        <f>'Rasio dan Penentuan Level'!F22</f>
        <v>6288</v>
      </c>
      <c r="G126" s="46" t="s">
        <v>67</v>
      </c>
      <c r="H126" s="230"/>
    </row>
    <row r="127" spans="3:8">
      <c r="C127" s="67">
        <f>C104</f>
        <v>36.786999999999999</v>
      </c>
      <c r="D127" s="67">
        <f t="shared" ref="D127:F127" si="16">D104</f>
        <v>98.238</v>
      </c>
      <c r="E127" s="38">
        <f t="shared" si="16"/>
        <v>2E-3</v>
      </c>
      <c r="F127" s="52">
        <f t="shared" si="16"/>
        <v>6708.6</v>
      </c>
      <c r="G127" s="33" t="s">
        <v>115</v>
      </c>
      <c r="H127" s="55" t="s">
        <v>53</v>
      </c>
    </row>
    <row r="128" spans="3:8">
      <c r="C128" s="67" t="str">
        <f t="shared" ref="C128:F137" si="17">C105</f>
        <v>36,311 - 36,786</v>
      </c>
      <c r="D128" s="67" t="str">
        <f t="shared" si="17"/>
        <v>96,963 - 98,237</v>
      </c>
      <c r="E128" s="38" t="str">
        <f t="shared" si="17"/>
        <v>0,0021 - 0,0033</v>
      </c>
      <c r="F128" s="52" t="str">
        <f t="shared" si="17"/>
        <v>6621,48 - 6708,59</v>
      </c>
      <c r="G128" s="97" t="s">
        <v>116</v>
      </c>
      <c r="H128" s="227" t="s">
        <v>54</v>
      </c>
    </row>
    <row r="129" spans="3:8">
      <c r="C129" s="67" t="str">
        <f t="shared" si="17"/>
        <v>35,833 - 36,310</v>
      </c>
      <c r="D129" s="67" t="str">
        <f t="shared" si="17"/>
        <v>95,687 - 96,962</v>
      </c>
      <c r="E129" s="38" t="str">
        <f t="shared" si="17"/>
        <v>0,0034 - 0,0044</v>
      </c>
      <c r="F129" s="52" t="str">
        <f t="shared" si="17"/>
        <v>6534,35 - 6621,47</v>
      </c>
      <c r="G129" s="97" t="s">
        <v>117</v>
      </c>
      <c r="H129" s="227"/>
    </row>
    <row r="130" spans="3:8">
      <c r="C130" s="67" t="str">
        <f t="shared" si="17"/>
        <v>35,355 - 35,832</v>
      </c>
      <c r="D130" s="67" t="str">
        <f t="shared" si="17"/>
        <v>94,411 - 95,686</v>
      </c>
      <c r="E130" s="38" t="str">
        <f t="shared" si="17"/>
        <v>0,0045 - 0,0055</v>
      </c>
      <c r="F130" s="52" t="str">
        <f t="shared" si="17"/>
        <v>6447,22 - 6534,34</v>
      </c>
      <c r="G130" s="97" t="s">
        <v>118</v>
      </c>
      <c r="H130" s="227"/>
    </row>
    <row r="131" spans="3:8">
      <c r="C131" s="67" t="str">
        <f t="shared" si="17"/>
        <v>34,877 - 35,354</v>
      </c>
      <c r="D131" s="67" t="str">
        <f t="shared" si="17"/>
        <v>93,135 - 94,410</v>
      </c>
      <c r="E131" s="38" t="str">
        <f t="shared" si="17"/>
        <v>0,0056 - 0,0066</v>
      </c>
      <c r="F131" s="52" t="str">
        <f t="shared" si="17"/>
        <v>6360,09 - 6447,21</v>
      </c>
      <c r="G131" s="97" t="s">
        <v>119</v>
      </c>
      <c r="H131" s="227"/>
    </row>
    <row r="132" spans="3:8">
      <c r="C132" s="67" t="str">
        <f t="shared" si="17"/>
        <v>34,399 - 34,876</v>
      </c>
      <c r="D132" s="67" t="str">
        <f t="shared" si="17"/>
        <v>91,859 - 93,134</v>
      </c>
      <c r="E132" s="45" t="str">
        <f t="shared" si="17"/>
        <v>0,0067 - 0,0077</v>
      </c>
      <c r="F132" s="29" t="str">
        <f t="shared" si="17"/>
        <v>6272,96 - 6360,08</v>
      </c>
      <c r="G132" s="97" t="s">
        <v>120</v>
      </c>
      <c r="H132" s="227" t="s">
        <v>55</v>
      </c>
    </row>
    <row r="133" spans="3:8">
      <c r="C133" s="67" t="str">
        <f t="shared" si="17"/>
        <v>33,921 - 34,398</v>
      </c>
      <c r="D133" s="73" t="str">
        <f t="shared" si="17"/>
        <v>90,583 - 91,858</v>
      </c>
      <c r="E133" s="38" t="str">
        <f t="shared" si="17"/>
        <v>0,0078 - 0,0088</v>
      </c>
      <c r="F133" s="52" t="str">
        <f t="shared" si="17"/>
        <v>6185,83 - 6272,65</v>
      </c>
      <c r="G133" s="97" t="s">
        <v>121</v>
      </c>
      <c r="H133" s="227"/>
    </row>
    <row r="134" spans="3:8">
      <c r="C134" s="73" t="str">
        <f t="shared" si="17"/>
        <v>33,443 - 33,920</v>
      </c>
      <c r="D134" s="67" t="str">
        <f>D111</f>
        <v>89,307 - 90,582</v>
      </c>
      <c r="E134" s="38" t="str">
        <f t="shared" si="17"/>
        <v>0,0089 - 0,0099</v>
      </c>
      <c r="F134" s="52" t="str">
        <f t="shared" si="17"/>
        <v>6098,70 - 6185,82</v>
      </c>
      <c r="G134" s="85" t="s">
        <v>122</v>
      </c>
      <c r="H134" s="227"/>
    </row>
    <row r="135" spans="3:8">
      <c r="C135" s="67" t="str">
        <f t="shared" si="17"/>
        <v>33,400 - 33,442</v>
      </c>
      <c r="D135" s="67" t="str">
        <f t="shared" si="17"/>
        <v>88,525 - 89,306</v>
      </c>
      <c r="E135" s="38" t="str">
        <f t="shared" si="17"/>
        <v>0,0100 - 0,0108</v>
      </c>
      <c r="F135" s="52" t="str">
        <f t="shared" si="17"/>
        <v>5954,24 - 6098,69</v>
      </c>
      <c r="G135" s="97" t="s">
        <v>123</v>
      </c>
      <c r="H135" s="227" t="s">
        <v>56</v>
      </c>
    </row>
    <row r="136" spans="3:8">
      <c r="C136" s="67" t="str">
        <f t="shared" si="17"/>
        <v>33,356 - 33,399</v>
      </c>
      <c r="D136" s="67" t="str">
        <f t="shared" si="17"/>
        <v>87,743 - 88,524</v>
      </c>
      <c r="E136" s="38" t="str">
        <f t="shared" si="17"/>
        <v>0,0109 - 0,0118</v>
      </c>
      <c r="F136" s="52" t="str">
        <f t="shared" si="17"/>
        <v>5809,77 - 5954,23</v>
      </c>
      <c r="G136" s="97" t="s">
        <v>124</v>
      </c>
      <c r="H136" s="227"/>
    </row>
    <row r="137" spans="3:8">
      <c r="C137" s="67" t="str">
        <f t="shared" si="17"/>
        <v>33,312 - 33,355</v>
      </c>
      <c r="D137" s="67" t="str">
        <f t="shared" si="17"/>
        <v>86,961 - 87,742</v>
      </c>
      <c r="E137" s="38" t="str">
        <f t="shared" si="17"/>
        <v>0,0119 - 0,0128</v>
      </c>
      <c r="F137" s="52" t="str">
        <f t="shared" si="17"/>
        <v>5665,30 - 5809,76</v>
      </c>
      <c r="G137" s="37" t="s">
        <v>114</v>
      </c>
      <c r="H137" s="55" t="s">
        <v>57</v>
      </c>
    </row>
    <row r="138" spans="3:8">
      <c r="C138" s="56">
        <v>3</v>
      </c>
      <c r="D138" s="56">
        <v>4</v>
      </c>
      <c r="E138" s="51">
        <v>5</v>
      </c>
      <c r="F138" s="51">
        <v>5</v>
      </c>
      <c r="G138" s="56" t="s">
        <v>47</v>
      </c>
      <c r="H138" s="93"/>
    </row>
    <row r="139" spans="3:8">
      <c r="C139" s="90">
        <v>34</v>
      </c>
      <c r="D139" s="111">
        <v>9.6999999999999993</v>
      </c>
      <c r="E139" s="112">
        <v>27.9</v>
      </c>
      <c r="F139" s="112">
        <v>28.4</v>
      </c>
      <c r="G139" s="56" t="s">
        <v>68</v>
      </c>
      <c r="H139" s="93"/>
    </row>
    <row r="140" spans="3:8">
      <c r="C140" s="56">
        <f>C138*C139</f>
        <v>102</v>
      </c>
      <c r="D140" s="56">
        <f t="shared" ref="D140:F140" si="18">D138*D139</f>
        <v>38.799999999999997</v>
      </c>
      <c r="E140" s="56">
        <f t="shared" si="18"/>
        <v>139.5</v>
      </c>
      <c r="F140" s="56">
        <f t="shared" si="18"/>
        <v>142</v>
      </c>
      <c r="G140" s="47" t="s">
        <v>69</v>
      </c>
      <c r="H140" s="93"/>
    </row>
    <row r="141" spans="3:8">
      <c r="C141" s="57" t="str">
        <f>H132</f>
        <v>Sedang</v>
      </c>
      <c r="D141" s="56" t="str">
        <f>H132</f>
        <v>Sedang</v>
      </c>
      <c r="E141" s="51" t="str">
        <f>H132</f>
        <v>Sedang</v>
      </c>
      <c r="F141" s="56" t="str">
        <f>H132</f>
        <v>Sedang</v>
      </c>
      <c r="G141" s="47" t="s">
        <v>52</v>
      </c>
      <c r="H141" s="93"/>
    </row>
    <row r="142" spans="3:8">
      <c r="C142" s="228"/>
      <c r="D142" s="228"/>
      <c r="E142" s="228"/>
      <c r="F142" s="228"/>
      <c r="G142" s="228"/>
      <c r="H142" s="93"/>
    </row>
    <row r="143" spans="3:8">
      <c r="C143" s="225" t="s">
        <v>142</v>
      </c>
      <c r="D143" s="225"/>
      <c r="E143" s="56" t="s">
        <v>58</v>
      </c>
      <c r="F143" s="96" t="s">
        <v>125</v>
      </c>
      <c r="G143" s="56" t="s">
        <v>60</v>
      </c>
      <c r="H143" s="93"/>
    </row>
    <row r="144" spans="3:8" ht="30" customHeight="1">
      <c r="C144" s="225"/>
      <c r="D144" s="225"/>
      <c r="E144" s="56">
        <f>SUM(C140:F140)</f>
        <v>422.3</v>
      </c>
      <c r="F144" s="56">
        <f>E121</f>
        <v>215.8</v>
      </c>
      <c r="G144" s="99">
        <f>((E144-F144)/F144)*100%</f>
        <v>0.95690454124189062</v>
      </c>
      <c r="H144" s="93"/>
    </row>
    <row r="147" spans="3:8">
      <c r="C147" s="32" t="s">
        <v>92</v>
      </c>
    </row>
    <row r="148" spans="3:8">
      <c r="C148" s="33" t="s">
        <v>38</v>
      </c>
      <c r="D148" s="33" t="s">
        <v>39</v>
      </c>
      <c r="E148" s="34" t="s">
        <v>40</v>
      </c>
      <c r="F148" s="34" t="s">
        <v>41</v>
      </c>
      <c r="G148" s="33" t="s">
        <v>16</v>
      </c>
      <c r="H148" s="229" t="s">
        <v>52</v>
      </c>
    </row>
    <row r="149" spans="3:8">
      <c r="C149" s="73">
        <f>'Rasio dan Penentuan Level'!C23</f>
        <v>33.545999999999999</v>
      </c>
      <c r="D149" s="73">
        <f>'Rasio dan Penentuan Level'!D23</f>
        <v>90.616</v>
      </c>
      <c r="E149" s="45">
        <f>'Rasio dan Penentuan Level'!E23</f>
        <v>6.6E-3</v>
      </c>
      <c r="F149" s="88">
        <f>'Rasio dan Penentuan Level'!F23</f>
        <v>6524.3</v>
      </c>
      <c r="G149" s="46" t="s">
        <v>67</v>
      </c>
      <c r="H149" s="230"/>
    </row>
    <row r="150" spans="3:8">
      <c r="C150" s="67">
        <f>C127</f>
        <v>36.786999999999999</v>
      </c>
      <c r="D150" s="67">
        <f t="shared" ref="D150:F150" si="19">D127</f>
        <v>98.238</v>
      </c>
      <c r="E150" s="38">
        <f t="shared" si="19"/>
        <v>2E-3</v>
      </c>
      <c r="F150" s="52">
        <f t="shared" si="19"/>
        <v>6708.6</v>
      </c>
      <c r="G150" s="33" t="s">
        <v>115</v>
      </c>
      <c r="H150" s="55" t="s">
        <v>53</v>
      </c>
    </row>
    <row r="151" spans="3:8">
      <c r="C151" s="67" t="str">
        <f t="shared" ref="C151:F160" si="20">C128</f>
        <v>36,311 - 36,786</v>
      </c>
      <c r="D151" s="67" t="str">
        <f t="shared" si="20"/>
        <v>96,963 - 98,237</v>
      </c>
      <c r="E151" s="38" t="str">
        <f t="shared" si="20"/>
        <v>0,0021 - 0,0033</v>
      </c>
      <c r="F151" s="52" t="str">
        <f t="shared" si="20"/>
        <v>6621,48 - 6708,59</v>
      </c>
      <c r="G151" s="97" t="s">
        <v>116</v>
      </c>
      <c r="H151" s="227" t="s">
        <v>54</v>
      </c>
    </row>
    <row r="152" spans="3:8">
      <c r="C152" s="67" t="str">
        <f t="shared" si="20"/>
        <v>35,833 - 36,310</v>
      </c>
      <c r="D152" s="67" t="str">
        <f t="shared" si="20"/>
        <v>95,687 - 96,962</v>
      </c>
      <c r="E152" s="38" t="str">
        <f t="shared" si="20"/>
        <v>0,0034 - 0,0044</v>
      </c>
      <c r="F152" s="52" t="str">
        <f t="shared" si="20"/>
        <v>6534,35 - 6621,47</v>
      </c>
      <c r="G152" s="97" t="s">
        <v>117</v>
      </c>
      <c r="H152" s="227"/>
    </row>
    <row r="153" spans="3:8">
      <c r="C153" s="67" t="str">
        <f t="shared" si="20"/>
        <v>35,355 - 35,832</v>
      </c>
      <c r="D153" s="67" t="str">
        <f t="shared" si="20"/>
        <v>94,411 - 95,686</v>
      </c>
      <c r="E153" s="38" t="str">
        <f t="shared" si="20"/>
        <v>0,0045 - 0,0055</v>
      </c>
      <c r="F153" s="29" t="str">
        <f t="shared" si="20"/>
        <v>6447,22 - 6534,34</v>
      </c>
      <c r="G153" s="97" t="s">
        <v>118</v>
      </c>
      <c r="H153" s="227"/>
    </row>
    <row r="154" spans="3:8">
      <c r="C154" s="67" t="str">
        <f t="shared" si="20"/>
        <v>34,877 - 35,354</v>
      </c>
      <c r="D154" s="67" t="str">
        <f t="shared" si="20"/>
        <v>93,135 - 94,410</v>
      </c>
      <c r="E154" s="45" t="str">
        <f t="shared" si="20"/>
        <v>0,0056 - 0,0066</v>
      </c>
      <c r="F154" s="52" t="str">
        <f t="shared" si="20"/>
        <v>6360,09 - 6447,21</v>
      </c>
      <c r="G154" s="97" t="s">
        <v>119</v>
      </c>
      <c r="H154" s="227"/>
    </row>
    <row r="155" spans="3:8">
      <c r="C155" s="67" t="str">
        <f t="shared" si="20"/>
        <v>34,399 - 34,876</v>
      </c>
      <c r="D155" s="67" t="str">
        <f t="shared" si="20"/>
        <v>91,859 - 93,134</v>
      </c>
      <c r="E155" s="38" t="str">
        <f t="shared" si="20"/>
        <v>0,0067 - 0,0077</v>
      </c>
      <c r="F155" s="52" t="str">
        <f t="shared" si="20"/>
        <v>6272,96 - 6360,08</v>
      </c>
      <c r="G155" s="97" t="s">
        <v>120</v>
      </c>
      <c r="H155" s="227" t="s">
        <v>55</v>
      </c>
    </row>
    <row r="156" spans="3:8">
      <c r="C156" s="67" t="str">
        <f t="shared" si="20"/>
        <v>33,921 - 34,398</v>
      </c>
      <c r="D156" s="73" t="str">
        <f t="shared" si="20"/>
        <v>90,583 - 91,858</v>
      </c>
      <c r="E156" s="38" t="str">
        <f t="shared" si="20"/>
        <v>0,0078 - 0,0088</v>
      </c>
      <c r="F156" s="52" t="str">
        <f t="shared" si="20"/>
        <v>6185,83 - 6272,65</v>
      </c>
      <c r="G156" s="97" t="s">
        <v>121</v>
      </c>
      <c r="H156" s="227"/>
    </row>
    <row r="157" spans="3:8">
      <c r="C157" s="73" t="str">
        <f t="shared" si="20"/>
        <v>33,443 - 33,920</v>
      </c>
      <c r="D157" s="67" t="str">
        <f>D134</f>
        <v>89,307 - 90,582</v>
      </c>
      <c r="E157" s="38" t="str">
        <f t="shared" si="20"/>
        <v>0,0089 - 0,0099</v>
      </c>
      <c r="F157" s="52" t="str">
        <f t="shared" si="20"/>
        <v>6098,70 - 6185,82</v>
      </c>
      <c r="G157" s="85" t="s">
        <v>122</v>
      </c>
      <c r="H157" s="227"/>
    </row>
    <row r="158" spans="3:8">
      <c r="C158" s="67" t="str">
        <f t="shared" si="20"/>
        <v>33,400 - 33,442</v>
      </c>
      <c r="D158" s="67" t="str">
        <f t="shared" si="20"/>
        <v>88,525 - 89,306</v>
      </c>
      <c r="E158" s="38" t="str">
        <f t="shared" si="20"/>
        <v>0,0100 - 0,0108</v>
      </c>
      <c r="F158" s="52" t="str">
        <f t="shared" si="20"/>
        <v>5954,24 - 6098,69</v>
      </c>
      <c r="G158" s="97" t="s">
        <v>123</v>
      </c>
      <c r="H158" s="227" t="s">
        <v>56</v>
      </c>
    </row>
    <row r="159" spans="3:8">
      <c r="C159" s="67" t="str">
        <f t="shared" si="20"/>
        <v>33,356 - 33,399</v>
      </c>
      <c r="D159" s="67" t="str">
        <f t="shared" si="20"/>
        <v>87,743 - 88,524</v>
      </c>
      <c r="E159" s="38" t="str">
        <f t="shared" si="20"/>
        <v>0,0109 - 0,0118</v>
      </c>
      <c r="F159" s="52" t="str">
        <f t="shared" si="20"/>
        <v>5809,77 - 5954,23</v>
      </c>
      <c r="G159" s="97" t="s">
        <v>124</v>
      </c>
      <c r="H159" s="227"/>
    </row>
    <row r="160" spans="3:8">
      <c r="C160" s="67" t="str">
        <f t="shared" si="20"/>
        <v>33,312 - 33,355</v>
      </c>
      <c r="D160" s="67" t="str">
        <f t="shared" si="20"/>
        <v>86,961 - 87,742</v>
      </c>
      <c r="E160" s="38" t="str">
        <f t="shared" si="20"/>
        <v>0,0119 - 0,0128</v>
      </c>
      <c r="F160" s="52" t="str">
        <f t="shared" si="20"/>
        <v>5665,30 - 5809,76</v>
      </c>
      <c r="G160" s="37" t="s">
        <v>114</v>
      </c>
      <c r="H160" s="55" t="s">
        <v>57</v>
      </c>
    </row>
    <row r="161" spans="3:8">
      <c r="C161" s="56">
        <v>3</v>
      </c>
      <c r="D161" s="56">
        <v>4</v>
      </c>
      <c r="E161" s="51">
        <v>6</v>
      </c>
      <c r="F161" s="51">
        <v>7</v>
      </c>
      <c r="G161" s="56" t="s">
        <v>47</v>
      </c>
      <c r="H161" s="93"/>
    </row>
    <row r="162" spans="3:8">
      <c r="C162" s="90">
        <v>34</v>
      </c>
      <c r="D162" s="111">
        <v>9.6999999999999993</v>
      </c>
      <c r="E162" s="112">
        <v>27.9</v>
      </c>
      <c r="F162" s="112">
        <v>28.4</v>
      </c>
      <c r="G162" s="56" t="s">
        <v>68</v>
      </c>
      <c r="H162" s="93"/>
    </row>
    <row r="163" spans="3:8">
      <c r="C163" s="56">
        <f>C161*C162</f>
        <v>102</v>
      </c>
      <c r="D163" s="56">
        <f t="shared" ref="D163:F163" si="21">D161*D162</f>
        <v>38.799999999999997</v>
      </c>
      <c r="E163" s="56">
        <f t="shared" si="21"/>
        <v>167.39999999999998</v>
      </c>
      <c r="F163" s="56">
        <f t="shared" si="21"/>
        <v>198.79999999999998</v>
      </c>
      <c r="G163" s="47" t="s">
        <v>69</v>
      </c>
      <c r="H163" s="93"/>
    </row>
    <row r="164" spans="3:8">
      <c r="C164" s="56" t="str">
        <f>H155</f>
        <v>Sedang</v>
      </c>
      <c r="D164" s="56" t="str">
        <f>H155</f>
        <v>Sedang</v>
      </c>
      <c r="E164" s="51" t="str">
        <f>H151</f>
        <v>Baik</v>
      </c>
      <c r="F164" s="56" t="str">
        <f>H151</f>
        <v>Baik</v>
      </c>
      <c r="G164" s="47" t="s">
        <v>52</v>
      </c>
      <c r="H164" s="93"/>
    </row>
    <row r="165" spans="3:8">
      <c r="C165" s="228"/>
      <c r="D165" s="228"/>
      <c r="E165" s="228"/>
      <c r="F165" s="228"/>
      <c r="G165" s="228"/>
      <c r="H165" s="93"/>
    </row>
    <row r="166" spans="3:8">
      <c r="C166" s="225" t="s">
        <v>142</v>
      </c>
      <c r="D166" s="225"/>
      <c r="E166" s="56" t="s">
        <v>58</v>
      </c>
      <c r="F166" s="96" t="s">
        <v>125</v>
      </c>
      <c r="G166" s="56" t="s">
        <v>60</v>
      </c>
      <c r="H166" s="93"/>
    </row>
    <row r="167" spans="3:8" ht="30" customHeight="1">
      <c r="C167" s="225"/>
      <c r="D167" s="225"/>
      <c r="E167" s="56">
        <f>SUM(C163:F163)</f>
        <v>507</v>
      </c>
      <c r="F167" s="56">
        <f>E144</f>
        <v>422.3</v>
      </c>
      <c r="G167" s="99">
        <f>((E167-F167)/F167)*100%</f>
        <v>0.20056831636277525</v>
      </c>
      <c r="H167" s="93"/>
    </row>
  </sheetData>
  <mergeCells count="43">
    <mergeCell ref="B3:F3"/>
    <mergeCell ref="C29:D30"/>
    <mergeCell ref="H11:H12"/>
    <mergeCell ref="H14:H17"/>
    <mergeCell ref="H18:H20"/>
    <mergeCell ref="H21:H22"/>
    <mergeCell ref="C28:G28"/>
    <mergeCell ref="H4:L4"/>
    <mergeCell ref="C74:D75"/>
    <mergeCell ref="H34:H35"/>
    <mergeCell ref="H37:H40"/>
    <mergeCell ref="H41:H43"/>
    <mergeCell ref="H44:H45"/>
    <mergeCell ref="C51:D52"/>
    <mergeCell ref="H56:H57"/>
    <mergeCell ref="H59:H62"/>
    <mergeCell ref="H63:H65"/>
    <mergeCell ref="H66:H67"/>
    <mergeCell ref="C73:G73"/>
    <mergeCell ref="C120:D121"/>
    <mergeCell ref="H79:H80"/>
    <mergeCell ref="H82:H85"/>
    <mergeCell ref="H86:H88"/>
    <mergeCell ref="H89:H90"/>
    <mergeCell ref="C96:G96"/>
    <mergeCell ref="C97:D98"/>
    <mergeCell ref="H102:H103"/>
    <mergeCell ref="H105:H108"/>
    <mergeCell ref="H109:H111"/>
    <mergeCell ref="H112:H113"/>
    <mergeCell ref="C119:G119"/>
    <mergeCell ref="C166:D167"/>
    <mergeCell ref="H125:H126"/>
    <mergeCell ref="H128:H131"/>
    <mergeCell ref="H132:H134"/>
    <mergeCell ref="H135:H136"/>
    <mergeCell ref="C142:G142"/>
    <mergeCell ref="C143:D144"/>
    <mergeCell ref="H148:H149"/>
    <mergeCell ref="H151:H154"/>
    <mergeCell ref="H155:H157"/>
    <mergeCell ref="H158:H159"/>
    <mergeCell ref="C165:G16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R25"/>
  <sheetViews>
    <sheetView topLeftCell="K7" zoomScale="80" zoomScaleNormal="80" workbookViewId="0">
      <selection activeCell="N9" sqref="N9:N10"/>
    </sheetView>
  </sheetViews>
  <sheetFormatPr defaultRowHeight="15.6"/>
  <cols>
    <col min="1" max="1" width="8.88671875" style="3"/>
    <col min="2" max="2" width="10.6640625" style="3" customWidth="1"/>
    <col min="3" max="6" width="7.77734375" style="3" customWidth="1"/>
    <col min="7" max="7" width="8.88671875" style="3"/>
    <col min="8" max="8" width="11.88671875" style="3" customWidth="1"/>
    <col min="9" max="9" width="18.109375" style="3" customWidth="1"/>
    <col min="10" max="10" width="15.33203125" style="3" hidden="1" customWidth="1"/>
    <col min="11" max="11" width="14.88671875" style="3" customWidth="1"/>
    <col min="12" max="12" width="12.109375" style="3" customWidth="1"/>
    <col min="13" max="13" width="8.88671875" style="3"/>
    <col min="14" max="14" width="10.77734375" style="3" customWidth="1"/>
    <col min="15" max="15" width="19.5546875" style="3" customWidth="1"/>
    <col min="16" max="16" width="17.5546875" style="3" customWidth="1"/>
    <col min="17" max="18" width="18.6640625" style="3" customWidth="1"/>
    <col min="19" max="16384" width="8.88671875" style="3"/>
  </cols>
  <sheetData>
    <row r="2" spans="2:18">
      <c r="B2" s="3" t="s">
        <v>127</v>
      </c>
      <c r="H2" s="107" t="s">
        <v>130</v>
      </c>
    </row>
    <row r="3" spans="2:18">
      <c r="B3" s="225" t="s">
        <v>100</v>
      </c>
      <c r="C3" s="225"/>
      <c r="D3" s="225"/>
      <c r="E3" s="225"/>
      <c r="F3" s="225"/>
      <c r="H3" s="231" t="s">
        <v>100</v>
      </c>
      <c r="I3" s="231"/>
      <c r="J3" s="231"/>
      <c r="K3" s="231"/>
      <c r="L3" s="231"/>
      <c r="M3" s="108"/>
    </row>
    <row r="4" spans="2:18" ht="31.2">
      <c r="B4" s="232" t="s">
        <v>99</v>
      </c>
      <c r="C4" s="231" t="s">
        <v>126</v>
      </c>
      <c r="D4" s="231"/>
      <c r="E4" s="231"/>
      <c r="F4" s="231"/>
      <c r="H4" s="175" t="s">
        <v>99</v>
      </c>
      <c r="I4" s="188" t="s">
        <v>144</v>
      </c>
      <c r="J4" s="175" t="s">
        <v>129</v>
      </c>
      <c r="K4" s="174" t="s">
        <v>143</v>
      </c>
      <c r="L4" s="175" t="s">
        <v>141</v>
      </c>
    </row>
    <row r="5" spans="2:18">
      <c r="B5" s="232"/>
      <c r="C5" s="174" t="s">
        <v>38</v>
      </c>
      <c r="D5" s="174" t="s">
        <v>39</v>
      </c>
      <c r="E5" s="174" t="s">
        <v>40</v>
      </c>
      <c r="F5" s="174" t="s">
        <v>41</v>
      </c>
      <c r="H5" s="20" t="s">
        <v>32</v>
      </c>
      <c r="I5" s="170">
        <f>'Perhitungan OMAX (2021)'!E53</f>
        <v>176.7</v>
      </c>
      <c r="J5" s="170">
        <f>'Perhitungan OMAX (2021)'!F53</f>
        <v>0</v>
      </c>
      <c r="K5" s="109">
        <f>'Perhitungan OMAX (2021)'!G53</f>
        <v>0</v>
      </c>
      <c r="L5" s="189">
        <f>(I5-300)/300</f>
        <v>-0.41100000000000003</v>
      </c>
    </row>
    <row r="6" spans="2:18">
      <c r="B6" s="20" t="s">
        <v>32</v>
      </c>
      <c r="C6" s="169">
        <f>'Perhitungan OMAX (2021)'!C47</f>
        <v>1</v>
      </c>
      <c r="D6" s="169">
        <f>'Perhitungan OMAX (2021)'!D47</f>
        <v>3</v>
      </c>
      <c r="E6" s="169">
        <f>'Perhitungan OMAX (2021)'!E47</f>
        <v>0</v>
      </c>
      <c r="F6" s="169">
        <f>'Perhitungan OMAX (2021)'!F47</f>
        <v>4</v>
      </c>
      <c r="H6" s="20" t="s">
        <v>33</v>
      </c>
      <c r="I6" s="170">
        <f>'Perhitungan OMAX (2021)'!E76</f>
        <v>63.099999999999994</v>
      </c>
      <c r="J6" s="170">
        <f>'Perhitungan OMAX (2021)'!F76</f>
        <v>176.7</v>
      </c>
      <c r="K6" s="110">
        <f>'Perhitungan OMAX (2021)'!G76</f>
        <v>-0.64289756649688734</v>
      </c>
      <c r="L6" s="189">
        <f>(I6-300)/300</f>
        <v>-0.78966666666666674</v>
      </c>
    </row>
    <row r="7" spans="2:18">
      <c r="B7" s="20" t="s">
        <v>33</v>
      </c>
      <c r="C7" s="169">
        <f>'Perhitungan OMAX (2021)'!C70</f>
        <v>1</v>
      </c>
      <c r="D7" s="169">
        <f>'Perhitungan OMAX (2021)'!D70</f>
        <v>3</v>
      </c>
      <c r="E7" s="169">
        <f>'Perhitungan OMAX (2021)'!E70</f>
        <v>0</v>
      </c>
      <c r="F7" s="169">
        <f>'Perhitungan OMAX (2021)'!F70</f>
        <v>0</v>
      </c>
      <c r="H7" s="20" t="s">
        <v>34</v>
      </c>
      <c r="I7" s="170">
        <f>'Perhitungan OMAX (2021)'!E99</f>
        <v>196.79999999999998</v>
      </c>
      <c r="J7" s="170">
        <f>'Perhitungan OMAX (2021)'!F99</f>
        <v>63.099999999999994</v>
      </c>
      <c r="K7" s="110">
        <f>'Perhitungan OMAX (2021)'!G99</f>
        <v>2.1188589540412046</v>
      </c>
      <c r="L7" s="189">
        <f>(I7-300)/300</f>
        <v>-0.34400000000000008</v>
      </c>
    </row>
    <row r="8" spans="2:18">
      <c r="B8" s="20" t="s">
        <v>34</v>
      </c>
      <c r="C8" s="169">
        <f>'Perhitungan OMAX (2021)'!C93</f>
        <v>0</v>
      </c>
      <c r="D8" s="169">
        <f>'Perhitungan OMAX (2021)'!D93</f>
        <v>0</v>
      </c>
      <c r="E8" s="169">
        <f>'Perhitungan OMAX (2021)'!E93</f>
        <v>4</v>
      </c>
      <c r="F8" s="169">
        <f>'Perhitungan OMAX (2021)'!F93</f>
        <v>3</v>
      </c>
      <c r="H8" s="20" t="s">
        <v>35</v>
      </c>
      <c r="I8" s="170">
        <f>'Perhitungan OMAX (2021)'!E122</f>
        <v>187.4</v>
      </c>
      <c r="J8" s="170">
        <f>'Perhitungan OMAX (2021)'!F122</f>
        <v>196.79999999999998</v>
      </c>
      <c r="K8" s="110">
        <f>'Perhitungan OMAX (2021)'!G122</f>
        <v>-4.7764227642276308E-2</v>
      </c>
      <c r="L8" s="189">
        <f>(I8-300)/300</f>
        <v>-0.3753333333333333</v>
      </c>
      <c r="N8" s="3" t="s">
        <v>239</v>
      </c>
    </row>
    <row r="9" spans="2:18">
      <c r="B9" s="20" t="s">
        <v>35</v>
      </c>
      <c r="C9" s="169">
        <f>'Perhitungan OMAX (2021)'!C116</f>
        <v>3</v>
      </c>
      <c r="D9" s="169">
        <f>'Perhitungan OMAX (2021)'!D116</f>
        <v>3</v>
      </c>
      <c r="E9" s="169">
        <f>'Perhitungan OMAX (2021)'!E116</f>
        <v>1</v>
      </c>
      <c r="F9" s="169">
        <f>'Perhitungan OMAX (2021)'!F116</f>
        <v>1</v>
      </c>
      <c r="H9" s="20" t="s">
        <v>36</v>
      </c>
      <c r="I9" s="170">
        <f>'Perhitungan OMAX (2021)'!E145</f>
        <v>356.29999999999995</v>
      </c>
      <c r="J9" s="170">
        <f>'Perhitungan OMAX (2021)'!F145</f>
        <v>187.4</v>
      </c>
      <c r="K9" s="110">
        <f>'Perhitungan OMAX (2021)'!G145</f>
        <v>0.90128068303094955</v>
      </c>
      <c r="L9" s="189">
        <f>(I9-300)/300</f>
        <v>0.18766666666666651</v>
      </c>
      <c r="N9" s="231" t="s">
        <v>99</v>
      </c>
      <c r="O9" s="231">
        <v>2021</v>
      </c>
      <c r="P9" s="231"/>
      <c r="Q9" s="231">
        <v>2022</v>
      </c>
      <c r="R9" s="231"/>
    </row>
    <row r="10" spans="2:18" ht="31.2">
      <c r="B10" s="235" t="s">
        <v>36</v>
      </c>
      <c r="C10" s="169">
        <f>'Perhitungan OMAX (2021)'!C139</f>
        <v>3</v>
      </c>
      <c r="D10" s="169">
        <f>'Perhitungan OMAX (2021)'!D139</f>
        <v>3</v>
      </c>
      <c r="E10" s="169">
        <f>'Perhitungan OMAX (2021)'!E139</f>
        <v>4</v>
      </c>
      <c r="F10" s="169">
        <f>'Perhitungan OMAX (2021)'!F139</f>
        <v>4</v>
      </c>
      <c r="H10" s="234" t="s">
        <v>37</v>
      </c>
      <c r="I10" s="194">
        <f>'Perhitungan OMAX (2021)'!E168</f>
        <v>356.29999999999995</v>
      </c>
      <c r="J10" s="194">
        <f>'Perhitungan OMAX (2021)'!F168</f>
        <v>356.29999999999995</v>
      </c>
      <c r="K10" s="233">
        <f>'Perhitungan OMAX (2021)'!G168</f>
        <v>0</v>
      </c>
      <c r="L10" s="104">
        <f t="shared" ref="L10" si="0">(I10-300)/300</f>
        <v>0.18766666666666651</v>
      </c>
      <c r="N10" s="231"/>
      <c r="O10" s="174" t="s">
        <v>144</v>
      </c>
      <c r="P10" s="174" t="s">
        <v>143</v>
      </c>
      <c r="Q10" s="174" t="s">
        <v>144</v>
      </c>
      <c r="R10" s="174" t="s">
        <v>143</v>
      </c>
    </row>
    <row r="11" spans="2:18">
      <c r="B11" s="20" t="s">
        <v>37</v>
      </c>
      <c r="C11" s="169">
        <f>'Perhitungan OMAX (2021)'!C162</f>
        <v>3</v>
      </c>
      <c r="D11" s="169">
        <f>'Perhitungan OMAX (2021)'!D162</f>
        <v>3</v>
      </c>
      <c r="E11" s="169">
        <f>'Perhitungan OMAX (2021)'!E162</f>
        <v>4</v>
      </c>
      <c r="F11" s="169">
        <f>'Perhitungan OMAX (2021)'!F162</f>
        <v>4</v>
      </c>
      <c r="N11" s="20" t="s">
        <v>32</v>
      </c>
      <c r="O11" s="173">
        <f>I5</f>
        <v>176.7</v>
      </c>
      <c r="P11" s="190">
        <f>K5</f>
        <v>0</v>
      </c>
      <c r="Q11" s="173">
        <f>I18</f>
        <v>43.7</v>
      </c>
      <c r="R11" s="190">
        <f>K18</f>
        <v>0</v>
      </c>
    </row>
    <row r="12" spans="2:18">
      <c r="N12" s="20" t="s">
        <v>33</v>
      </c>
      <c r="O12" s="173">
        <f t="shared" ref="O12:O16" si="1">I6</f>
        <v>63.099999999999994</v>
      </c>
      <c r="P12" s="191">
        <f t="shared" ref="P12:P16" si="2">K6</f>
        <v>-0.64289756649688734</v>
      </c>
      <c r="Q12" s="173">
        <f t="shared" ref="Q12:Q16" si="3">I19</f>
        <v>172.10000000000002</v>
      </c>
      <c r="R12" s="191">
        <f>K19</f>
        <v>2.9382151029748291</v>
      </c>
    </row>
    <row r="13" spans="2:18">
      <c r="N13" s="20" t="s">
        <v>34</v>
      </c>
      <c r="O13" s="173">
        <f t="shared" si="1"/>
        <v>196.79999999999998</v>
      </c>
      <c r="P13" s="191">
        <f t="shared" si="2"/>
        <v>2.1188589540412046</v>
      </c>
      <c r="Q13" s="173">
        <f t="shared" si="3"/>
        <v>112.6</v>
      </c>
      <c r="R13" s="191">
        <f t="shared" ref="R13:R16" si="4">K20</f>
        <v>-0.34572922719349225</v>
      </c>
    </row>
    <row r="14" spans="2:18">
      <c r="N14" s="20" t="s">
        <v>35</v>
      </c>
      <c r="O14" s="173">
        <f t="shared" si="1"/>
        <v>187.4</v>
      </c>
      <c r="P14" s="191">
        <f t="shared" si="2"/>
        <v>-4.7764227642276308E-2</v>
      </c>
      <c r="Q14" s="173">
        <f t="shared" si="3"/>
        <v>215.8</v>
      </c>
      <c r="R14" s="191">
        <f t="shared" si="4"/>
        <v>0.91651865008881017</v>
      </c>
    </row>
    <row r="15" spans="2:18">
      <c r="B15" s="3" t="s">
        <v>128</v>
      </c>
      <c r="H15" s="107" t="s">
        <v>131</v>
      </c>
      <c r="N15" s="20" t="s">
        <v>36</v>
      </c>
      <c r="O15" s="173">
        <f t="shared" si="1"/>
        <v>356.29999999999995</v>
      </c>
      <c r="P15" s="191">
        <f t="shared" si="2"/>
        <v>0.90128068303094955</v>
      </c>
      <c r="Q15" s="173">
        <f t="shared" si="3"/>
        <v>422.3</v>
      </c>
      <c r="R15" s="191">
        <f t="shared" si="4"/>
        <v>0.95690454124189062</v>
      </c>
    </row>
    <row r="16" spans="2:18">
      <c r="B16" s="231" t="s">
        <v>101</v>
      </c>
      <c r="C16" s="231"/>
      <c r="D16" s="231"/>
      <c r="E16" s="231"/>
      <c r="F16" s="231"/>
      <c r="H16" s="231" t="s">
        <v>101</v>
      </c>
      <c r="I16" s="231"/>
      <c r="J16" s="231"/>
      <c r="K16" s="231"/>
      <c r="L16" s="231"/>
      <c r="N16" s="20" t="s">
        <v>37</v>
      </c>
      <c r="O16" s="173">
        <f t="shared" si="1"/>
        <v>356.29999999999995</v>
      </c>
      <c r="P16" s="190">
        <f t="shared" si="2"/>
        <v>0</v>
      </c>
      <c r="Q16" s="173">
        <f t="shared" si="3"/>
        <v>507</v>
      </c>
      <c r="R16" s="191">
        <f t="shared" si="4"/>
        <v>0.20056831636277525</v>
      </c>
    </row>
    <row r="17" spans="2:12" ht="31.2">
      <c r="B17" s="232" t="s">
        <v>99</v>
      </c>
      <c r="C17" s="231" t="s">
        <v>126</v>
      </c>
      <c r="D17" s="231"/>
      <c r="E17" s="231"/>
      <c r="F17" s="231"/>
      <c r="H17" s="175" t="s">
        <v>99</v>
      </c>
      <c r="I17" s="174" t="s">
        <v>144</v>
      </c>
      <c r="J17" s="175" t="s">
        <v>129</v>
      </c>
      <c r="K17" s="174" t="s">
        <v>143</v>
      </c>
      <c r="L17" s="175" t="s">
        <v>141</v>
      </c>
    </row>
    <row r="18" spans="2:12">
      <c r="B18" s="232"/>
      <c r="C18" s="174" t="s">
        <v>38</v>
      </c>
      <c r="D18" s="174" t="s">
        <v>39</v>
      </c>
      <c r="E18" s="174" t="s">
        <v>40</v>
      </c>
      <c r="F18" s="174" t="s">
        <v>41</v>
      </c>
      <c r="H18" s="20" t="s">
        <v>32</v>
      </c>
      <c r="I18" s="173">
        <f>'Perhitungan OMAX (2022)'!E52</f>
        <v>43.7</v>
      </c>
      <c r="J18" s="173">
        <f>'Perhitungan OMAX (2022)'!F52</f>
        <v>0</v>
      </c>
      <c r="K18" s="190">
        <f>'Perhitungan OMAX (2022)'!G52</f>
        <v>0</v>
      </c>
      <c r="L18" s="189">
        <f>(I18-300)/300</f>
        <v>-0.85433333333333339</v>
      </c>
    </row>
    <row r="19" spans="2:12">
      <c r="B19" s="20" t="s">
        <v>32</v>
      </c>
      <c r="C19" s="172">
        <f>'Perhitungan OMAX (2022)'!C47</f>
        <v>1</v>
      </c>
      <c r="D19" s="172">
        <f>'Perhitungan OMAX (2022)'!D47</f>
        <v>1</v>
      </c>
      <c r="E19" s="172">
        <f>'Perhitungan OMAX (2022)'!E47</f>
        <v>0</v>
      </c>
      <c r="F19" s="172">
        <f>'Perhitungan OMAX (2022)'!F47</f>
        <v>0</v>
      </c>
      <c r="H19" s="20" t="s">
        <v>33</v>
      </c>
      <c r="I19" s="173">
        <f>'Perhitungan OMAX (2022)'!E75</f>
        <v>172.10000000000002</v>
      </c>
      <c r="J19" s="173">
        <f>'Perhitungan OMAX (2022)'!F75</f>
        <v>43.7</v>
      </c>
      <c r="K19" s="191">
        <f>'Perhitungan OMAX (2022)'!G75</f>
        <v>2.9382151029748291</v>
      </c>
      <c r="L19" s="189">
        <f t="shared" ref="L19:L23" si="5">(I19-300)/300</f>
        <v>-0.42633333333333323</v>
      </c>
    </row>
    <row r="20" spans="2:12">
      <c r="B20" s="20" t="s">
        <v>33</v>
      </c>
      <c r="C20" s="172">
        <f>'Perhitungan OMAX (2022)'!C69</f>
        <v>2</v>
      </c>
      <c r="D20" s="172">
        <f>'Perhitungan OMAX (2022)'!D69</f>
        <v>2</v>
      </c>
      <c r="E20" s="172">
        <f>'Perhitungan OMAX (2022)'!E69</f>
        <v>1</v>
      </c>
      <c r="F20" s="172">
        <f>'Perhitungan OMAX (2022)'!F69</f>
        <v>2</v>
      </c>
      <c r="H20" s="20" t="s">
        <v>34</v>
      </c>
      <c r="I20" s="173">
        <f>'Perhitungan OMAX (2022)'!E98</f>
        <v>112.6</v>
      </c>
      <c r="J20" s="173">
        <f>'Perhitungan OMAX (2022)'!F98</f>
        <v>172.10000000000002</v>
      </c>
      <c r="K20" s="191">
        <f>'Perhitungan OMAX (2022)'!G98</f>
        <v>-0.34572922719349225</v>
      </c>
      <c r="L20" s="189">
        <f t="shared" si="5"/>
        <v>-0.6246666666666667</v>
      </c>
    </row>
    <row r="21" spans="2:12">
      <c r="B21" s="20" t="s">
        <v>34</v>
      </c>
      <c r="C21" s="172">
        <f>'Perhitungan OMAX (2022)'!C92</f>
        <v>0</v>
      </c>
      <c r="D21" s="172">
        <f>'Perhitungan OMAX (2022)'!D92</f>
        <v>0</v>
      </c>
      <c r="E21" s="172">
        <f>'Perhitungan OMAX (2022)'!E92</f>
        <v>2</v>
      </c>
      <c r="F21" s="172">
        <f>'Perhitungan OMAX (2022)'!F92</f>
        <v>2</v>
      </c>
      <c r="H21" s="20" t="s">
        <v>35</v>
      </c>
      <c r="I21" s="173">
        <f>'Perhitungan OMAX (2022)'!E121</f>
        <v>215.8</v>
      </c>
      <c r="J21" s="173">
        <f>'Perhitungan OMAX (2022)'!F121</f>
        <v>112.6</v>
      </c>
      <c r="K21" s="191">
        <f>'Perhitungan OMAX (2022)'!G121</f>
        <v>0.91651865008881017</v>
      </c>
      <c r="L21" s="189">
        <f t="shared" si="5"/>
        <v>-0.28066666666666662</v>
      </c>
    </row>
    <row r="22" spans="2:12">
      <c r="B22" s="20" t="s">
        <v>35</v>
      </c>
      <c r="C22" s="172">
        <f>'Perhitungan OMAX (2022)'!C115</f>
        <v>3</v>
      </c>
      <c r="D22" s="172">
        <f>'Perhitungan OMAX (2022)'!D115</f>
        <v>3</v>
      </c>
      <c r="E22" s="172">
        <f>'Perhitungan OMAX (2022)'!E115</f>
        <v>1</v>
      </c>
      <c r="F22" s="172">
        <f>'Perhitungan OMAX (2022)'!F115</f>
        <v>2</v>
      </c>
      <c r="H22" s="20" t="s">
        <v>36</v>
      </c>
      <c r="I22" s="173">
        <f>'Perhitungan OMAX (2022)'!E144</f>
        <v>422.3</v>
      </c>
      <c r="J22" s="173">
        <f>'Perhitungan OMAX (2022)'!F144</f>
        <v>215.8</v>
      </c>
      <c r="K22" s="191">
        <f>'Perhitungan OMAX (2022)'!G144</f>
        <v>0.95690454124189062</v>
      </c>
      <c r="L22" s="189">
        <f t="shared" si="5"/>
        <v>0.40766666666666668</v>
      </c>
    </row>
    <row r="23" spans="2:12">
      <c r="B23" s="20" t="s">
        <v>36</v>
      </c>
      <c r="C23" s="172">
        <f>'Perhitungan OMAX (2022)'!C138</f>
        <v>3</v>
      </c>
      <c r="D23" s="172">
        <f>'Perhitungan OMAX (2022)'!D138</f>
        <v>4</v>
      </c>
      <c r="E23" s="172">
        <f>'Perhitungan OMAX (2022)'!E138</f>
        <v>5</v>
      </c>
      <c r="F23" s="172">
        <f>'Perhitungan OMAX (2022)'!F138</f>
        <v>5</v>
      </c>
      <c r="H23" s="20" t="s">
        <v>37</v>
      </c>
      <c r="I23" s="173">
        <f>'Perhitungan OMAX (2022)'!E167</f>
        <v>507</v>
      </c>
      <c r="J23" s="173">
        <f>'Perhitungan OMAX (2022)'!F167</f>
        <v>422.3</v>
      </c>
      <c r="K23" s="191">
        <f>'Perhitungan OMAX (2022)'!G167</f>
        <v>0.20056831636277525</v>
      </c>
      <c r="L23" s="189">
        <f t="shared" si="5"/>
        <v>0.69</v>
      </c>
    </row>
    <row r="24" spans="2:12">
      <c r="B24" s="20" t="s">
        <v>37</v>
      </c>
      <c r="C24" s="172">
        <f>'Perhitungan OMAX (2022)'!C161</f>
        <v>3</v>
      </c>
      <c r="D24" s="172">
        <f>'Perhitungan OMAX (2022)'!D161</f>
        <v>4</v>
      </c>
      <c r="E24" s="172">
        <f>'Perhitungan OMAX (2022)'!E161</f>
        <v>6</v>
      </c>
      <c r="F24" s="172">
        <f>'Perhitungan OMAX (2022)'!F161</f>
        <v>7</v>
      </c>
    </row>
    <row r="25" spans="2:12">
      <c r="B25" s="172" t="s">
        <v>18</v>
      </c>
      <c r="C25" s="172">
        <f>SUM(C19:C24)</f>
        <v>12</v>
      </c>
      <c r="D25" s="172">
        <f t="shared" ref="D25:F25" si="6">SUM(D19:D24)</f>
        <v>14</v>
      </c>
      <c r="E25" s="172">
        <f t="shared" si="6"/>
        <v>15</v>
      </c>
      <c r="F25" s="172">
        <f t="shared" si="6"/>
        <v>18</v>
      </c>
    </row>
  </sheetData>
  <mergeCells count="11">
    <mergeCell ref="B4:B5"/>
    <mergeCell ref="C4:F4"/>
    <mergeCell ref="B3:F3"/>
    <mergeCell ref="H3:L3"/>
    <mergeCell ref="H16:L16"/>
    <mergeCell ref="O9:P9"/>
    <mergeCell ref="Q9:R9"/>
    <mergeCell ref="N9:N10"/>
    <mergeCell ref="B17:B18"/>
    <mergeCell ref="C17:F17"/>
    <mergeCell ref="B16:F1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2:G10"/>
  <sheetViews>
    <sheetView tabSelected="1" workbookViewId="0">
      <selection activeCell="E14" sqref="E14"/>
    </sheetView>
  </sheetViews>
  <sheetFormatPr defaultRowHeight="15.6"/>
  <cols>
    <col min="1" max="3" width="8.88671875" style="3"/>
    <col min="4" max="4" width="11.77734375" style="3" customWidth="1"/>
    <col min="5" max="5" width="24" style="3" customWidth="1"/>
    <col min="6" max="6" width="25.88671875" style="3" customWidth="1"/>
    <col min="7" max="16384" width="8.88671875" style="3"/>
  </cols>
  <sheetData>
    <row r="2" spans="3:7">
      <c r="D2" s="107"/>
    </row>
    <row r="3" spans="3:7">
      <c r="C3" s="8"/>
      <c r="D3" s="236" t="s">
        <v>240</v>
      </c>
      <c r="E3" s="236"/>
      <c r="F3" s="236"/>
      <c r="G3" s="108"/>
    </row>
    <row r="4" spans="3:7" ht="31.2">
      <c r="D4" s="106" t="s">
        <v>99</v>
      </c>
      <c r="E4" s="174" t="s">
        <v>145</v>
      </c>
      <c r="F4" s="174" t="s">
        <v>146</v>
      </c>
    </row>
    <row r="5" spans="3:7">
      <c r="D5" s="20" t="s">
        <v>32</v>
      </c>
      <c r="E5" s="105">
        <f>'Perhitungan OMAX (2021)'!E53</f>
        <v>176.7</v>
      </c>
      <c r="F5" s="157">
        <f>'Perhitungan OMAX (2022)'!E52</f>
        <v>43.7</v>
      </c>
    </row>
    <row r="6" spans="3:7">
      <c r="D6" s="20" t="s">
        <v>33</v>
      </c>
      <c r="E6" s="105">
        <f>'Perhitungan OMAX (2021)'!E76</f>
        <v>63.099999999999994</v>
      </c>
      <c r="F6" s="157">
        <f>'Perhitungan OMAX (2022)'!E75</f>
        <v>172.10000000000002</v>
      </c>
    </row>
    <row r="7" spans="3:7">
      <c r="D7" s="20" t="s">
        <v>34</v>
      </c>
      <c r="E7" s="105">
        <f>'Perhitungan OMAX (2021)'!E99</f>
        <v>196.79999999999998</v>
      </c>
      <c r="F7" s="157">
        <f>'Perhitungan OMAX (2022)'!E98</f>
        <v>112.6</v>
      </c>
    </row>
    <row r="8" spans="3:7">
      <c r="D8" s="20" t="s">
        <v>35</v>
      </c>
      <c r="E8" s="105">
        <f>'Perhitungan OMAX (2021)'!E122</f>
        <v>187.4</v>
      </c>
      <c r="F8" s="157">
        <f>'Perhitungan OMAX (2022)'!E121</f>
        <v>215.8</v>
      </c>
    </row>
    <row r="9" spans="3:7">
      <c r="D9" s="20" t="s">
        <v>36</v>
      </c>
      <c r="E9" s="105">
        <f>'Perhitungan OMAX (2021)'!E145</f>
        <v>356.29999999999995</v>
      </c>
      <c r="F9" s="157">
        <f>'Perhitungan OMAX (2022)'!E144</f>
        <v>422.3</v>
      </c>
    </row>
    <row r="10" spans="3:7">
      <c r="D10" s="20" t="s">
        <v>37</v>
      </c>
      <c r="E10" s="105">
        <f>'Perhitungan OMAX (2021)'!E168</f>
        <v>356.29999999999995</v>
      </c>
      <c r="F10" s="157">
        <f>'Perhitungan OMAX (2022)'!E167</f>
        <v>507</v>
      </c>
    </row>
  </sheetData>
  <mergeCells count="1">
    <mergeCell ref="D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 Omax  </vt:lpstr>
      <vt:lpstr>Data perhitungan rasio </vt:lpstr>
      <vt:lpstr>PEMBOBOTAN (AHP)</vt:lpstr>
      <vt:lpstr>Rasio dan Penentuan Level</vt:lpstr>
      <vt:lpstr>Perhitungan OMAX (2021)</vt:lpstr>
      <vt:lpstr>Perhitungan OMAX (2022)</vt:lpstr>
      <vt:lpstr>Rekapitulasi Skor dan Indeks</vt:lpstr>
      <vt:lpstr>Grafik Indeks Produktivitas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P7</dc:creator>
  <cp:lastModifiedBy>P7</cp:lastModifiedBy>
  <dcterms:created xsi:type="dcterms:W3CDTF">2023-07-04T10:14:55Z</dcterms:created>
  <dcterms:modified xsi:type="dcterms:W3CDTF">2023-08-28T12:44:19Z</dcterms:modified>
</cp:coreProperties>
</file>