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C:\Users\avi\Documents\1. Husen Skripsi\"/>
    </mc:Choice>
  </mc:AlternateContent>
  <bookViews>
    <workbookView xWindow="0" yWindow="0" windowWidth="9345" windowHeight="7110" firstSheet="2" activeTab="7"/>
  </bookViews>
  <sheets>
    <sheet name="9.Kelarutan" sheetId="6" r:id="rId1"/>
    <sheet name="10Rendemen" sheetId="5" r:id="rId2"/>
    <sheet name="Sheet1" sheetId="8" r:id="rId3"/>
    <sheet name="8Vitamin C " sheetId="2" r:id="rId4"/>
    <sheet name="7Kadar Air" sheetId="3" r:id="rId5"/>
    <sheet name="11.Warna fisik" sheetId="1" r:id="rId6"/>
    <sheet name="12.Orgaoleptik" sheetId="4" r:id="rId7"/>
    <sheet name="Perlakuan Terbaik" sheetId="7" r:id="rId8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U15" i="7" l="1"/>
  <c r="U14" i="7"/>
  <c r="U13" i="7"/>
  <c r="U12" i="7"/>
  <c r="U11" i="7"/>
  <c r="U10" i="7"/>
  <c r="U9" i="7"/>
  <c r="U8" i="7"/>
  <c r="U7" i="7"/>
  <c r="U6" i="7"/>
  <c r="S15" i="7"/>
  <c r="S14" i="7"/>
  <c r="S13" i="7"/>
  <c r="S12" i="7"/>
  <c r="S11" i="7"/>
  <c r="S10" i="7"/>
  <c r="S9" i="7"/>
  <c r="S8" i="7"/>
  <c r="S7" i="7"/>
  <c r="S6" i="7"/>
  <c r="Q15" i="7"/>
  <c r="Q14" i="7"/>
  <c r="Q13" i="7"/>
  <c r="Q12" i="7"/>
  <c r="Q11" i="7"/>
  <c r="Q10" i="7"/>
  <c r="Q9" i="7"/>
  <c r="Q8" i="7"/>
  <c r="Q7" i="7"/>
  <c r="Q6" i="7"/>
  <c r="O15" i="7"/>
  <c r="O14" i="7"/>
  <c r="O13" i="7"/>
  <c r="O12" i="7"/>
  <c r="O11" i="7"/>
  <c r="O10" i="7"/>
  <c r="O9" i="7"/>
  <c r="O8" i="7"/>
  <c r="O7" i="7"/>
  <c r="O6" i="7"/>
  <c r="M15" i="7"/>
  <c r="M14" i="7"/>
  <c r="M13" i="7"/>
  <c r="M12" i="7"/>
  <c r="M11" i="7"/>
  <c r="M10" i="7"/>
  <c r="M9" i="7"/>
  <c r="M8" i="7"/>
  <c r="M7" i="7"/>
  <c r="M6" i="7"/>
  <c r="K15" i="7"/>
  <c r="K14" i="7"/>
  <c r="K13" i="7"/>
  <c r="K12" i="7"/>
  <c r="K11" i="7"/>
  <c r="K10" i="7"/>
  <c r="K9" i="7"/>
  <c r="K8" i="7"/>
  <c r="K7" i="7"/>
  <c r="K6" i="7"/>
  <c r="I15" i="7"/>
  <c r="I14" i="7"/>
  <c r="I13" i="7"/>
  <c r="I12" i="7"/>
  <c r="I11" i="7"/>
  <c r="I10" i="7"/>
  <c r="I9" i="7"/>
  <c r="I8" i="7"/>
  <c r="I7" i="7"/>
  <c r="I6" i="7"/>
  <c r="G15" i="7"/>
  <c r="G14" i="7"/>
  <c r="G13" i="7"/>
  <c r="G12" i="7"/>
  <c r="G11" i="7"/>
  <c r="G10" i="7"/>
  <c r="G9" i="7"/>
  <c r="G8" i="7"/>
  <c r="G7" i="7"/>
  <c r="G6" i="7"/>
  <c r="E15" i="7"/>
  <c r="E14" i="7"/>
  <c r="E13" i="7"/>
  <c r="E12" i="7"/>
  <c r="E11" i="7"/>
  <c r="E10" i="7"/>
  <c r="E9" i="7"/>
  <c r="E8" i="7"/>
  <c r="E7" i="7"/>
  <c r="E6" i="7"/>
  <c r="F6" i="7" l="1"/>
  <c r="F25" i="7"/>
  <c r="D26" i="7" l="1"/>
  <c r="D27" i="7"/>
  <c r="D28" i="7"/>
  <c r="D29" i="7"/>
  <c r="D30" i="7"/>
  <c r="D31" i="7"/>
  <c r="D32" i="7"/>
  <c r="D33" i="7"/>
  <c r="D25" i="7"/>
  <c r="L39" i="6" l="1"/>
  <c r="M34" i="6"/>
  <c r="M33" i="6"/>
  <c r="M32" i="6"/>
  <c r="M31" i="6"/>
  <c r="L28" i="6"/>
  <c r="P21" i="6"/>
  <c r="O21" i="6"/>
  <c r="M49" i="5" l="1"/>
  <c r="O43" i="5"/>
  <c r="O42" i="5"/>
  <c r="O41" i="5"/>
  <c r="O47" i="5"/>
  <c r="N38" i="5"/>
  <c r="J23" i="8" l="1"/>
  <c r="K23" i="8"/>
  <c r="I23" i="8"/>
  <c r="O31" i="2" l="1"/>
  <c r="N31" i="2"/>
  <c r="M37" i="2"/>
  <c r="M36" i="2"/>
  <c r="M35" i="2"/>
  <c r="L5" i="8"/>
  <c r="J19" i="8" s="1"/>
  <c r="L6" i="8"/>
  <c r="K19" i="8" s="1"/>
  <c r="L7" i="8"/>
  <c r="I20" i="8" s="1"/>
  <c r="L8" i="8"/>
  <c r="J20" i="8" s="1"/>
  <c r="L9" i="8"/>
  <c r="K20" i="8" s="1"/>
  <c r="L10" i="8"/>
  <c r="M10" i="8" s="1"/>
  <c r="L11" i="8"/>
  <c r="J21" i="8" s="1"/>
  <c r="L12" i="8"/>
  <c r="M12" i="8" s="1"/>
  <c r="L4" i="8"/>
  <c r="I19" i="8" s="1"/>
  <c r="K13" i="8"/>
  <c r="J13" i="8"/>
  <c r="I13" i="8"/>
  <c r="F42" i="5"/>
  <c r="R54" i="5"/>
  <c r="J26" i="7"/>
  <c r="J27" i="7"/>
  <c r="J28" i="7"/>
  <c r="J29" i="7"/>
  <c r="J30" i="7"/>
  <c r="J31" i="7"/>
  <c r="J32" i="7"/>
  <c r="J33" i="7"/>
  <c r="J25" i="7"/>
  <c r="P31" i="3"/>
  <c r="P30" i="3"/>
  <c r="R55" i="5"/>
  <c r="P32" i="5"/>
  <c r="O31" i="5"/>
  <c r="N31" i="5"/>
  <c r="K21" i="8" l="1"/>
  <c r="M11" i="8"/>
  <c r="I21" i="8"/>
  <c r="L21" i="8" s="1"/>
  <c r="M21" i="8" s="1"/>
  <c r="M9" i="8"/>
  <c r="K22" i="8"/>
  <c r="L20" i="8"/>
  <c r="M20" i="8" s="1"/>
  <c r="J22" i="8"/>
  <c r="M8" i="8"/>
  <c r="M7" i="8"/>
  <c r="M6" i="8"/>
  <c r="M5" i="8"/>
  <c r="L19" i="8"/>
  <c r="M19" i="8" s="1"/>
  <c r="M4" i="8"/>
  <c r="P31" i="5"/>
  <c r="Q31" i="5" s="1"/>
  <c r="Q17" i="5"/>
  <c r="R17" i="5" s="1"/>
  <c r="M32" i="2"/>
  <c r="R31" i="5" l="1"/>
  <c r="I22" i="8"/>
  <c r="L22" i="8" s="1"/>
  <c r="I26" i="8" s="1"/>
  <c r="J35" i="8" s="1"/>
  <c r="M25" i="2"/>
  <c r="N25" i="2"/>
  <c r="L25" i="2"/>
  <c r="P23" i="2"/>
  <c r="P22" i="2"/>
  <c r="P21" i="2"/>
  <c r="O20" i="3"/>
  <c r="O27" i="3"/>
  <c r="T52" i="3"/>
  <c r="T51" i="3"/>
  <c r="T46" i="3"/>
  <c r="T45" i="3"/>
  <c r="J29" i="8" l="1"/>
  <c r="K29" i="8" s="1"/>
  <c r="J32" i="8"/>
  <c r="K32" i="8" s="1"/>
  <c r="J31" i="8"/>
  <c r="K31" i="8" s="1"/>
  <c r="J30" i="8"/>
  <c r="K30" i="8" s="1"/>
  <c r="O24" i="2"/>
  <c r="N24" i="2"/>
  <c r="M24" i="2"/>
  <c r="L24" i="2"/>
  <c r="L28" i="2"/>
  <c r="M31" i="2"/>
  <c r="O22" i="2"/>
  <c r="L23" i="2"/>
  <c r="L22" i="2"/>
  <c r="L21" i="2"/>
  <c r="N12" i="2"/>
  <c r="N13" i="2"/>
  <c r="N14" i="2"/>
  <c r="N15" i="2"/>
  <c r="N11" i="2"/>
  <c r="N10" i="2"/>
  <c r="N9" i="2"/>
  <c r="N8" i="2"/>
  <c r="N7" i="2"/>
  <c r="M15" i="2"/>
  <c r="M14" i="2"/>
  <c r="M13" i="2"/>
  <c r="M12" i="2"/>
  <c r="M11" i="2"/>
  <c r="M10" i="2"/>
  <c r="M9" i="2"/>
  <c r="M8" i="2"/>
  <c r="M7" i="2"/>
  <c r="L15" i="2"/>
  <c r="L14" i="2"/>
  <c r="L13" i="2"/>
  <c r="L12" i="2"/>
  <c r="L11" i="2"/>
  <c r="L10" i="2"/>
  <c r="L9" i="2"/>
  <c r="L8" i="2"/>
  <c r="L7" i="2"/>
  <c r="G8" i="2"/>
  <c r="G9" i="2"/>
  <c r="G10" i="2"/>
  <c r="G11" i="2"/>
  <c r="G12" i="2"/>
  <c r="G13" i="2"/>
  <c r="G14" i="2"/>
  <c r="G15" i="2"/>
  <c r="G16" i="2"/>
  <c r="G17" i="2"/>
  <c r="G18" i="2"/>
  <c r="G19" i="2"/>
  <c r="G20" i="2"/>
  <c r="G21" i="2"/>
  <c r="G22" i="2"/>
  <c r="G23" i="2"/>
  <c r="G24" i="2"/>
  <c r="G25" i="2"/>
  <c r="G26" i="2"/>
  <c r="G27" i="2"/>
  <c r="G28" i="2"/>
  <c r="G29" i="2"/>
  <c r="G30" i="2"/>
  <c r="G31" i="2"/>
  <c r="G32" i="2"/>
  <c r="G33" i="2"/>
  <c r="G7" i="2"/>
  <c r="E8" i="2"/>
  <c r="E9" i="2"/>
  <c r="E10" i="2"/>
  <c r="E11" i="2"/>
  <c r="E12" i="2"/>
  <c r="E13" i="2"/>
  <c r="E14" i="2"/>
  <c r="E15" i="2"/>
  <c r="E16" i="2"/>
  <c r="E17" i="2"/>
  <c r="E18" i="2"/>
  <c r="E19" i="2"/>
  <c r="E20" i="2"/>
  <c r="E21" i="2"/>
  <c r="E22" i="2"/>
  <c r="E23" i="2"/>
  <c r="E24" i="2"/>
  <c r="E25" i="2"/>
  <c r="E26" i="2"/>
  <c r="E27" i="2"/>
  <c r="E28" i="2"/>
  <c r="E29" i="2"/>
  <c r="E30" i="2"/>
  <c r="E31" i="2"/>
  <c r="E32" i="2"/>
  <c r="E33" i="2"/>
  <c r="E7" i="2"/>
  <c r="J34" i="8" l="1"/>
  <c r="K34" i="8" s="1"/>
  <c r="I38" i="8" s="1"/>
  <c r="J33" i="8"/>
  <c r="K33" i="8" s="1"/>
  <c r="L30" i="8"/>
  <c r="M30" i="8" s="1"/>
  <c r="L31" i="8"/>
  <c r="M31" i="8" s="1"/>
  <c r="F7" i="2"/>
  <c r="F8" i="2"/>
  <c r="F9" i="2"/>
  <c r="F10" i="2"/>
  <c r="F11" i="2"/>
  <c r="F12" i="2"/>
  <c r="F13" i="2"/>
  <c r="F14" i="2"/>
  <c r="F16" i="2"/>
  <c r="F17" i="2"/>
  <c r="F18" i="2"/>
  <c r="F19" i="2"/>
  <c r="F21" i="2"/>
  <c r="F22" i="2"/>
  <c r="F23" i="2"/>
  <c r="F24" i="2"/>
  <c r="F25" i="2"/>
  <c r="F26" i="2"/>
  <c r="F27" i="2"/>
  <c r="F28" i="2"/>
  <c r="F29" i="2"/>
  <c r="F30" i="2"/>
  <c r="F31" i="2"/>
  <c r="F32" i="2"/>
  <c r="F33" i="2"/>
  <c r="L29" i="8" l="1"/>
  <c r="M29" i="8" s="1"/>
  <c r="L32" i="8"/>
  <c r="M32" i="8" s="1"/>
  <c r="L33" i="8"/>
  <c r="M33" i="8" s="1"/>
  <c r="N23" i="2"/>
  <c r="M36" i="6" l="1"/>
  <c r="M37" i="6"/>
  <c r="P35" i="3"/>
  <c r="P36" i="3"/>
  <c r="AK56" i="4" l="1"/>
  <c r="S4" i="1" l="1"/>
  <c r="M35" i="6"/>
  <c r="N31" i="6"/>
  <c r="S37" i="1"/>
  <c r="T24" i="1" l="1"/>
  <c r="AF44" i="4"/>
  <c r="AF81" i="4"/>
  <c r="C16" i="7"/>
  <c r="R26" i="7"/>
  <c r="R27" i="7"/>
  <c r="R28" i="7"/>
  <c r="R29" i="7"/>
  <c r="R30" i="7"/>
  <c r="R31" i="7"/>
  <c r="R32" i="7"/>
  <c r="R33" i="7"/>
  <c r="R25" i="7"/>
  <c r="V26" i="7"/>
  <c r="V27" i="7"/>
  <c r="V28" i="7"/>
  <c r="V29" i="7"/>
  <c r="V30" i="7"/>
  <c r="V31" i="7"/>
  <c r="V32" i="7"/>
  <c r="V33" i="7"/>
  <c r="V25" i="7"/>
  <c r="T26" i="7"/>
  <c r="T27" i="7"/>
  <c r="T28" i="7"/>
  <c r="T29" i="7"/>
  <c r="T30" i="7"/>
  <c r="T31" i="7"/>
  <c r="T32" i="7"/>
  <c r="T33" i="7"/>
  <c r="T25" i="7"/>
  <c r="P26" i="7"/>
  <c r="P27" i="7"/>
  <c r="P28" i="7"/>
  <c r="P29" i="7"/>
  <c r="P30" i="7"/>
  <c r="P31" i="7"/>
  <c r="P32" i="7"/>
  <c r="P33" i="7"/>
  <c r="P25" i="7"/>
  <c r="N26" i="7"/>
  <c r="N27" i="7"/>
  <c r="N28" i="7"/>
  <c r="N29" i="7"/>
  <c r="N30" i="7"/>
  <c r="N31" i="7"/>
  <c r="N32" i="7"/>
  <c r="N33" i="7"/>
  <c r="N25" i="7"/>
  <c r="L26" i="7"/>
  <c r="L27" i="7"/>
  <c r="L28" i="7"/>
  <c r="L29" i="7"/>
  <c r="L30" i="7"/>
  <c r="L31" i="7"/>
  <c r="L32" i="7"/>
  <c r="L33" i="7"/>
  <c r="L25" i="7"/>
  <c r="H26" i="7"/>
  <c r="H27" i="7"/>
  <c r="H28" i="7"/>
  <c r="H29" i="7"/>
  <c r="H30" i="7"/>
  <c r="H31" i="7"/>
  <c r="H32" i="7"/>
  <c r="H33" i="7"/>
  <c r="H25" i="7"/>
  <c r="F26" i="7"/>
  <c r="F27" i="7"/>
  <c r="F28" i="7"/>
  <c r="F29" i="7"/>
  <c r="F30" i="7"/>
  <c r="F31" i="7"/>
  <c r="F32" i="7"/>
  <c r="F33" i="7"/>
  <c r="G8" i="1" l="1"/>
  <c r="G9" i="1"/>
  <c r="G10" i="1"/>
  <c r="G11" i="1"/>
  <c r="G12" i="1"/>
  <c r="G13" i="1"/>
  <c r="G14" i="1"/>
  <c r="G15" i="1"/>
  <c r="G7" i="1"/>
  <c r="G41" i="1"/>
  <c r="G42" i="1"/>
  <c r="G43" i="1"/>
  <c r="G44" i="1"/>
  <c r="G45" i="1"/>
  <c r="G46" i="1"/>
  <c r="G47" i="1"/>
  <c r="G48" i="1"/>
  <c r="G40" i="1"/>
  <c r="D34" i="1"/>
  <c r="E34" i="1"/>
  <c r="C34" i="1"/>
  <c r="G25" i="1"/>
  <c r="G26" i="1"/>
  <c r="G27" i="1"/>
  <c r="G28" i="1"/>
  <c r="G29" i="1"/>
  <c r="G30" i="1"/>
  <c r="G31" i="1"/>
  <c r="G32" i="1"/>
  <c r="G24" i="1"/>
  <c r="Q24" i="3"/>
  <c r="S21" i="3"/>
  <c r="S22" i="3"/>
  <c r="Q45" i="6"/>
  <c r="Q50" i="6"/>
  <c r="Q51" i="6"/>
  <c r="Q44" i="6"/>
  <c r="M25" i="6"/>
  <c r="N25" i="6"/>
  <c r="L25" i="6"/>
  <c r="P22" i="6"/>
  <c r="P23" i="6"/>
  <c r="AK101" i="4"/>
  <c r="AK95" i="4"/>
  <c r="AK96" i="4"/>
  <c r="AK97" i="4"/>
  <c r="AK98" i="4"/>
  <c r="AK99" i="4"/>
  <c r="AK100" i="4"/>
  <c r="AK94" i="4"/>
  <c r="AK58" i="4"/>
  <c r="AK57" i="4"/>
  <c r="AK59" i="4"/>
  <c r="AK60" i="4"/>
  <c r="AK61" i="4"/>
  <c r="AK62" i="4"/>
  <c r="AK63" i="4"/>
  <c r="AJ82" i="4"/>
  <c r="P75" i="4" l="1"/>
  <c r="O75" i="4"/>
  <c r="AJ44" i="4"/>
  <c r="AK45" i="4"/>
  <c r="AK44" i="4"/>
  <c r="AJ91" i="4" l="1"/>
  <c r="AK90" i="4"/>
  <c r="AJ90" i="4"/>
  <c r="AK89" i="4"/>
  <c r="AJ89" i="4"/>
  <c r="AK88" i="4"/>
  <c r="AJ88" i="4"/>
  <c r="AK87" i="4"/>
  <c r="AJ87" i="4"/>
  <c r="AK86" i="4"/>
  <c r="AJ86" i="4"/>
  <c r="AK85" i="4"/>
  <c r="AJ85" i="4"/>
  <c r="AK84" i="4"/>
  <c r="AJ84" i="4"/>
  <c r="AK83" i="4"/>
  <c r="AJ83" i="4"/>
  <c r="AK82" i="4"/>
  <c r="AF82" i="4"/>
  <c r="Q75" i="4"/>
  <c r="R75" i="4"/>
  <c r="S75" i="4"/>
  <c r="T75" i="4"/>
  <c r="U75" i="4"/>
  <c r="V75" i="4"/>
  <c r="W75" i="4"/>
  <c r="O77" i="4"/>
  <c r="O76" i="4"/>
  <c r="AJ53" i="4"/>
  <c r="AK52" i="4"/>
  <c r="AK51" i="4"/>
  <c r="AK50" i="4"/>
  <c r="AK49" i="4"/>
  <c r="AK48" i="4"/>
  <c r="AK47" i="4"/>
  <c r="AK46" i="4"/>
  <c r="AJ52" i="4"/>
  <c r="AJ51" i="4"/>
  <c r="AJ50" i="4"/>
  <c r="AJ49" i="4"/>
  <c r="AJ48" i="4"/>
  <c r="AJ47" i="4"/>
  <c r="AJ46" i="4"/>
  <c r="AJ45" i="4"/>
  <c r="AJ8" i="4"/>
  <c r="AJ7" i="4"/>
  <c r="AF43" i="4" l="1"/>
  <c r="AF7" i="4"/>
  <c r="AK15" i="4"/>
  <c r="AK14" i="4"/>
  <c r="AK13" i="4"/>
  <c r="AK12" i="4"/>
  <c r="AK11" i="4"/>
  <c r="AK10" i="4"/>
  <c r="AK9" i="4"/>
  <c r="AK8" i="4"/>
  <c r="AK7" i="4"/>
  <c r="AJ15" i="4"/>
  <c r="AJ14" i="4"/>
  <c r="AJ13" i="4"/>
  <c r="AJ12" i="4"/>
  <c r="AJ11" i="4"/>
  <c r="AJ10" i="4"/>
  <c r="AJ9" i="4"/>
  <c r="AJ16" i="4"/>
  <c r="Y112" i="4"/>
  <c r="O113" i="4"/>
  <c r="Y109" i="4"/>
  <c r="Y104" i="4"/>
  <c r="V114" i="4"/>
  <c r="Y98" i="4"/>
  <c r="Y97" i="4"/>
  <c r="Y95" i="4"/>
  <c r="Y94" i="4"/>
  <c r="Y92" i="4"/>
  <c r="Y88" i="4"/>
  <c r="Y87" i="4"/>
  <c r="Y84" i="4"/>
  <c r="Y110" i="4"/>
  <c r="Y106" i="4"/>
  <c r="Y105" i="4"/>
  <c r="Y103" i="4"/>
  <c r="Y102" i="4"/>
  <c r="Y101" i="4"/>
  <c r="Y100" i="4"/>
  <c r="Y99" i="4"/>
  <c r="Y93" i="4"/>
  <c r="Y91" i="4"/>
  <c r="Y90" i="4"/>
  <c r="Y89" i="4"/>
  <c r="Y86" i="4"/>
  <c r="Y85" i="4"/>
  <c r="R114" i="4"/>
  <c r="Y73" i="4"/>
  <c r="Y71" i="4"/>
  <c r="Y70" i="4"/>
  <c r="Y69" i="4"/>
  <c r="Y67" i="4"/>
  <c r="Y66" i="4"/>
  <c r="Y64" i="4"/>
  <c r="Y61" i="4"/>
  <c r="Y60" i="4"/>
  <c r="Y53" i="4"/>
  <c r="Y65" i="4"/>
  <c r="Y63" i="4"/>
  <c r="Y62" i="4"/>
  <c r="Y58" i="4"/>
  <c r="Y57" i="4"/>
  <c r="Y56" i="4"/>
  <c r="Y55" i="4"/>
  <c r="Y54" i="4"/>
  <c r="Y52" i="4"/>
  <c r="Y51" i="4"/>
  <c r="Y50" i="4"/>
  <c r="Y49" i="4"/>
  <c r="Y48" i="4"/>
  <c r="Y47" i="4"/>
  <c r="Y46" i="4"/>
  <c r="V76" i="4"/>
  <c r="T76" i="4"/>
  <c r="R76" i="4"/>
  <c r="P76" i="4"/>
  <c r="Y28" i="4"/>
  <c r="Y26" i="4"/>
  <c r="Y25" i="4"/>
  <c r="Y22" i="4"/>
  <c r="Y20" i="4"/>
  <c r="Y18" i="4"/>
  <c r="Y14" i="4"/>
  <c r="Y7" i="4"/>
  <c r="Y36" i="4"/>
  <c r="Y34" i="4"/>
  <c r="Y32" i="4"/>
  <c r="Y30" i="4"/>
  <c r="Y27" i="4"/>
  <c r="Y24" i="4"/>
  <c r="Y23" i="4"/>
  <c r="Y21" i="4"/>
  <c r="Y19" i="4"/>
  <c r="Y17" i="4"/>
  <c r="Y16" i="4"/>
  <c r="Y15" i="4"/>
  <c r="Y13" i="4"/>
  <c r="Y12" i="4"/>
  <c r="Y9" i="4"/>
  <c r="Y8" i="4"/>
  <c r="V38" i="4"/>
  <c r="T38" i="4"/>
  <c r="R38" i="4"/>
  <c r="P38" i="4"/>
  <c r="O115" i="4" l="1"/>
  <c r="Y111" i="4"/>
  <c r="Y108" i="4"/>
  <c r="O114" i="4"/>
  <c r="Y107" i="4"/>
  <c r="T114" i="4"/>
  <c r="P114" i="4"/>
  <c r="Y96" i="4"/>
  <c r="S114" i="4"/>
  <c r="W114" i="4"/>
  <c r="W113" i="4"/>
  <c r="W115" i="4" s="1"/>
  <c r="U114" i="4"/>
  <c r="S113" i="4"/>
  <c r="S115" i="4" s="1"/>
  <c r="Q114" i="4"/>
  <c r="Q113" i="4"/>
  <c r="Q115" i="4" s="1"/>
  <c r="U113" i="4"/>
  <c r="U115" i="4" s="1"/>
  <c r="Y83" i="4"/>
  <c r="P113" i="4"/>
  <c r="P115" i="4" s="1"/>
  <c r="R113" i="4"/>
  <c r="R115" i="4" s="1"/>
  <c r="T113" i="4"/>
  <c r="T115" i="4" s="1"/>
  <c r="V113" i="4"/>
  <c r="V115" i="4" s="1"/>
  <c r="Y74" i="4"/>
  <c r="Y72" i="4"/>
  <c r="Y68" i="4"/>
  <c r="Y59" i="4"/>
  <c r="W77" i="4"/>
  <c r="U77" i="4"/>
  <c r="S77" i="4"/>
  <c r="Q77" i="4"/>
  <c r="Y45" i="4"/>
  <c r="P77" i="4"/>
  <c r="R77" i="4"/>
  <c r="T77" i="4"/>
  <c r="V77" i="4"/>
  <c r="Q76" i="4"/>
  <c r="S76" i="4"/>
  <c r="U76" i="4"/>
  <c r="W76" i="4"/>
  <c r="Y35" i="4"/>
  <c r="Y33" i="4"/>
  <c r="Y31" i="4"/>
  <c r="Y29" i="4"/>
  <c r="W37" i="4"/>
  <c r="W39" i="4" s="1"/>
  <c r="U37" i="4"/>
  <c r="U39" i="4" s="1"/>
  <c r="S37" i="4"/>
  <c r="S39" i="4" s="1"/>
  <c r="Q37" i="4"/>
  <c r="Q39" i="4" s="1"/>
  <c r="Y11" i="4"/>
  <c r="O37" i="4"/>
  <c r="Y10" i="4"/>
  <c r="P37" i="4"/>
  <c r="P39" i="4" s="1"/>
  <c r="R37" i="4"/>
  <c r="R39" i="4" s="1"/>
  <c r="T37" i="4"/>
  <c r="T39" i="4" s="1"/>
  <c r="V37" i="4"/>
  <c r="V39" i="4" s="1"/>
  <c r="O38" i="4"/>
  <c r="Q38" i="4"/>
  <c r="S38" i="4"/>
  <c r="U38" i="4"/>
  <c r="W38" i="4"/>
  <c r="O39" i="4" l="1"/>
  <c r="AF6" i="4"/>
  <c r="T30" i="1"/>
  <c r="T29" i="1"/>
  <c r="U29" i="1" s="1"/>
  <c r="S21" i="1"/>
  <c r="T25" i="1"/>
  <c r="U24" i="1"/>
  <c r="Q30" i="3"/>
  <c r="T45" i="1"/>
  <c r="T44" i="1"/>
  <c r="T43" i="1"/>
  <c r="T42" i="1"/>
  <c r="T41" i="1"/>
  <c r="U45" i="1"/>
  <c r="U40" i="1"/>
  <c r="V40" i="1" s="1"/>
  <c r="T46" i="1"/>
  <c r="L42" i="1"/>
  <c r="K42" i="1"/>
  <c r="J42" i="1"/>
  <c r="M42" i="1" s="1"/>
  <c r="N42" i="1" s="1"/>
  <c r="L41" i="1"/>
  <c r="K41" i="1"/>
  <c r="K43" i="1" s="1"/>
  <c r="K44" i="1" s="1"/>
  <c r="J41" i="1"/>
  <c r="L40" i="1"/>
  <c r="L43" i="1" s="1"/>
  <c r="L44" i="1" s="1"/>
  <c r="K40" i="1"/>
  <c r="J40" i="1"/>
  <c r="J43" i="1" s="1"/>
  <c r="L26" i="1"/>
  <c r="K26" i="1"/>
  <c r="J26" i="1"/>
  <c r="M26" i="1" s="1"/>
  <c r="N26" i="1" s="1"/>
  <c r="L25" i="1"/>
  <c r="K25" i="1"/>
  <c r="J25" i="1"/>
  <c r="M25" i="1" s="1"/>
  <c r="N25" i="1" s="1"/>
  <c r="L24" i="1"/>
  <c r="L27" i="1" s="1"/>
  <c r="L28" i="1" s="1"/>
  <c r="K24" i="1"/>
  <c r="K27" i="1" s="1"/>
  <c r="K28" i="1" s="1"/>
  <c r="J24" i="1"/>
  <c r="J27" i="1" s="1"/>
  <c r="V24" i="1" l="1"/>
  <c r="J44" i="1"/>
  <c r="M44" i="1"/>
  <c r="M43" i="1"/>
  <c r="M41" i="1"/>
  <c r="N41" i="1" s="1"/>
  <c r="M40" i="1"/>
  <c r="N40" i="1" s="1"/>
  <c r="J28" i="1"/>
  <c r="M28" i="1"/>
  <c r="M27" i="1"/>
  <c r="M24" i="1"/>
  <c r="N24" i="1" s="1"/>
  <c r="L9" i="1"/>
  <c r="L8" i="1"/>
  <c r="K9" i="1"/>
  <c r="K8" i="1"/>
  <c r="J8" i="1"/>
  <c r="F7" i="1"/>
  <c r="L7" i="1"/>
  <c r="J7" i="1"/>
  <c r="K7" i="1"/>
  <c r="K10" i="1"/>
  <c r="K11" i="1" s="1"/>
  <c r="L10" i="1"/>
  <c r="L11" i="1" s="1"/>
  <c r="R20" i="3"/>
  <c r="P32" i="3" s="1"/>
  <c r="Q22" i="3"/>
  <c r="P22" i="3"/>
  <c r="O22" i="3"/>
  <c r="Q21" i="3"/>
  <c r="P21" i="3"/>
  <c r="O21" i="3"/>
  <c r="Q20" i="3"/>
  <c r="Q15" i="3"/>
  <c r="P15" i="3"/>
  <c r="O15" i="3"/>
  <c r="S14" i="3"/>
  <c r="R14" i="3"/>
  <c r="S13" i="3"/>
  <c r="R13" i="3"/>
  <c r="S12" i="3"/>
  <c r="R12" i="3"/>
  <c r="S11" i="3"/>
  <c r="R11" i="3"/>
  <c r="S10" i="3"/>
  <c r="R10" i="3"/>
  <c r="S9" i="3"/>
  <c r="R9" i="3"/>
  <c r="S8" i="3"/>
  <c r="R8" i="3"/>
  <c r="S7" i="3"/>
  <c r="R7" i="3"/>
  <c r="S6" i="3"/>
  <c r="S15" i="3" s="1"/>
  <c r="R6" i="3"/>
  <c r="M16" i="2"/>
  <c r="N16" i="2"/>
  <c r="L16" i="2"/>
  <c r="P8" i="2"/>
  <c r="P9" i="2"/>
  <c r="P10" i="2"/>
  <c r="P11" i="2"/>
  <c r="P12" i="2"/>
  <c r="P13" i="2"/>
  <c r="P14" i="2"/>
  <c r="P15" i="2"/>
  <c r="P7" i="2"/>
  <c r="O8" i="2"/>
  <c r="O9" i="2"/>
  <c r="O10" i="2"/>
  <c r="O11" i="2"/>
  <c r="O12" i="2"/>
  <c r="O13" i="2"/>
  <c r="O14" i="2"/>
  <c r="O15" i="2"/>
  <c r="O7" i="2"/>
  <c r="M23" i="2"/>
  <c r="N22" i="2"/>
  <c r="M22" i="2"/>
  <c r="N21" i="2"/>
  <c r="M21" i="2"/>
  <c r="N26" i="5"/>
  <c r="P26" i="5"/>
  <c r="P33" i="5"/>
  <c r="O33" i="5"/>
  <c r="N33" i="5"/>
  <c r="O32" i="5"/>
  <c r="N32" i="5"/>
  <c r="O26" i="5"/>
  <c r="Q25" i="5"/>
  <c r="R25" i="5" s="1"/>
  <c r="Q24" i="5"/>
  <c r="R24" i="5" s="1"/>
  <c r="Q23" i="5"/>
  <c r="R23" i="5" s="1"/>
  <c r="Q22" i="5"/>
  <c r="R22" i="5" s="1"/>
  <c r="Q21" i="5"/>
  <c r="R21" i="5" s="1"/>
  <c r="Q20" i="5"/>
  <c r="R20" i="5" s="1"/>
  <c r="Q19" i="5"/>
  <c r="R19" i="5" s="1"/>
  <c r="Q18" i="5"/>
  <c r="R18" i="5" s="1"/>
  <c r="Q32" i="5" l="1"/>
  <c r="O34" i="5"/>
  <c r="O35" i="5" s="1"/>
  <c r="Q33" i="5"/>
  <c r="S20" i="3"/>
  <c r="O23" i="2"/>
  <c r="N32" i="2"/>
  <c r="P16" i="2"/>
  <c r="O16" i="2"/>
  <c r="Q26" i="5"/>
  <c r="R26" i="5"/>
  <c r="U43" i="1"/>
  <c r="U42" i="1"/>
  <c r="T40" i="1"/>
  <c r="W40" i="1" s="1"/>
  <c r="T27" i="1"/>
  <c r="U27" i="1" s="1"/>
  <c r="T26" i="1"/>
  <c r="U26" i="1" s="1"/>
  <c r="V26" i="1" s="1"/>
  <c r="R15" i="3"/>
  <c r="O23" i="3"/>
  <c r="M8" i="1"/>
  <c r="N8" i="1" s="1"/>
  <c r="M7" i="1"/>
  <c r="N7" i="1" s="1"/>
  <c r="P23" i="3"/>
  <c r="P24" i="3" s="1"/>
  <c r="R21" i="3"/>
  <c r="Q23" i="3"/>
  <c r="R22" i="3"/>
  <c r="O21" i="2"/>
  <c r="O25" i="2" s="1"/>
  <c r="N34" i="5"/>
  <c r="N35" i="5" s="1"/>
  <c r="P34" i="5"/>
  <c r="R32" i="5"/>
  <c r="T32" i="5" s="1"/>
  <c r="R33" i="5" l="1"/>
  <c r="T33" i="5" s="1"/>
  <c r="P35" i="5"/>
  <c r="P33" i="3"/>
  <c r="O24" i="3"/>
  <c r="P34" i="3"/>
  <c r="N36" i="2"/>
  <c r="O32" i="2" s="1"/>
  <c r="M34" i="2"/>
  <c r="N34" i="2" s="1"/>
  <c r="M33" i="2"/>
  <c r="V42" i="1"/>
  <c r="W42" i="1" s="1"/>
  <c r="V43" i="1"/>
  <c r="W43" i="1" s="1"/>
  <c r="Q35" i="5"/>
  <c r="U44" i="1"/>
  <c r="U41" i="1"/>
  <c r="T28" i="1"/>
  <c r="U28" i="1" s="1"/>
  <c r="U25" i="1"/>
  <c r="V25" i="1" s="1"/>
  <c r="R23" i="3"/>
  <c r="R24" i="3"/>
  <c r="Q34" i="5"/>
  <c r="P41" i="5" l="1"/>
  <c r="O44" i="5"/>
  <c r="P43" i="5"/>
  <c r="O34" i="2"/>
  <c r="P34" i="2" s="1"/>
  <c r="N35" i="2"/>
  <c r="O35" i="2" s="1"/>
  <c r="P35" i="2" s="1"/>
  <c r="N33" i="2"/>
  <c r="O33" i="2" s="1"/>
  <c r="V44" i="1"/>
  <c r="W44" i="1" s="1"/>
  <c r="V41" i="1"/>
  <c r="W41" i="1" s="1"/>
  <c r="V27" i="1"/>
  <c r="W27" i="1" s="1"/>
  <c r="W24" i="1"/>
  <c r="W26" i="1"/>
  <c r="V28" i="1"/>
  <c r="W25" i="1"/>
  <c r="W28" i="1"/>
  <c r="Q31" i="3"/>
  <c r="Q32" i="3"/>
  <c r="Q33" i="3"/>
  <c r="O46" i="5" l="1"/>
  <c r="O45" i="5"/>
  <c r="P45" i="5"/>
  <c r="P44" i="5"/>
  <c r="P42" i="5"/>
  <c r="Q35" i="3"/>
  <c r="O40" i="3" s="1"/>
  <c r="Q34" i="3"/>
  <c r="P33" i="2"/>
  <c r="P32" i="2"/>
  <c r="P31" i="2"/>
  <c r="R32" i="3" l="1"/>
  <c r="S32" i="3" s="1"/>
  <c r="R30" i="3"/>
  <c r="S30" i="3" s="1"/>
  <c r="P46" i="5"/>
  <c r="R31" i="3"/>
  <c r="S31" i="3" s="1"/>
  <c r="R33" i="3"/>
  <c r="S33" i="3" s="1"/>
  <c r="R34" i="3"/>
  <c r="S34" i="3" s="1"/>
  <c r="P8" i="6"/>
  <c r="P9" i="6"/>
  <c r="P10" i="6"/>
  <c r="P11" i="6"/>
  <c r="P12" i="6"/>
  <c r="P13" i="6"/>
  <c r="P14" i="6"/>
  <c r="P15" i="6"/>
  <c r="P7" i="6"/>
  <c r="M16" i="6"/>
  <c r="N16" i="6"/>
  <c r="L16" i="6"/>
  <c r="O8" i="6"/>
  <c r="O9" i="6"/>
  <c r="O10" i="6"/>
  <c r="O11" i="6"/>
  <c r="O12" i="6"/>
  <c r="O13" i="6"/>
  <c r="O14" i="6"/>
  <c r="O15" i="6"/>
  <c r="O7" i="6"/>
  <c r="R53" i="5" l="1"/>
  <c r="Q41" i="5"/>
  <c r="R41" i="5" s="1"/>
  <c r="Q43" i="5"/>
  <c r="R43" i="5" s="1"/>
  <c r="Q44" i="5"/>
  <c r="R44" i="5" s="1"/>
  <c r="Q45" i="5"/>
  <c r="R45" i="5" s="1"/>
  <c r="Q42" i="5"/>
  <c r="R42" i="5" s="1"/>
  <c r="O16" i="6"/>
  <c r="P16" i="6"/>
  <c r="L22" i="6"/>
  <c r="N21" i="6"/>
  <c r="M21" i="6"/>
  <c r="L21" i="6"/>
  <c r="L24" i="6" l="1"/>
  <c r="N23" i="6"/>
  <c r="M23" i="6"/>
  <c r="L23" i="6"/>
  <c r="N22" i="6"/>
  <c r="M22" i="6"/>
  <c r="O22" i="6" l="1"/>
  <c r="M24" i="6"/>
  <c r="O23" i="6"/>
  <c r="N24" i="6"/>
  <c r="O24" i="6" s="1"/>
  <c r="O25" i="6"/>
  <c r="N33" i="6" l="1"/>
  <c r="N32" i="6"/>
  <c r="N34" i="6"/>
  <c r="N35" i="6" l="1"/>
  <c r="AP22" i="7"/>
  <c r="AQ21" i="7"/>
  <c r="AQ20" i="7"/>
  <c r="AQ19" i="7"/>
  <c r="AQ18" i="7"/>
  <c r="AQ17" i="7"/>
  <c r="AQ16" i="7"/>
  <c r="AL22" i="7"/>
  <c r="AM21" i="7"/>
  <c r="AM20" i="7"/>
  <c r="AM19" i="7"/>
  <c r="AM18" i="7"/>
  <c r="AM17" i="7"/>
  <c r="AM16" i="7"/>
  <c r="AH22" i="7"/>
  <c r="AI21" i="7"/>
  <c r="AI20" i="7"/>
  <c r="AI19" i="7"/>
  <c r="AI18" i="7"/>
  <c r="AI17" i="7"/>
  <c r="AI16" i="7"/>
  <c r="AM6" i="7"/>
  <c r="AP12" i="7"/>
  <c r="AQ11" i="7"/>
  <c r="AQ10" i="7"/>
  <c r="AQ9" i="7"/>
  <c r="AQ8" i="7"/>
  <c r="AQ7" i="7"/>
  <c r="AQ6" i="7"/>
  <c r="AL12" i="7"/>
  <c r="AM11" i="7"/>
  <c r="AM10" i="7"/>
  <c r="AM9" i="7"/>
  <c r="AM8" i="7"/>
  <c r="AM7" i="7"/>
  <c r="AH12" i="7"/>
  <c r="AI11" i="7"/>
  <c r="AI10" i="7"/>
  <c r="AI9" i="7"/>
  <c r="AI8" i="7"/>
  <c r="AI7" i="7"/>
  <c r="AI6" i="7"/>
  <c r="AD22" i="7"/>
  <c r="AE21" i="7"/>
  <c r="AE20" i="7"/>
  <c r="AE19" i="7"/>
  <c r="AE18" i="7"/>
  <c r="AE17" i="7"/>
  <c r="AE16" i="7"/>
  <c r="Z22" i="7"/>
  <c r="AA21" i="7"/>
  <c r="AA20" i="7"/>
  <c r="AA19" i="7"/>
  <c r="AA18" i="7"/>
  <c r="AA17" i="7"/>
  <c r="AA16" i="7"/>
  <c r="AD12" i="7"/>
  <c r="AE11" i="7"/>
  <c r="AE10" i="7"/>
  <c r="AE9" i="7"/>
  <c r="AE8" i="7"/>
  <c r="AE7" i="7"/>
  <c r="AE6" i="7"/>
  <c r="AA7" i="7"/>
  <c r="AA8" i="7"/>
  <c r="AA9" i="7"/>
  <c r="AA10" i="7"/>
  <c r="AA11" i="7"/>
  <c r="AA6" i="7"/>
  <c r="Z12" i="7"/>
  <c r="AA12" i="7" l="1"/>
  <c r="AE12" i="7"/>
  <c r="N36" i="6"/>
  <c r="AQ22" i="7"/>
  <c r="AM22" i="7"/>
  <c r="AI22" i="7"/>
  <c r="AM12" i="7"/>
  <c r="AQ12" i="7"/>
  <c r="AI12" i="7"/>
  <c r="AE22" i="7"/>
  <c r="AA22" i="7"/>
  <c r="O33" i="6" l="1"/>
  <c r="P33" i="6" s="1"/>
  <c r="O32" i="6"/>
  <c r="P32" i="6" s="1"/>
  <c r="O31" i="6"/>
  <c r="P31" i="6" s="1"/>
  <c r="O35" i="6"/>
  <c r="P35" i="6" s="1"/>
  <c r="O34" i="6"/>
  <c r="P34" i="6" s="1"/>
  <c r="D7" i="7" l="1"/>
  <c r="D9" i="7"/>
  <c r="D11" i="7"/>
  <c r="D13" i="7"/>
  <c r="D15" i="7"/>
  <c r="D8" i="7"/>
  <c r="D10" i="7"/>
  <c r="D12" i="7"/>
  <c r="D14" i="7"/>
  <c r="D6" i="7"/>
  <c r="N6" i="7" l="1"/>
  <c r="T6" i="7"/>
  <c r="V12" i="7"/>
  <c r="R12" i="7"/>
  <c r="P12" i="7"/>
  <c r="N12" i="7"/>
  <c r="J12" i="7"/>
  <c r="T12" i="7"/>
  <c r="L12" i="7"/>
  <c r="H12" i="7"/>
  <c r="F12" i="7"/>
  <c r="V8" i="7"/>
  <c r="R8" i="7"/>
  <c r="P8" i="7"/>
  <c r="N8" i="7"/>
  <c r="J8" i="7"/>
  <c r="T8" i="7"/>
  <c r="L8" i="7"/>
  <c r="H8" i="7"/>
  <c r="F8" i="7"/>
  <c r="T13" i="7"/>
  <c r="L13" i="7"/>
  <c r="H13" i="7"/>
  <c r="F13" i="7"/>
  <c r="V13" i="7"/>
  <c r="R13" i="7"/>
  <c r="P13" i="7"/>
  <c r="N13" i="7"/>
  <c r="J13" i="7"/>
  <c r="T9" i="7"/>
  <c r="L9" i="7"/>
  <c r="H9" i="7"/>
  <c r="F9" i="7"/>
  <c r="V9" i="7"/>
  <c r="R9" i="7"/>
  <c r="P9" i="7"/>
  <c r="N9" i="7"/>
  <c r="J9" i="7"/>
  <c r="V14" i="7"/>
  <c r="R14" i="7"/>
  <c r="P14" i="7"/>
  <c r="N14" i="7"/>
  <c r="J14" i="7"/>
  <c r="T14" i="7"/>
  <c r="L14" i="7"/>
  <c r="H14" i="7"/>
  <c r="F14" i="7"/>
  <c r="V10" i="7"/>
  <c r="R10" i="7"/>
  <c r="P10" i="7"/>
  <c r="N10" i="7"/>
  <c r="J10" i="7"/>
  <c r="T10" i="7"/>
  <c r="L10" i="7"/>
  <c r="H10" i="7"/>
  <c r="F10" i="7"/>
  <c r="T15" i="7"/>
  <c r="L15" i="7"/>
  <c r="H15" i="7"/>
  <c r="V15" i="7"/>
  <c r="R15" i="7"/>
  <c r="P15" i="7"/>
  <c r="N15" i="7"/>
  <c r="J15" i="7"/>
  <c r="F15" i="7"/>
  <c r="T11" i="7"/>
  <c r="L11" i="7"/>
  <c r="H11" i="7"/>
  <c r="F11" i="7"/>
  <c r="V11" i="7"/>
  <c r="R11" i="7"/>
  <c r="P11" i="7"/>
  <c r="N11" i="7"/>
  <c r="J11" i="7"/>
  <c r="T7" i="7"/>
  <c r="L7" i="7"/>
  <c r="H7" i="7"/>
  <c r="F7" i="7"/>
  <c r="V7" i="7"/>
  <c r="R7" i="7"/>
  <c r="P7" i="7"/>
  <c r="N7" i="7"/>
  <c r="J7" i="7"/>
  <c r="L6" i="7"/>
  <c r="J6" i="7"/>
  <c r="R6" i="7"/>
  <c r="P6" i="7"/>
  <c r="H6" i="7"/>
  <c r="V6" i="7"/>
  <c r="V16" i="7" l="1"/>
  <c r="P16" i="7"/>
  <c r="J16" i="7"/>
  <c r="T16" i="7"/>
  <c r="H16" i="7"/>
  <c r="R16" i="7"/>
  <c r="L16" i="7"/>
  <c r="N16" i="7"/>
  <c r="F16" i="7"/>
  <c r="J8" i="3"/>
  <c r="J9" i="3"/>
  <c r="J10" i="3"/>
  <c r="J11" i="3"/>
  <c r="J12" i="3"/>
  <c r="J13" i="3"/>
  <c r="J14" i="3"/>
  <c r="J15" i="3"/>
  <c r="J16" i="3"/>
  <c r="J17" i="3"/>
  <c r="J18" i="3"/>
  <c r="J19" i="3"/>
  <c r="J20" i="3"/>
  <c r="J21" i="3"/>
  <c r="J22" i="3"/>
  <c r="J23" i="3"/>
  <c r="J24" i="3"/>
  <c r="J25" i="3"/>
  <c r="J26" i="3"/>
  <c r="J27" i="3"/>
  <c r="J28" i="3"/>
  <c r="J29" i="3"/>
  <c r="J30" i="3"/>
  <c r="J31" i="3"/>
  <c r="J32" i="3"/>
  <c r="J33" i="3"/>
  <c r="J7" i="3"/>
  <c r="I8" i="3"/>
  <c r="I9" i="3"/>
  <c r="I10" i="3"/>
  <c r="I11" i="3"/>
  <c r="I12" i="3"/>
  <c r="I13" i="3"/>
  <c r="I14" i="3"/>
  <c r="I15" i="3"/>
  <c r="I16" i="3"/>
  <c r="I17" i="3"/>
  <c r="I18" i="3"/>
  <c r="I19" i="3"/>
  <c r="I20" i="3"/>
  <c r="I21" i="3"/>
  <c r="I22" i="3"/>
  <c r="I23" i="3"/>
  <c r="I24" i="3"/>
  <c r="I25" i="3"/>
  <c r="I26" i="3"/>
  <c r="I27" i="3"/>
  <c r="I28" i="3"/>
  <c r="I29" i="3"/>
  <c r="I30" i="3"/>
  <c r="I31" i="3"/>
  <c r="I32" i="3"/>
  <c r="I33" i="3"/>
  <c r="I7" i="3"/>
  <c r="D43" i="5" l="1"/>
  <c r="F43" i="5" s="1"/>
  <c r="D34" i="5"/>
  <c r="F34" i="5" s="1"/>
  <c r="D25" i="5"/>
  <c r="F25" i="5" s="1"/>
  <c r="D42" i="5"/>
  <c r="D33" i="5"/>
  <c r="F33" i="5" s="1"/>
  <c r="D24" i="5"/>
  <c r="F24" i="5" s="1"/>
  <c r="D41" i="5"/>
  <c r="F41" i="5" s="1"/>
  <c r="D32" i="5"/>
  <c r="F32" i="5" s="1"/>
  <c r="D23" i="5"/>
  <c r="F23" i="5" s="1"/>
  <c r="D40" i="5"/>
  <c r="F40" i="5" s="1"/>
  <c r="D31" i="5"/>
  <c r="F31" i="5" s="1"/>
  <c r="D22" i="5"/>
  <c r="F22" i="5" s="1"/>
  <c r="D39" i="5"/>
  <c r="F39" i="5" s="1"/>
  <c r="D30" i="5"/>
  <c r="F30" i="5" s="1"/>
  <c r="D21" i="5"/>
  <c r="F21" i="5" s="1"/>
  <c r="D38" i="5"/>
  <c r="F38" i="5" s="1"/>
  <c r="D29" i="5"/>
  <c r="F29" i="5" s="1"/>
  <c r="D20" i="5"/>
  <c r="F20" i="5" s="1"/>
  <c r="D37" i="5" l="1"/>
  <c r="F37" i="5" s="1"/>
  <c r="D28" i="5"/>
  <c r="F28" i="5" s="1"/>
  <c r="D19" i="5"/>
  <c r="F19" i="5" s="1"/>
  <c r="D27" i="5"/>
  <c r="F27" i="5" s="1"/>
  <c r="D36" i="5"/>
  <c r="F36" i="5" s="1"/>
  <c r="D18" i="5"/>
  <c r="F18" i="5" s="1"/>
  <c r="D35" i="5"/>
  <c r="F35" i="5" s="1"/>
  <c r="D17" i="5"/>
  <c r="F17" i="5" s="1"/>
  <c r="D26" i="5"/>
  <c r="F26" i="5" s="1"/>
  <c r="E49" i="1" l="1"/>
  <c r="D49" i="1"/>
  <c r="C49" i="1"/>
  <c r="F48" i="1"/>
  <c r="F47" i="1"/>
  <c r="F46" i="1"/>
  <c r="F45" i="1"/>
  <c r="F44" i="1"/>
  <c r="F43" i="1"/>
  <c r="F42" i="1"/>
  <c r="F41" i="1"/>
  <c r="F40" i="1"/>
  <c r="E33" i="1"/>
  <c r="D33" i="1"/>
  <c r="C33" i="1"/>
  <c r="F32" i="1"/>
  <c r="F31" i="1"/>
  <c r="F30" i="1"/>
  <c r="F29" i="1"/>
  <c r="F28" i="1"/>
  <c r="F27" i="1"/>
  <c r="F26" i="1"/>
  <c r="F25" i="1"/>
  <c r="F24" i="1"/>
  <c r="D16" i="1"/>
  <c r="E16" i="1"/>
  <c r="C16" i="1"/>
  <c r="F16" i="1" s="1"/>
  <c r="F8" i="1"/>
  <c r="F9" i="1"/>
  <c r="F10" i="1"/>
  <c r="F11" i="1"/>
  <c r="F12" i="1"/>
  <c r="F13" i="1"/>
  <c r="F14" i="1"/>
  <c r="F15" i="1"/>
  <c r="J9" i="1" l="1"/>
  <c r="F17" i="1"/>
  <c r="F49" i="1"/>
  <c r="F33" i="1"/>
  <c r="M9" i="1" l="1"/>
  <c r="J10" i="1"/>
  <c r="N9" i="1" l="1"/>
  <c r="M11" i="1"/>
  <c r="J11" i="1"/>
  <c r="M10" i="1"/>
  <c r="T13" i="1" l="1"/>
  <c r="T7" i="1"/>
  <c r="U7" i="1" s="1"/>
  <c r="T8" i="1"/>
  <c r="T9" i="1"/>
  <c r="U9" i="1" s="1"/>
  <c r="T10" i="1"/>
  <c r="U10" i="1" s="1"/>
  <c r="T11" i="1" l="1"/>
  <c r="U11" i="1" s="1"/>
  <c r="U8" i="1"/>
  <c r="T12" i="1"/>
  <c r="U12" i="1" s="1"/>
  <c r="V10" i="1" s="1"/>
  <c r="W10" i="1" s="1"/>
  <c r="V7" i="1" l="1"/>
  <c r="W7" i="1" s="1"/>
  <c r="V9" i="1"/>
  <c r="W9" i="1" s="1"/>
  <c r="V8" i="1"/>
  <c r="W8" i="1" s="1"/>
  <c r="V11" i="1"/>
  <c r="W11" i="1" s="1"/>
</calcChain>
</file>

<file path=xl/sharedStrings.xml><?xml version="1.0" encoding="utf-8"?>
<sst xmlns="http://schemas.openxmlformats.org/spreadsheetml/2006/main" count="831" uniqueCount="141">
  <si>
    <t>Lightness</t>
  </si>
  <si>
    <t>Perlakuan</t>
  </si>
  <si>
    <t>M1P1</t>
  </si>
  <si>
    <t>M1P2</t>
  </si>
  <si>
    <t>M1P3</t>
  </si>
  <si>
    <t>M2P1</t>
  </si>
  <si>
    <t>M2P2</t>
  </si>
  <si>
    <t>M2P3</t>
  </si>
  <si>
    <t>M3P1</t>
  </si>
  <si>
    <t>M3P3</t>
  </si>
  <si>
    <t>M3P2</t>
  </si>
  <si>
    <t>M1P1U1</t>
  </si>
  <si>
    <t>M1P1U2</t>
  </si>
  <si>
    <t>M1P1U3</t>
  </si>
  <si>
    <t>Ulangan 1</t>
  </si>
  <si>
    <t>Ulangan 2</t>
  </si>
  <si>
    <t>Ulangan 3</t>
  </si>
  <si>
    <t>Total</t>
  </si>
  <si>
    <t>Redness (a)</t>
  </si>
  <si>
    <t>Yellowness</t>
  </si>
  <si>
    <t>b sampel</t>
  </si>
  <si>
    <t>titrasi</t>
  </si>
  <si>
    <t>Vit C</t>
  </si>
  <si>
    <t>a(berat tomat mix</t>
  </si>
  <si>
    <t>b(berat minuman instan</t>
  </si>
  <si>
    <t>Rendemen%</t>
  </si>
  <si>
    <t>oven 1</t>
  </si>
  <si>
    <t>oven 2</t>
  </si>
  <si>
    <t>oven 3</t>
  </si>
  <si>
    <t>kadar air</t>
  </si>
  <si>
    <t>(b)B.sampel</t>
  </si>
  <si>
    <t>(a)B.krus</t>
  </si>
  <si>
    <t>oven diambil angka yang paling kecil</t>
  </si>
  <si>
    <t>c-a</t>
  </si>
  <si>
    <t>Aroma</t>
  </si>
  <si>
    <t>Panelis</t>
  </si>
  <si>
    <t>Kode Smpel</t>
  </si>
  <si>
    <t>Warna</t>
  </si>
  <si>
    <t>Rasa</t>
  </si>
  <si>
    <t>Parameter</t>
  </si>
  <si>
    <t>Bobot parameter</t>
  </si>
  <si>
    <t>Bobot normal</t>
  </si>
  <si>
    <t>Nilai efektif</t>
  </si>
  <si>
    <t>Nilai hasil</t>
  </si>
  <si>
    <t>Rendemen</t>
  </si>
  <si>
    <t>Warna L</t>
  </si>
  <si>
    <t>Warna a</t>
  </si>
  <si>
    <t>Warna b</t>
  </si>
  <si>
    <t>O. Warna</t>
  </si>
  <si>
    <t>O. Aroma</t>
  </si>
  <si>
    <t>O. Rasa</t>
  </si>
  <si>
    <t>Kelarutan</t>
  </si>
  <si>
    <t>Vitamin C</t>
  </si>
  <si>
    <t>Kadar Air</t>
  </si>
  <si>
    <t>bobot parameter</t>
  </si>
  <si>
    <t xml:space="preserve">kelarutan </t>
  </si>
  <si>
    <t>warna A</t>
  </si>
  <si>
    <t>Warna B</t>
  </si>
  <si>
    <t>O warna</t>
  </si>
  <si>
    <t>O Aroma</t>
  </si>
  <si>
    <t>O Rasa</t>
  </si>
  <si>
    <t>sampel -terendah/tertinggi -terendah</t>
  </si>
  <si>
    <t>Nilai Efektif</t>
  </si>
  <si>
    <t>NE</t>
  </si>
  <si>
    <t>Ne</t>
  </si>
  <si>
    <t>O.Rasa</t>
  </si>
  <si>
    <t>O.Warna</t>
  </si>
  <si>
    <t>O.Aroma</t>
  </si>
  <si>
    <t xml:space="preserve">M1P1 </t>
  </si>
  <si>
    <t xml:space="preserve">M1P2 </t>
  </si>
  <si>
    <t xml:space="preserve">M1P3 </t>
  </si>
  <si>
    <t xml:space="preserve">M2P1 </t>
  </si>
  <si>
    <t xml:space="preserve">M2P2 </t>
  </si>
  <si>
    <t xml:space="preserve">M2P3 </t>
  </si>
  <si>
    <t xml:space="preserve">M3P1 </t>
  </si>
  <si>
    <t xml:space="preserve">M3P2 </t>
  </si>
  <si>
    <t xml:space="preserve">Tabel 2 arah </t>
  </si>
  <si>
    <t>M</t>
  </si>
  <si>
    <t>P</t>
  </si>
  <si>
    <t>P1</t>
  </si>
  <si>
    <t>P2</t>
  </si>
  <si>
    <t>P3</t>
  </si>
  <si>
    <t>M1</t>
  </si>
  <si>
    <t>M2</t>
  </si>
  <si>
    <t>M3</t>
  </si>
  <si>
    <t xml:space="preserve">Fk </t>
  </si>
  <si>
    <t>Total 2/perlakuan</t>
  </si>
  <si>
    <t>Tabel analisa ragam</t>
  </si>
  <si>
    <t>SK</t>
  </si>
  <si>
    <t>db</t>
  </si>
  <si>
    <t>JK</t>
  </si>
  <si>
    <t>KT</t>
  </si>
  <si>
    <t>F hit</t>
  </si>
  <si>
    <t>F 0,05</t>
  </si>
  <si>
    <t>F 0,01</t>
  </si>
  <si>
    <t>Kelompok</t>
  </si>
  <si>
    <t xml:space="preserve">Galat </t>
  </si>
  <si>
    <t>total</t>
  </si>
  <si>
    <t>rerata</t>
  </si>
  <si>
    <t>MxP</t>
  </si>
  <si>
    <t xml:space="preserve">semakin rendah nilai kadar air maka kelarutan semakin meningkat. </t>
  </si>
  <si>
    <t>jadi semakin banyak maltodekstrin dan semkin lama pengeringan menyebabkan kelarutan semakin tinggi</t>
  </si>
  <si>
    <t>semakin banyak dan lama pengeringan maka semakin sedkit kadar air</t>
  </si>
  <si>
    <t>Rata-rata</t>
  </si>
  <si>
    <t>Total^2</t>
  </si>
  <si>
    <t>T</t>
  </si>
  <si>
    <t>Total Ranking</t>
  </si>
  <si>
    <t>r=ulangan</t>
  </si>
  <si>
    <t>X2</t>
  </si>
  <si>
    <t>n=perlakuan</t>
  </si>
  <si>
    <t>T&gt;X2</t>
  </si>
  <si>
    <t>x tabel n-1;0,05)</t>
  </si>
  <si>
    <t>Titik kritis</t>
  </si>
  <si>
    <t>H0 ditolak</t>
  </si>
  <si>
    <t xml:space="preserve"> </t>
  </si>
  <si>
    <t>H0 diterima</t>
  </si>
  <si>
    <t>a</t>
  </si>
  <si>
    <t>b</t>
  </si>
  <si>
    <t>c</t>
  </si>
  <si>
    <t>d</t>
  </si>
  <si>
    <t>e</t>
  </si>
  <si>
    <t>BNJ 5%</t>
  </si>
  <si>
    <t>Perlakuan M dan P</t>
  </si>
  <si>
    <t>notasi</t>
  </si>
  <si>
    <t xml:space="preserve">BNJ 5% </t>
  </si>
  <si>
    <t>Interaksi</t>
  </si>
  <si>
    <t>Rerata</t>
  </si>
  <si>
    <t>Notasi</t>
  </si>
  <si>
    <t>ab</t>
  </si>
  <si>
    <t>**</t>
  </si>
  <si>
    <t>b. sampel 2</t>
  </si>
  <si>
    <t>bc</t>
  </si>
  <si>
    <t>cd</t>
  </si>
  <si>
    <t>cde</t>
  </si>
  <si>
    <t>def</t>
  </si>
  <si>
    <t>ef</t>
  </si>
  <si>
    <t>f</t>
  </si>
  <si>
    <t>de</t>
  </si>
  <si>
    <t>rata-rata</t>
  </si>
  <si>
    <t xml:space="preserve">kadar air </t>
  </si>
  <si>
    <t>sampel-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</si>
</sst>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164" formatCode="0.000"/>
    <numFmt numFmtId="165" formatCode="0.000E+00"/>
    <numFmt numFmtId="166" formatCode="0.0"/>
  </numFmts>
  <fonts count="8" x14ac:knownFonts="1">
    <font>
      <sz val="11"/>
      <color theme="1"/>
      <name val="Calibri"/>
      <family val="2"/>
      <scheme val="minor"/>
    </font>
    <font>
      <sz val="11"/>
      <color theme="1"/>
      <name val="Times New Roman"/>
      <family val="1"/>
    </font>
    <font>
      <b/>
      <sz val="11"/>
      <color theme="1"/>
      <name val="Calibri"/>
      <family val="2"/>
      <scheme val="minor"/>
    </font>
    <font>
      <sz val="12"/>
      <color theme="1"/>
      <name val="Times New Roman"/>
      <family val="1"/>
    </font>
    <font>
      <sz val="12"/>
      <color rgb="FF000000"/>
      <name val="Times New Roman"/>
      <family val="1"/>
    </font>
    <font>
      <sz val="11"/>
      <color rgb="FF000000"/>
      <name val="Times New Roman"/>
      <family val="1"/>
    </font>
    <font>
      <b/>
      <sz val="12"/>
      <color rgb="FF000000"/>
      <name val="Times New Roman"/>
      <family val="1"/>
    </font>
    <font>
      <sz val="11"/>
      <color theme="0"/>
      <name val="Calibri"/>
      <family val="2"/>
      <scheme val="minor"/>
    </font>
  </fonts>
  <fills count="9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7" tint="0.59999389629810485"/>
        <bgColor indexed="64"/>
      </patternFill>
    </fill>
    <fill>
      <patternFill patternType="solid">
        <fgColor theme="7" tint="0.79998168889431442"/>
        <bgColor indexed="64"/>
      </patternFill>
    </fill>
    <fill>
      <patternFill patternType="solid">
        <fgColor theme="1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FF00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</borders>
  <cellStyleXfs count="1">
    <xf numFmtId="0" fontId="0" fillId="0" borderId="0"/>
  </cellStyleXfs>
  <cellXfs count="117">
    <xf numFmtId="0" fontId="0" fillId="0" borderId="0" xfId="0"/>
    <xf numFmtId="0" fontId="0" fillId="0" borderId="1" xfId="0" applyBorder="1"/>
    <xf numFmtId="0" fontId="1" fillId="0" borderId="1" xfId="0" applyFont="1" applyBorder="1"/>
    <xf numFmtId="0" fontId="0" fillId="0" borderId="2" xfId="0" applyFill="1" applyBorder="1"/>
    <xf numFmtId="0" fontId="0" fillId="0" borderId="2" xfId="0" applyBorder="1"/>
    <xf numFmtId="0" fontId="1" fillId="0" borderId="3" xfId="0" applyFont="1" applyBorder="1"/>
    <xf numFmtId="0" fontId="0" fillId="0" borderId="3" xfId="0" applyBorder="1"/>
    <xf numFmtId="0" fontId="0" fillId="0" borderId="4" xfId="0" applyBorder="1"/>
    <xf numFmtId="2" fontId="0" fillId="0" borderId="1" xfId="0" applyNumberFormat="1" applyBorder="1"/>
    <xf numFmtId="0" fontId="0" fillId="0" borderId="5" xfId="0" applyFill="1" applyBorder="1"/>
    <xf numFmtId="0" fontId="0" fillId="0" borderId="1" xfId="0" applyBorder="1" applyAlignment="1">
      <alignment horizontal="center"/>
    </xf>
    <xf numFmtId="0" fontId="1" fillId="0" borderId="1" xfId="0" applyFont="1" applyBorder="1" applyAlignment="1">
      <alignment horizontal="center"/>
    </xf>
    <xf numFmtId="0" fontId="0" fillId="0" borderId="1" xfId="0" applyFill="1" applyBorder="1" applyAlignment="1">
      <alignment horizontal="center"/>
    </xf>
    <xf numFmtId="0" fontId="0" fillId="0" borderId="1" xfId="0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/>
    </xf>
    <xf numFmtId="164" fontId="0" fillId="0" borderId="1" xfId="0" applyNumberFormat="1" applyBorder="1" applyAlignment="1">
      <alignment horizontal="center" vertical="center"/>
    </xf>
    <xf numFmtId="2" fontId="0" fillId="0" borderId="1" xfId="0" applyNumberFormat="1" applyBorder="1" applyAlignment="1">
      <alignment horizontal="center"/>
    </xf>
    <xf numFmtId="0" fontId="2" fillId="0" borderId="1" xfId="0" applyFont="1" applyBorder="1"/>
    <xf numFmtId="0" fontId="3" fillId="0" borderId="1" xfId="0" applyFont="1" applyBorder="1" applyAlignment="1">
      <alignment horizontal="center"/>
    </xf>
    <xf numFmtId="0" fontId="3" fillId="0" borderId="1" xfId="0" applyFont="1" applyBorder="1"/>
    <xf numFmtId="2" fontId="3" fillId="0" borderId="1" xfId="0" applyNumberFormat="1" applyFont="1" applyBorder="1"/>
    <xf numFmtId="0" fontId="4" fillId="0" borderId="1" xfId="0" applyFont="1" applyBorder="1" applyAlignment="1">
      <alignment horizontal="center" vertical="center"/>
    </xf>
    <xf numFmtId="0" fontId="0" fillId="3" borderId="1" xfId="0" applyFill="1" applyBorder="1"/>
    <xf numFmtId="0" fontId="5" fillId="0" borderId="1" xfId="0" applyFont="1" applyBorder="1" applyAlignment="1">
      <alignment horizontal="center" vertical="center"/>
    </xf>
    <xf numFmtId="2" fontId="4" fillId="0" borderId="1" xfId="0" applyNumberFormat="1" applyFont="1" applyBorder="1" applyAlignment="1">
      <alignment horizontal="center" vertical="center"/>
    </xf>
    <xf numFmtId="0" fontId="4" fillId="4" borderId="1" xfId="0" applyFont="1" applyFill="1" applyBorder="1" applyAlignment="1">
      <alignment horizontal="center" vertical="center"/>
    </xf>
    <xf numFmtId="2" fontId="0" fillId="0" borderId="1" xfId="0" applyNumberFormat="1" applyBorder="1" applyAlignment="1">
      <alignment horizontal="center" vertical="center"/>
    </xf>
    <xf numFmtId="0" fontId="2" fillId="0" borderId="6" xfId="0" applyFont="1" applyBorder="1"/>
    <xf numFmtId="0" fontId="6" fillId="0" borderId="1" xfId="0" applyFont="1" applyBorder="1" applyAlignment="1">
      <alignment horizontal="center" vertical="center"/>
    </xf>
    <xf numFmtId="0" fontId="6" fillId="0" borderId="1" xfId="0" applyFont="1" applyBorder="1" applyAlignment="1">
      <alignment vertical="center"/>
    </xf>
    <xf numFmtId="2" fontId="4" fillId="5" borderId="1" xfId="0" applyNumberFormat="1" applyFont="1" applyFill="1" applyBorder="1" applyAlignment="1">
      <alignment horizontal="center" vertical="center"/>
    </xf>
    <xf numFmtId="2" fontId="0" fillId="0" borderId="0" xfId="0" applyNumberFormat="1"/>
    <xf numFmtId="2" fontId="4" fillId="0" borderId="5" xfId="0" applyNumberFormat="1" applyFont="1" applyBorder="1" applyAlignment="1">
      <alignment horizontal="center" vertical="center"/>
    </xf>
    <xf numFmtId="0" fontId="4" fillId="0" borderId="0" xfId="0" applyFont="1" applyAlignment="1">
      <alignment vertical="center"/>
    </xf>
    <xf numFmtId="0" fontId="3" fillId="0" borderId="0" xfId="0" applyFont="1"/>
    <xf numFmtId="2" fontId="3" fillId="6" borderId="1" xfId="0" applyNumberFormat="1" applyFont="1" applyFill="1" applyBorder="1"/>
    <xf numFmtId="0" fontId="3" fillId="6" borderId="1" xfId="0" applyFont="1" applyFill="1" applyBorder="1"/>
    <xf numFmtId="165" fontId="0" fillId="0" borderId="0" xfId="0" applyNumberFormat="1"/>
    <xf numFmtId="0" fontId="6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2" fontId="0" fillId="0" borderId="0" xfId="0" applyNumberFormat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1" fillId="0" borderId="1" xfId="0" applyFont="1" applyFill="1" applyBorder="1" applyAlignment="1">
      <alignment horizontal="center"/>
    </xf>
    <xf numFmtId="0" fontId="0" fillId="0" borderId="1" xfId="0" applyFill="1" applyBorder="1"/>
    <xf numFmtId="0" fontId="0" fillId="0" borderId="0" xfId="0" applyNumberFormat="1"/>
    <xf numFmtId="166" fontId="4" fillId="7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0" fillId="7" borderId="1" xfId="0" applyNumberFormat="1" applyFill="1" applyBorder="1"/>
    <xf numFmtId="166" fontId="0" fillId="0" borderId="1" xfId="0" applyNumberFormat="1" applyBorder="1" applyAlignment="1">
      <alignment horizontal="center"/>
    </xf>
    <xf numFmtId="166" fontId="0" fillId="0" borderId="0" xfId="0" applyNumberFormat="1"/>
    <xf numFmtId="2" fontId="4" fillId="0" borderId="1" xfId="0" applyNumberFormat="1" applyFont="1" applyFill="1" applyBorder="1" applyAlignment="1">
      <alignment horizontal="center" vertical="center"/>
    </xf>
    <xf numFmtId="2" fontId="0" fillId="0" borderId="0" xfId="0" applyNumberFormat="1" applyFill="1" applyAlignment="1">
      <alignment horizontal="center" vertical="center"/>
    </xf>
    <xf numFmtId="0" fontId="0" fillId="8" borderId="0" xfId="0" applyFill="1"/>
    <xf numFmtId="0" fontId="0" fillId="0" borderId="0" xfId="0" applyAlignment="1">
      <alignment horizontal="center"/>
    </xf>
    <xf numFmtId="0" fontId="4" fillId="0" borderId="2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2" fontId="0" fillId="0" borderId="0" xfId="0" applyNumberFormat="1" applyAlignment="1">
      <alignment horizont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  <xf numFmtId="0" fontId="3" fillId="0" borderId="1" xfId="0" applyFont="1" applyBorder="1" applyAlignment="1">
      <alignment horizontal="center" vertical="center"/>
    </xf>
    <xf numFmtId="0" fontId="3" fillId="0" borderId="0" xfId="0" applyFont="1" applyFill="1" applyBorder="1"/>
    <xf numFmtId="0" fontId="0" fillId="0" borderId="0" xfId="0"/>
    <xf numFmtId="0" fontId="0" fillId="0" borderId="1" xfId="0" applyBorder="1"/>
    <xf numFmtId="0" fontId="0" fillId="0" borderId="1" xfId="0" applyFill="1" applyBorder="1"/>
    <xf numFmtId="0" fontId="2" fillId="0" borderId="1" xfId="0" applyFont="1" applyBorder="1"/>
    <xf numFmtId="0" fontId="4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/>
    </xf>
    <xf numFmtId="0" fontId="5" fillId="0" borderId="1" xfId="0" applyFont="1" applyBorder="1" applyAlignment="1">
      <alignment horizontal="center" vertical="center"/>
    </xf>
    <xf numFmtId="2" fontId="3" fillId="0" borderId="1" xfId="0" applyNumberFormat="1" applyFont="1" applyBorder="1" applyAlignment="1">
      <alignment horizontal="center" wrapText="1"/>
    </xf>
    <xf numFmtId="2" fontId="3" fillId="0" borderId="1" xfId="0" applyNumberFormat="1" applyFont="1" applyBorder="1" applyAlignment="1">
      <alignment horizontal="center" vertical="center" wrapText="1"/>
    </xf>
    <xf numFmtId="0" fontId="3" fillId="0" borderId="1" xfId="0" applyFont="1" applyBorder="1"/>
    <xf numFmtId="2" fontId="3" fillId="0" borderId="1" xfId="0" applyNumberFormat="1" applyFont="1" applyBorder="1"/>
    <xf numFmtId="2" fontId="3" fillId="2" borderId="1" xfId="0" applyNumberFormat="1" applyFont="1" applyFill="1" applyBorder="1"/>
    <xf numFmtId="0" fontId="0" fillId="3" borderId="1" xfId="0" applyFill="1" applyBorder="1"/>
    <xf numFmtId="0" fontId="6" fillId="0" borderId="1" xfId="0" applyFont="1" applyBorder="1" applyAlignment="1">
      <alignment vertical="center"/>
    </xf>
    <xf numFmtId="0" fontId="6" fillId="0" borderId="1" xfId="0" applyFont="1" applyBorder="1" applyAlignment="1">
      <alignment horizontal="center" vertical="center"/>
    </xf>
    <xf numFmtId="0" fontId="0" fillId="0" borderId="1" xfId="0" applyFont="1" applyFill="1" applyBorder="1"/>
    <xf numFmtId="2" fontId="3" fillId="0" borderId="1" xfId="0" applyNumberFormat="1" applyFont="1" applyBorder="1" applyAlignment="1">
      <alignment horizontal="center"/>
    </xf>
    <xf numFmtId="0" fontId="3" fillId="0" borderId="0" xfId="0" applyFont="1" applyFill="1" applyBorder="1"/>
    <xf numFmtId="0" fontId="0" fillId="0" borderId="0" xfId="0" applyFill="1" applyBorder="1"/>
    <xf numFmtId="0" fontId="0" fillId="0" borderId="5" xfId="0" applyBorder="1"/>
    <xf numFmtId="2" fontId="0" fillId="0" borderId="1" xfId="0" applyNumberFormat="1" applyBorder="1"/>
    <xf numFmtId="2" fontId="0" fillId="0" borderId="0" xfId="0" applyNumberFormat="1"/>
    <xf numFmtId="2" fontId="4" fillId="0" borderId="1" xfId="0" applyNumberFormat="1" applyFont="1" applyBorder="1" applyAlignment="1">
      <alignment horizontal="center" vertical="center"/>
    </xf>
    <xf numFmtId="166" fontId="4" fillId="7" borderId="1" xfId="0" applyNumberFormat="1" applyFont="1" applyFill="1" applyBorder="1" applyAlignment="1">
      <alignment horizontal="center" vertical="center"/>
    </xf>
    <xf numFmtId="166" fontId="4" fillId="0" borderId="1" xfId="0" applyNumberFormat="1" applyFont="1" applyBorder="1" applyAlignment="1">
      <alignment horizontal="center" vertical="center"/>
    </xf>
    <xf numFmtId="166" fontId="0" fillId="7" borderId="1" xfId="0" applyNumberFormat="1" applyFill="1" applyBorder="1"/>
    <xf numFmtId="166" fontId="0" fillId="0" borderId="1" xfId="0" applyNumberFormat="1" applyBorder="1" applyAlignment="1">
      <alignment horizontal="center"/>
    </xf>
    <xf numFmtId="0" fontId="7" fillId="0" borderId="1" xfId="0" applyFont="1" applyBorder="1"/>
    <xf numFmtId="2" fontId="0" fillId="0" borderId="1" xfId="0" applyNumberFormat="1" applyFill="1" applyBorder="1"/>
    <xf numFmtId="2" fontId="0" fillId="3" borderId="1" xfId="0" applyNumberFormat="1" applyFill="1" applyBorder="1"/>
    <xf numFmtId="0" fontId="6" fillId="0" borderId="5" xfId="0" applyFont="1" applyFill="1" applyBorder="1" applyAlignment="1">
      <alignment vertical="center"/>
    </xf>
    <xf numFmtId="0" fontId="0" fillId="0" borderId="2" xfId="0" applyBorder="1" applyAlignment="1"/>
    <xf numFmtId="0" fontId="0" fillId="0" borderId="7" xfId="0" applyBorder="1" applyAlignment="1"/>
    <xf numFmtId="0" fontId="0" fillId="0" borderId="8" xfId="0" applyBorder="1" applyAlignment="1"/>
    <xf numFmtId="0" fontId="6" fillId="0" borderId="10" xfId="0" applyFont="1" applyFill="1" applyBorder="1" applyAlignment="1">
      <alignment horizontal="center" vertical="center"/>
    </xf>
    <xf numFmtId="0" fontId="6" fillId="0" borderId="1" xfId="0" applyFont="1" applyBorder="1" applyAlignment="1">
      <alignment horizontal="center" vertical="center"/>
    </xf>
    <xf numFmtId="0" fontId="3" fillId="0" borderId="0" xfId="0" applyFont="1" applyFill="1" applyBorder="1" applyAlignment="1">
      <alignment horizontal="center"/>
    </xf>
    <xf numFmtId="0" fontId="0" fillId="0" borderId="0" xfId="0" applyAlignment="1">
      <alignment horizontal="center"/>
    </xf>
    <xf numFmtId="0" fontId="0" fillId="0" borderId="2" xfId="0" applyBorder="1" applyAlignment="1">
      <alignment horizontal="center"/>
    </xf>
    <xf numFmtId="0" fontId="0" fillId="0" borderId="7" xfId="0" applyBorder="1" applyAlignment="1">
      <alignment horizontal="center"/>
    </xf>
    <xf numFmtId="0" fontId="0" fillId="0" borderId="8" xfId="0" applyBorder="1" applyAlignment="1">
      <alignment horizontal="center"/>
    </xf>
    <xf numFmtId="0" fontId="0" fillId="0" borderId="3" xfId="0" applyBorder="1" applyAlignment="1">
      <alignment horizontal="center" vertical="center"/>
    </xf>
    <xf numFmtId="0" fontId="0" fillId="0" borderId="9" xfId="0" applyBorder="1" applyAlignment="1">
      <alignment horizontal="center" vertical="center"/>
    </xf>
    <xf numFmtId="2" fontId="3" fillId="0" borderId="1" xfId="0" applyNumberFormat="1" applyFont="1" applyBorder="1" applyAlignment="1">
      <alignment horizontal="center" vertical="center"/>
    </xf>
    <xf numFmtId="0" fontId="2" fillId="0" borderId="3" xfId="0" applyFont="1" applyBorder="1" applyAlignment="1">
      <alignment horizontal="center" vertical="center"/>
    </xf>
    <xf numFmtId="0" fontId="2" fillId="0" borderId="9" xfId="0" applyFont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0" fontId="2" fillId="0" borderId="1" xfId="0" applyFont="1" applyBorder="1" applyAlignment="1">
      <alignment horizontal="center" vertical="center"/>
    </xf>
    <xf numFmtId="0" fontId="2" fillId="0" borderId="1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G3:V66"/>
  <sheetViews>
    <sheetView topLeftCell="G1" zoomScale="78" workbookViewId="0">
      <selection activeCell="L40" sqref="L40"/>
    </sheetView>
  </sheetViews>
  <sheetFormatPr defaultRowHeight="15" x14ac:dyDescent="0.25"/>
  <cols>
    <col min="3" max="3" width="13.42578125" customWidth="1"/>
    <col min="4" max="4" width="11.5703125" customWidth="1"/>
    <col min="5" max="5" width="21.42578125" customWidth="1"/>
    <col min="6" max="6" width="19" customWidth="1"/>
    <col min="7" max="7" width="16.7109375" customWidth="1"/>
    <col min="11" max="11" width="12.7109375" customWidth="1"/>
    <col min="12" max="12" width="34.140625" customWidth="1"/>
    <col min="13" max="13" width="14.28515625" customWidth="1"/>
    <col min="14" max="14" width="12" customWidth="1"/>
    <col min="16" max="16" width="22.42578125" customWidth="1"/>
  </cols>
  <sheetData>
    <row r="3" spans="7:16" x14ac:dyDescent="0.25">
      <c r="G3" t="s">
        <v>100</v>
      </c>
    </row>
    <row r="4" spans="7:16" x14ac:dyDescent="0.25">
      <c r="G4" t="s">
        <v>101</v>
      </c>
    </row>
    <row r="6" spans="7:16" x14ac:dyDescent="0.25">
      <c r="K6" s="10" t="s">
        <v>1</v>
      </c>
      <c r="L6" s="10" t="s">
        <v>14</v>
      </c>
      <c r="M6" s="10" t="s">
        <v>15</v>
      </c>
      <c r="N6" s="10" t="s">
        <v>16</v>
      </c>
      <c r="O6" s="12" t="s">
        <v>97</v>
      </c>
      <c r="P6" s="12" t="s">
        <v>98</v>
      </c>
    </row>
    <row r="7" spans="7:16" x14ac:dyDescent="0.25">
      <c r="K7" s="11" t="s">
        <v>2</v>
      </c>
      <c r="L7" s="28">
        <v>17.5</v>
      </c>
      <c r="M7" s="18">
        <v>17.32</v>
      </c>
      <c r="N7" s="18">
        <v>18.89</v>
      </c>
      <c r="O7" s="8">
        <f>SUM(L7:N7)</f>
        <v>53.71</v>
      </c>
      <c r="P7" s="8">
        <f>AVERAGE(L7:N7)</f>
        <v>17.903333333333332</v>
      </c>
    </row>
    <row r="8" spans="7:16" x14ac:dyDescent="0.25">
      <c r="K8" s="11" t="s">
        <v>3</v>
      </c>
      <c r="L8" s="28">
        <v>20.010000000000002</v>
      </c>
      <c r="M8" s="18">
        <v>20.079999999999998</v>
      </c>
      <c r="N8" s="18">
        <v>20.69</v>
      </c>
      <c r="O8" s="8">
        <f t="shared" ref="O8:O15" si="0">SUM(L8:N8)</f>
        <v>60.78</v>
      </c>
      <c r="P8" s="8">
        <f t="shared" ref="P8:P15" si="1">AVERAGE(L8:N8)</f>
        <v>20.260000000000002</v>
      </c>
    </row>
    <row r="9" spans="7:16" x14ac:dyDescent="0.25">
      <c r="K9" s="11" t="s">
        <v>4</v>
      </c>
      <c r="L9" s="28">
        <v>25.920138723741594</v>
      </c>
      <c r="M9" s="18">
        <v>29.51</v>
      </c>
      <c r="N9" s="18">
        <v>25.15</v>
      </c>
      <c r="O9" s="8">
        <f t="shared" si="0"/>
        <v>80.580138723741584</v>
      </c>
      <c r="P9" s="8">
        <f t="shared" si="1"/>
        <v>26.860046241247193</v>
      </c>
    </row>
    <row r="10" spans="7:16" x14ac:dyDescent="0.25">
      <c r="K10" s="11" t="s">
        <v>5</v>
      </c>
      <c r="L10" s="28">
        <v>19.8</v>
      </c>
      <c r="M10" s="18">
        <v>19.87</v>
      </c>
      <c r="N10" s="18">
        <v>19.05</v>
      </c>
      <c r="O10" s="8">
        <f t="shared" si="0"/>
        <v>58.72</v>
      </c>
      <c r="P10" s="8">
        <f t="shared" si="1"/>
        <v>19.573333333333334</v>
      </c>
    </row>
    <row r="11" spans="7:16" x14ac:dyDescent="0.25">
      <c r="K11" s="11" t="s">
        <v>6</v>
      </c>
      <c r="L11" s="28">
        <v>20.437118778504846</v>
      </c>
      <c r="M11" s="18">
        <v>20.51</v>
      </c>
      <c r="N11" s="18">
        <v>20.309999999999999</v>
      </c>
      <c r="O11" s="8">
        <f t="shared" si="0"/>
        <v>61.257118778504847</v>
      </c>
      <c r="P11" s="8">
        <f t="shared" si="1"/>
        <v>20.419039592834949</v>
      </c>
    </row>
    <row r="12" spans="7:16" x14ac:dyDescent="0.25">
      <c r="K12" s="11" t="s">
        <v>7</v>
      </c>
      <c r="L12" s="28">
        <v>25.43</v>
      </c>
      <c r="M12" s="18">
        <v>22.479761603580826</v>
      </c>
      <c r="N12" s="18">
        <v>24.219315134561569</v>
      </c>
      <c r="O12" s="8">
        <f t="shared" si="0"/>
        <v>72.129076738142402</v>
      </c>
      <c r="P12" s="8">
        <f t="shared" si="1"/>
        <v>24.043025579380799</v>
      </c>
    </row>
    <row r="13" spans="7:16" x14ac:dyDescent="0.25">
      <c r="K13" s="11" t="s">
        <v>8</v>
      </c>
      <c r="L13" s="28">
        <v>22.156719390743994</v>
      </c>
      <c r="M13" s="18">
        <v>22.37</v>
      </c>
      <c r="N13" s="18">
        <v>22.42</v>
      </c>
      <c r="O13" s="8">
        <f t="shared" si="0"/>
        <v>66.946719390743993</v>
      </c>
      <c r="P13" s="8">
        <f t="shared" si="1"/>
        <v>22.315573130247998</v>
      </c>
    </row>
    <row r="14" spans="7:16" x14ac:dyDescent="0.25">
      <c r="K14" s="11" t="s">
        <v>10</v>
      </c>
      <c r="L14" s="28">
        <v>27.82</v>
      </c>
      <c r="M14" s="18">
        <v>29.836081396434199</v>
      </c>
      <c r="N14" s="18">
        <v>28.22</v>
      </c>
      <c r="O14" s="8">
        <f t="shared" si="0"/>
        <v>85.876081396434202</v>
      </c>
      <c r="P14" s="8">
        <f t="shared" si="1"/>
        <v>28.625360465478067</v>
      </c>
    </row>
    <row r="15" spans="7:16" x14ac:dyDescent="0.25">
      <c r="K15" s="11" t="s">
        <v>9</v>
      </c>
      <c r="L15" s="28">
        <v>30.55</v>
      </c>
      <c r="M15" s="18">
        <v>30.88</v>
      </c>
      <c r="N15" s="18">
        <v>30.12</v>
      </c>
      <c r="O15" s="8">
        <f t="shared" si="0"/>
        <v>91.55</v>
      </c>
      <c r="P15" s="8">
        <f t="shared" si="1"/>
        <v>30.516666666666666</v>
      </c>
    </row>
    <row r="16" spans="7:16" x14ac:dyDescent="0.25">
      <c r="K16" s="45" t="s">
        <v>17</v>
      </c>
      <c r="L16" s="18">
        <f>SUM(L7:L15)</f>
        <v>209.62397689299047</v>
      </c>
      <c r="M16" s="18">
        <f t="shared" ref="M16:N16" si="2">SUM(M7:M15)</f>
        <v>212.85584300001503</v>
      </c>
      <c r="N16" s="18">
        <f t="shared" si="2"/>
        <v>209.06931513456155</v>
      </c>
      <c r="O16" s="18">
        <f>SUM(O7:O15)</f>
        <v>631.54913502756699</v>
      </c>
      <c r="P16" s="8">
        <f>SUM(P7:P15)</f>
        <v>210.51637834252233</v>
      </c>
    </row>
    <row r="18" spans="11:18" x14ac:dyDescent="0.25">
      <c r="K18" s="29" t="s">
        <v>76</v>
      </c>
      <c r="L18" s="29"/>
    </row>
    <row r="19" spans="11:18" ht="15.75" x14ac:dyDescent="0.25">
      <c r="K19" s="101" t="s">
        <v>77</v>
      </c>
      <c r="L19" s="101" t="s">
        <v>78</v>
      </c>
      <c r="M19" s="101"/>
      <c r="N19" s="101"/>
      <c r="O19" s="101" t="s">
        <v>17</v>
      </c>
    </row>
    <row r="20" spans="11:18" ht="15.75" x14ac:dyDescent="0.25">
      <c r="K20" s="101"/>
      <c r="L20" s="30" t="s">
        <v>79</v>
      </c>
      <c r="M20" s="30" t="s">
        <v>80</v>
      </c>
      <c r="N20" s="30" t="s">
        <v>81</v>
      </c>
      <c r="O20" s="101"/>
      <c r="P20" s="100" t="s">
        <v>103</v>
      </c>
    </row>
    <row r="21" spans="11:18" ht="15.75" x14ac:dyDescent="0.25">
      <c r="K21" s="31" t="s">
        <v>82</v>
      </c>
      <c r="L21" s="32">
        <f>SUM(L7:N7)</f>
        <v>53.71</v>
      </c>
      <c r="M21" s="32">
        <f>SUM(L8:N8)</f>
        <v>60.78</v>
      </c>
      <c r="N21" s="32">
        <f>SUM(L9:N9)</f>
        <v>80.580138723741584</v>
      </c>
      <c r="O21" s="26">
        <f>SUM(L21:N21)</f>
        <v>195.07013872374159</v>
      </c>
      <c r="P21" s="87">
        <f>O21/9</f>
        <v>21.674459858193512</v>
      </c>
    </row>
    <row r="22" spans="11:18" ht="15.75" x14ac:dyDescent="0.25">
      <c r="K22" s="31" t="s">
        <v>83</v>
      </c>
      <c r="L22" s="28">
        <f>SUM(L10:N10)</f>
        <v>58.72</v>
      </c>
      <c r="M22" s="32">
        <f>SUM(L11:N11)</f>
        <v>61.257118778504847</v>
      </c>
      <c r="N22" s="32">
        <f>SUM(L12:N12)</f>
        <v>72.129076738142402</v>
      </c>
      <c r="O22" s="26">
        <f>SUM(L22:N22)</f>
        <v>192.10619551664723</v>
      </c>
      <c r="P22" s="87">
        <f t="shared" ref="P22:P23" si="3">O22/9</f>
        <v>21.345132835183026</v>
      </c>
    </row>
    <row r="23" spans="11:18" ht="15.75" x14ac:dyDescent="0.25">
      <c r="K23" s="31" t="s">
        <v>84</v>
      </c>
      <c r="L23" s="28">
        <f>SUM(L13:N13)</f>
        <v>66.946719390743993</v>
      </c>
      <c r="M23" s="32">
        <f>SUM(L14:N14)</f>
        <v>85.876081396434202</v>
      </c>
      <c r="N23" s="32">
        <f>SUM(L15:N15)</f>
        <v>91.55</v>
      </c>
      <c r="O23" s="26">
        <f>SUM(L23:N23)</f>
        <v>244.37280078717822</v>
      </c>
      <c r="P23" s="87">
        <f t="shared" si="3"/>
        <v>27.152533420797582</v>
      </c>
    </row>
    <row r="24" spans="11:18" ht="15.75" x14ac:dyDescent="0.25">
      <c r="K24" s="31" t="s">
        <v>17</v>
      </c>
      <c r="L24" s="28">
        <f>SUM(L21:L23)</f>
        <v>179.376719390744</v>
      </c>
      <c r="M24" s="28">
        <f>SUM(M21:M23)</f>
        <v>207.91320017493905</v>
      </c>
      <c r="N24" s="28">
        <f>SUM(N21:N23)</f>
        <v>244.25921546188397</v>
      </c>
      <c r="O24" s="26">
        <f>SUM(L24:N24)</f>
        <v>631.54913502756699</v>
      </c>
    </row>
    <row r="25" spans="11:18" ht="15.75" x14ac:dyDescent="0.25">
      <c r="K25" s="96" t="s">
        <v>138</v>
      </c>
      <c r="L25" s="42">
        <f>L24/9</f>
        <v>19.930746598971556</v>
      </c>
      <c r="M25" s="42">
        <f t="shared" ref="M25:N25" si="4">M24/9</f>
        <v>23.101466686104338</v>
      </c>
      <c r="N25" s="42">
        <f t="shared" si="4"/>
        <v>27.139912829098218</v>
      </c>
      <c r="O25" s="34">
        <f>SUM(O21:O23)</f>
        <v>631.54913502756699</v>
      </c>
    </row>
    <row r="27" spans="11:18" ht="15.75" x14ac:dyDescent="0.25">
      <c r="K27" s="35" t="s">
        <v>85</v>
      </c>
      <c r="L27" t="s">
        <v>86</v>
      </c>
    </row>
    <row r="28" spans="11:18" x14ac:dyDescent="0.25">
      <c r="L28" s="39">
        <f>O24^2/27</f>
        <v>14772.381850150668</v>
      </c>
      <c r="M28">
        <v>14772.4</v>
      </c>
    </row>
    <row r="29" spans="11:18" ht="15.75" x14ac:dyDescent="0.25">
      <c r="K29" s="36" t="s">
        <v>87</v>
      </c>
      <c r="L29" s="36"/>
      <c r="M29" s="36"/>
      <c r="N29" s="36"/>
      <c r="O29" s="36"/>
      <c r="P29" s="36"/>
      <c r="Q29" s="36"/>
      <c r="R29" s="36"/>
    </row>
    <row r="30" spans="11:18" ht="15.75" x14ac:dyDescent="0.25">
      <c r="K30" s="21" t="s">
        <v>88</v>
      </c>
      <c r="L30" s="21" t="s">
        <v>89</v>
      </c>
      <c r="M30" s="21" t="s">
        <v>90</v>
      </c>
      <c r="N30" s="21" t="s">
        <v>91</v>
      </c>
      <c r="O30" s="21" t="s">
        <v>92</v>
      </c>
      <c r="P30" s="21"/>
      <c r="Q30" s="21" t="s">
        <v>93</v>
      </c>
      <c r="R30" s="21" t="s">
        <v>94</v>
      </c>
    </row>
    <row r="31" spans="11:18" ht="15.75" x14ac:dyDescent="0.25">
      <c r="K31" s="21" t="s">
        <v>95</v>
      </c>
      <c r="L31" s="21">
        <v>2</v>
      </c>
      <c r="M31" s="22">
        <f>SUMSQ(L16:N16)/9-M28</f>
        <v>0.91112427940606722</v>
      </c>
      <c r="N31" s="22">
        <f>M31/L31</f>
        <v>0.45556213970303361</v>
      </c>
      <c r="O31" s="22">
        <f>N31/N$36</f>
        <v>0.38130840391008486</v>
      </c>
      <c r="P31" s="20" t="str">
        <f>IF(O31&lt;Q31,"tn",IF(O31&lt;R31,"*","**"))</f>
        <v>tn</v>
      </c>
      <c r="Q31" s="21">
        <v>3.63</v>
      </c>
      <c r="R31" s="21">
        <v>6.23</v>
      </c>
    </row>
    <row r="32" spans="11:18" ht="15.75" x14ac:dyDescent="0.25">
      <c r="K32" s="21" t="s">
        <v>1</v>
      </c>
      <c r="L32" s="21">
        <v>8</v>
      </c>
      <c r="M32" s="22">
        <f>SUMSQ(O7:O15)/3-M28</f>
        <v>465.32502068938084</v>
      </c>
      <c r="N32" s="22">
        <f t="shared" ref="N32:N35" si="5">M32/L32</f>
        <v>58.165627586172604</v>
      </c>
      <c r="O32" s="22">
        <f t="shared" ref="O32:O34" si="6">N32/N$36</f>
        <v>48.684999661670055</v>
      </c>
      <c r="P32" s="41" t="str">
        <f t="shared" ref="P32:P35" si="7">IF(O32&lt;Q32,"tn",IF(O32&lt;R32,"*","**"))</f>
        <v>**</v>
      </c>
      <c r="Q32" s="21">
        <v>2.59</v>
      </c>
      <c r="R32" s="21">
        <v>3.89</v>
      </c>
    </row>
    <row r="33" spans="11:22" ht="15.75" x14ac:dyDescent="0.25">
      <c r="K33" s="21" t="s">
        <v>77</v>
      </c>
      <c r="L33" s="21">
        <v>2</v>
      </c>
      <c r="M33" s="22">
        <f>SUMSQ(O21:O23)/9-M28</f>
        <v>191.51279357222302</v>
      </c>
      <c r="N33" s="22">
        <f t="shared" si="5"/>
        <v>95.756396786111509</v>
      </c>
      <c r="O33" s="22">
        <f t="shared" si="6"/>
        <v>80.148712196528081</v>
      </c>
      <c r="P33" s="41" t="str">
        <f t="shared" si="7"/>
        <v>**</v>
      </c>
      <c r="Q33" s="21">
        <v>3.63</v>
      </c>
      <c r="R33" s="21">
        <v>6.23</v>
      </c>
    </row>
    <row r="34" spans="11:22" ht="15.75" x14ac:dyDescent="0.25">
      <c r="K34" s="21" t="s">
        <v>78</v>
      </c>
      <c r="L34" s="21">
        <v>2</v>
      </c>
      <c r="M34" s="22">
        <f>SUMSQ(L24:N24)/9-M28</f>
        <v>234.98562271389346</v>
      </c>
      <c r="N34" s="22">
        <f t="shared" si="5"/>
        <v>117.49281135694673</v>
      </c>
      <c r="O34" s="22">
        <f t="shared" si="6"/>
        <v>98.342229226138912</v>
      </c>
      <c r="P34" s="41" t="str">
        <f t="shared" si="7"/>
        <v>**</v>
      </c>
      <c r="Q34" s="21">
        <v>3.63</v>
      </c>
      <c r="R34" s="21">
        <v>6.23</v>
      </c>
    </row>
    <row r="35" spans="11:22" ht="15.75" x14ac:dyDescent="0.25">
      <c r="K35" s="21" t="s">
        <v>99</v>
      </c>
      <c r="L35" s="21">
        <v>4</v>
      </c>
      <c r="M35" s="22">
        <f>M32-M33-M34</f>
        <v>38.826604403264355</v>
      </c>
      <c r="N35" s="22">
        <f t="shared" si="5"/>
        <v>9.7066511008160887</v>
      </c>
      <c r="O35" s="22">
        <f>N35/N$36</f>
        <v>8.124528612006614</v>
      </c>
      <c r="P35" s="41" t="str">
        <f t="shared" si="7"/>
        <v>**</v>
      </c>
      <c r="Q35" s="21">
        <v>3.01</v>
      </c>
      <c r="R35" s="21">
        <v>4.7699999999999996</v>
      </c>
    </row>
    <row r="36" spans="11:22" ht="15.75" x14ac:dyDescent="0.25">
      <c r="K36" s="21" t="s">
        <v>96</v>
      </c>
      <c r="L36" s="21">
        <v>16</v>
      </c>
      <c r="M36" s="33">
        <f>M37-M31-M32</f>
        <v>19.11574505178578</v>
      </c>
      <c r="N36" s="22">
        <f>M36/L36</f>
        <v>1.1947340657366112</v>
      </c>
      <c r="O36" s="37"/>
      <c r="P36" s="38"/>
      <c r="Q36" s="38"/>
      <c r="R36" s="38"/>
    </row>
    <row r="37" spans="11:22" ht="15.75" x14ac:dyDescent="0.25">
      <c r="K37" s="21" t="s">
        <v>17</v>
      </c>
      <c r="L37" s="21">
        <v>26</v>
      </c>
      <c r="M37" s="22">
        <f>SUMSQ(L7:N15)/1-M28</f>
        <v>485.35189002057268</v>
      </c>
      <c r="N37" s="37"/>
      <c r="O37" s="37"/>
      <c r="P37" s="38"/>
      <c r="Q37" s="38"/>
      <c r="R37" s="38"/>
    </row>
    <row r="39" spans="11:22" ht="15.75" x14ac:dyDescent="0.25">
      <c r="K39" s="65" t="s">
        <v>121</v>
      </c>
      <c r="L39" s="87">
        <f>5.03*SQRT(N36/3)</f>
        <v>3.1742635431332955</v>
      </c>
    </row>
    <row r="41" spans="11:22" ht="15.75" x14ac:dyDescent="0.25">
      <c r="K41" s="102" t="s">
        <v>122</v>
      </c>
      <c r="L41" s="102"/>
      <c r="M41" s="66"/>
      <c r="N41" s="66"/>
      <c r="O41" s="66"/>
      <c r="P41" s="66"/>
      <c r="Q41" s="66"/>
      <c r="R41" s="66"/>
    </row>
    <row r="43" spans="11:22" x14ac:dyDescent="0.25">
      <c r="K43" s="67" t="s">
        <v>1</v>
      </c>
      <c r="L43" s="67" t="s">
        <v>51</v>
      </c>
      <c r="M43" s="67" t="s">
        <v>123</v>
      </c>
      <c r="N43" s="66"/>
      <c r="O43" s="86">
        <v>21.345132835183026</v>
      </c>
      <c r="P43" s="85" t="s">
        <v>116</v>
      </c>
      <c r="Q43" s="33"/>
      <c r="R43" s="66"/>
    </row>
    <row r="44" spans="11:22" x14ac:dyDescent="0.25">
      <c r="K44" s="67" t="s">
        <v>82</v>
      </c>
      <c r="L44" s="86">
        <v>21.674459858193512</v>
      </c>
      <c r="M44" s="67" t="s">
        <v>128</v>
      </c>
      <c r="N44" s="66"/>
      <c r="O44" s="86">
        <v>21.674459858193512</v>
      </c>
      <c r="P44" s="84" t="s">
        <v>116</v>
      </c>
      <c r="Q44" s="87">
        <f>O44-O43</f>
        <v>0.32932702301048522</v>
      </c>
      <c r="R44" s="66"/>
      <c r="T44">
        <v>19.930746598971556</v>
      </c>
      <c r="U44">
        <v>23.101466686104338</v>
      </c>
      <c r="V44">
        <v>27.139912829098218</v>
      </c>
    </row>
    <row r="45" spans="11:22" x14ac:dyDescent="0.25">
      <c r="K45" s="67" t="s">
        <v>83</v>
      </c>
      <c r="L45" s="86">
        <v>21.345132835183026</v>
      </c>
      <c r="M45" s="67" t="s">
        <v>116</v>
      </c>
      <c r="N45" s="66"/>
      <c r="O45" s="86">
        <v>27.152533420797582</v>
      </c>
      <c r="P45" s="66" t="s">
        <v>117</v>
      </c>
      <c r="Q45" s="87">
        <f t="shared" ref="Q45:Q51" si="8">O45-O44</f>
        <v>5.4780735626040702</v>
      </c>
      <c r="R45" s="66"/>
    </row>
    <row r="46" spans="11:22" x14ac:dyDescent="0.25">
      <c r="K46" s="67" t="s">
        <v>84</v>
      </c>
      <c r="L46" s="86">
        <v>27.152533420797582</v>
      </c>
      <c r="M46" s="67" t="s">
        <v>118</v>
      </c>
      <c r="N46" s="66"/>
      <c r="O46" s="66"/>
      <c r="P46" s="66"/>
      <c r="Q46" s="87"/>
      <c r="R46" s="66"/>
    </row>
    <row r="47" spans="11:22" x14ac:dyDescent="0.25">
      <c r="K47" s="67" t="s">
        <v>124</v>
      </c>
      <c r="L47" s="67">
        <v>3.17</v>
      </c>
      <c r="M47" s="66"/>
      <c r="N47" s="66"/>
      <c r="O47" s="66"/>
      <c r="P47" s="66"/>
      <c r="Q47" s="87"/>
      <c r="R47" s="66"/>
    </row>
    <row r="48" spans="11:22" x14ac:dyDescent="0.25">
      <c r="Q48" s="87"/>
    </row>
    <row r="49" spans="11:19" x14ac:dyDescent="0.25">
      <c r="K49" s="67" t="s">
        <v>79</v>
      </c>
      <c r="L49" s="86">
        <v>19.930746598971556</v>
      </c>
      <c r="M49" s="67" t="s">
        <v>116</v>
      </c>
      <c r="N49" s="66"/>
      <c r="O49" s="86">
        <v>19.930746598971556</v>
      </c>
      <c r="P49" s="66" t="s">
        <v>116</v>
      </c>
      <c r="Q49" s="87"/>
      <c r="R49" s="66"/>
    </row>
    <row r="50" spans="11:19" x14ac:dyDescent="0.25">
      <c r="K50" s="67" t="s">
        <v>80</v>
      </c>
      <c r="L50" s="86">
        <v>23.101466686104338</v>
      </c>
      <c r="M50" s="67" t="s">
        <v>117</v>
      </c>
      <c r="N50" s="66"/>
      <c r="O50" s="86">
        <v>23.101466686104338</v>
      </c>
      <c r="P50" s="66" t="s">
        <v>117</v>
      </c>
      <c r="Q50" s="87">
        <f t="shared" si="8"/>
        <v>3.1707200871327821</v>
      </c>
    </row>
    <row r="51" spans="11:19" x14ac:dyDescent="0.25">
      <c r="K51" s="67" t="s">
        <v>81</v>
      </c>
      <c r="L51" s="86">
        <v>27.139912829098218</v>
      </c>
      <c r="M51" s="67" t="s">
        <v>118</v>
      </c>
      <c r="N51" s="66"/>
      <c r="O51" s="86">
        <v>27.139912829098218</v>
      </c>
      <c r="P51" s="66" t="s">
        <v>118</v>
      </c>
      <c r="Q51" s="87">
        <f t="shared" si="8"/>
        <v>4.0384461429938803</v>
      </c>
    </row>
    <row r="52" spans="11:19" x14ac:dyDescent="0.25">
      <c r="K52" s="67" t="s">
        <v>121</v>
      </c>
      <c r="L52" s="67">
        <v>3.17</v>
      </c>
      <c r="M52" s="66"/>
      <c r="N52" s="66"/>
      <c r="O52" s="67"/>
      <c r="P52" s="66"/>
      <c r="Q52" s="66"/>
    </row>
    <row r="55" spans="11:19" x14ac:dyDescent="0.25">
      <c r="K55" s="103" t="s">
        <v>125</v>
      </c>
      <c r="L55" s="103"/>
      <c r="M55" s="66"/>
      <c r="N55" s="66"/>
      <c r="O55" s="66"/>
      <c r="P55" s="66"/>
      <c r="Q55" s="66"/>
    </row>
    <row r="56" spans="11:19" ht="15.75" x14ac:dyDescent="0.25">
      <c r="K56" s="70" t="s">
        <v>1</v>
      </c>
      <c r="L56" s="70" t="s">
        <v>126</v>
      </c>
      <c r="M56" s="66" t="s">
        <v>127</v>
      </c>
      <c r="N56" s="66"/>
      <c r="O56" s="66"/>
      <c r="P56" s="66"/>
      <c r="Q56" s="66"/>
    </row>
    <row r="57" spans="11:19" x14ac:dyDescent="0.25">
      <c r="K57" s="72" t="s">
        <v>68</v>
      </c>
      <c r="L57" s="18">
        <v>17.903333333333332</v>
      </c>
      <c r="M57" s="66" t="s">
        <v>116</v>
      </c>
      <c r="N57" s="66"/>
      <c r="O57" s="18">
        <v>17.903333333333332</v>
      </c>
      <c r="P57" s="66" t="s">
        <v>116</v>
      </c>
      <c r="Q57" s="33"/>
      <c r="R57" s="33"/>
    </row>
    <row r="58" spans="11:19" x14ac:dyDescent="0.25">
      <c r="K58" s="72" t="s">
        <v>69</v>
      </c>
      <c r="L58" s="18">
        <v>20.260000000000002</v>
      </c>
      <c r="M58" s="66" t="s">
        <v>117</v>
      </c>
      <c r="N58" s="66"/>
      <c r="O58" s="18">
        <v>19.573333333333334</v>
      </c>
      <c r="P58" s="84" t="s">
        <v>128</v>
      </c>
      <c r="Q58" s="87"/>
      <c r="R58" s="87"/>
      <c r="S58" s="33"/>
    </row>
    <row r="59" spans="11:19" x14ac:dyDescent="0.25">
      <c r="K59" s="72" t="s">
        <v>70</v>
      </c>
      <c r="L59" s="18">
        <v>26.860046241247193</v>
      </c>
      <c r="M59" s="84" t="s">
        <v>137</v>
      </c>
      <c r="N59" s="66"/>
      <c r="O59" s="18">
        <v>20.260000000000002</v>
      </c>
      <c r="P59" s="66" t="s">
        <v>117</v>
      </c>
      <c r="Q59" s="87"/>
      <c r="R59" s="87"/>
      <c r="S59" s="87"/>
    </row>
    <row r="60" spans="11:19" x14ac:dyDescent="0.25">
      <c r="K60" s="72" t="s">
        <v>71</v>
      </c>
      <c r="L60" s="18">
        <v>19.573333333333334</v>
      </c>
      <c r="M60" s="84" t="s">
        <v>128</v>
      </c>
      <c r="N60" s="66"/>
      <c r="O60" s="18">
        <v>20.419039592834949</v>
      </c>
      <c r="P60" s="84" t="s">
        <v>117</v>
      </c>
      <c r="Q60" s="87"/>
      <c r="R60" s="87"/>
      <c r="S60" s="87"/>
    </row>
    <row r="61" spans="11:19" x14ac:dyDescent="0.25">
      <c r="K61" s="72" t="s">
        <v>72</v>
      </c>
      <c r="L61" s="18">
        <v>20.419039592834949</v>
      </c>
      <c r="M61" s="84" t="s">
        <v>117</v>
      </c>
      <c r="N61" s="66"/>
      <c r="O61" s="18">
        <v>22.315573130247998</v>
      </c>
      <c r="P61" s="84" t="s">
        <v>131</v>
      </c>
      <c r="Q61" s="87"/>
      <c r="R61" s="87"/>
      <c r="S61" s="87"/>
    </row>
    <row r="62" spans="11:19" x14ac:dyDescent="0.25">
      <c r="K62" s="72" t="s">
        <v>73</v>
      </c>
      <c r="L62" s="18">
        <v>24.043025579380799</v>
      </c>
      <c r="M62" s="84" t="s">
        <v>132</v>
      </c>
      <c r="N62" s="66"/>
      <c r="O62" s="18">
        <v>24.043025579380799</v>
      </c>
      <c r="P62" s="84" t="s">
        <v>132</v>
      </c>
      <c r="Q62" s="87"/>
      <c r="R62" s="87"/>
      <c r="S62" s="87"/>
    </row>
    <row r="63" spans="11:19" x14ac:dyDescent="0.25">
      <c r="K63" s="72" t="s">
        <v>74</v>
      </c>
      <c r="L63" s="18">
        <v>22.315573130247998</v>
      </c>
      <c r="M63" s="84" t="s">
        <v>131</v>
      </c>
      <c r="N63" s="66"/>
      <c r="O63" s="18">
        <v>26.860046241247193</v>
      </c>
      <c r="P63" s="84" t="s">
        <v>137</v>
      </c>
      <c r="Q63" s="87"/>
      <c r="R63" s="87"/>
      <c r="S63" s="87"/>
    </row>
    <row r="64" spans="11:19" x14ac:dyDescent="0.25">
      <c r="K64" s="72" t="s">
        <v>75</v>
      </c>
      <c r="L64" s="18">
        <v>28.625360465478067</v>
      </c>
      <c r="M64" s="84" t="s">
        <v>135</v>
      </c>
      <c r="N64" s="66"/>
      <c r="O64" s="18">
        <v>28.625360465478067</v>
      </c>
      <c r="P64" s="84" t="s">
        <v>135</v>
      </c>
      <c r="Q64" s="87"/>
      <c r="R64" s="87"/>
      <c r="S64" s="87"/>
    </row>
    <row r="65" spans="11:19" x14ac:dyDescent="0.25">
      <c r="K65" s="72" t="s">
        <v>9</v>
      </c>
      <c r="L65" s="18">
        <v>30.516666666666666</v>
      </c>
      <c r="M65" s="84" t="s">
        <v>136</v>
      </c>
      <c r="N65" s="66"/>
      <c r="O65" s="18">
        <v>30.516666666666666</v>
      </c>
      <c r="P65" s="84" t="s">
        <v>136</v>
      </c>
      <c r="Q65" s="87"/>
      <c r="R65" s="87"/>
      <c r="S65" s="87"/>
    </row>
    <row r="66" spans="11:19" x14ac:dyDescent="0.25">
      <c r="K66" s="67" t="s">
        <v>121</v>
      </c>
      <c r="L66" s="67">
        <v>3.17</v>
      </c>
    </row>
  </sheetData>
  <sortState ref="O57:Q65">
    <sortCondition ref="O57"/>
  </sortState>
  <mergeCells count="5">
    <mergeCell ref="K19:K20"/>
    <mergeCell ref="L19:N19"/>
    <mergeCell ref="O19:O20"/>
    <mergeCell ref="K41:L41"/>
    <mergeCell ref="K55:L55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16:T77"/>
  <sheetViews>
    <sheetView topLeftCell="K11" zoomScale="79" workbookViewId="0">
      <selection activeCell="N48" sqref="N48"/>
    </sheetView>
  </sheetViews>
  <sheetFormatPr defaultRowHeight="15" x14ac:dyDescent="0.25"/>
  <cols>
    <col min="4" max="4" width="23" customWidth="1"/>
    <col min="5" max="5" width="30.5703125" customWidth="1"/>
    <col min="6" max="6" width="14.42578125" customWidth="1"/>
    <col min="12" max="12" width="16.42578125" customWidth="1"/>
    <col min="13" max="13" width="14.140625" customWidth="1"/>
    <col min="14" max="14" width="14.5703125" customWidth="1"/>
    <col min="15" max="15" width="13.7109375" customWidth="1"/>
    <col min="16" max="16" width="14.140625" customWidth="1"/>
    <col min="17" max="17" width="17.140625" customWidth="1"/>
    <col min="18" max="18" width="13.7109375" customWidth="1"/>
  </cols>
  <sheetData>
    <row r="16" spans="3:18" x14ac:dyDescent="0.25">
      <c r="C16" s="10" t="s">
        <v>1</v>
      </c>
      <c r="D16" s="10" t="s">
        <v>23</v>
      </c>
      <c r="E16" s="10" t="s">
        <v>24</v>
      </c>
      <c r="F16" s="12" t="s">
        <v>25</v>
      </c>
      <c r="M16" s="10" t="s">
        <v>1</v>
      </c>
      <c r="N16" s="10" t="s">
        <v>14</v>
      </c>
      <c r="O16" s="10" t="s">
        <v>15</v>
      </c>
      <c r="P16" s="10" t="s">
        <v>16</v>
      </c>
      <c r="Q16" s="12" t="s">
        <v>97</v>
      </c>
      <c r="R16" s="12" t="s">
        <v>98</v>
      </c>
    </row>
    <row r="17" spans="3:20" x14ac:dyDescent="0.25">
      <c r="C17" s="11" t="s">
        <v>11</v>
      </c>
      <c r="D17" s="10">
        <f>150.7+115.6+154.3+135.8</f>
        <v>556.4</v>
      </c>
      <c r="E17" s="10">
        <v>30.5</v>
      </c>
      <c r="F17" s="18">
        <f>(E17/D17)*100</f>
        <v>5.4816678648454351</v>
      </c>
      <c r="M17" s="11" t="s">
        <v>2</v>
      </c>
      <c r="N17" s="28">
        <v>5.4816678648454351</v>
      </c>
      <c r="O17" s="18">
        <v>8.7483678418205546</v>
      </c>
      <c r="P17" s="18">
        <v>7.4338440111420612</v>
      </c>
      <c r="Q17" s="8">
        <f>SUM(N17:P17)</f>
        <v>21.663879717808051</v>
      </c>
      <c r="R17" s="8">
        <f>Q17/9</f>
        <v>2.4070977464231169</v>
      </c>
    </row>
    <row r="18" spans="3:20" x14ac:dyDescent="0.25">
      <c r="C18" s="11" t="s">
        <v>3</v>
      </c>
      <c r="D18" s="10">
        <f>170.3+163.4+127.4+80.9</f>
        <v>542</v>
      </c>
      <c r="E18" s="10">
        <v>15.9</v>
      </c>
      <c r="F18" s="18">
        <f t="shared" ref="F18:F43" si="0">(E18/D18)*100</f>
        <v>2.9335793357933579</v>
      </c>
      <c r="M18" s="11" t="s">
        <v>3</v>
      </c>
      <c r="N18" s="28">
        <v>2.9335793357933579</v>
      </c>
      <c r="O18" s="18">
        <v>3.4072471606273655</v>
      </c>
      <c r="P18" s="18">
        <v>3.8204747774480721</v>
      </c>
      <c r="Q18" s="8">
        <f t="shared" ref="Q18:Q25" si="1">SUM(N18:P18)</f>
        <v>10.161301273868794</v>
      </c>
      <c r="R18" s="86">
        <f t="shared" ref="R18:R25" si="2">Q18/9</f>
        <v>1.1290334748743105</v>
      </c>
    </row>
    <row r="19" spans="3:20" x14ac:dyDescent="0.25">
      <c r="C19" s="11" t="s">
        <v>4</v>
      </c>
      <c r="D19" s="10">
        <f>121.2+131.9+143.2+16.6</f>
        <v>412.90000000000003</v>
      </c>
      <c r="E19" s="10">
        <v>21.8</v>
      </c>
      <c r="F19" s="18">
        <f t="shared" si="0"/>
        <v>5.279728747880843</v>
      </c>
      <c r="M19" s="11" t="s">
        <v>4</v>
      </c>
      <c r="N19" s="28">
        <v>5.279728747880843</v>
      </c>
      <c r="O19" s="18">
        <v>2.2108241952599932</v>
      </c>
      <c r="P19" s="18">
        <v>5.0009805844283193</v>
      </c>
      <c r="Q19" s="8">
        <f t="shared" si="1"/>
        <v>12.491533527569155</v>
      </c>
      <c r="R19" s="86">
        <f t="shared" si="2"/>
        <v>1.3879481697299061</v>
      </c>
    </row>
    <row r="20" spans="3:20" x14ac:dyDescent="0.25">
      <c r="C20" s="11" t="s">
        <v>5</v>
      </c>
      <c r="D20" s="10">
        <f>151.6+150.8+151.7+104</f>
        <v>558.09999999999991</v>
      </c>
      <c r="E20" s="10">
        <v>44.6</v>
      </c>
      <c r="F20" s="18">
        <f t="shared" si="0"/>
        <v>7.9913993907901828</v>
      </c>
      <c r="M20" s="11" t="s">
        <v>5</v>
      </c>
      <c r="N20" s="28">
        <v>7.9913993907901828</v>
      </c>
      <c r="O20" s="18">
        <v>5.0565899963490324</v>
      </c>
      <c r="P20" s="18">
        <v>7.50609543712992</v>
      </c>
      <c r="Q20" s="8">
        <f t="shared" si="1"/>
        <v>20.554084824269133</v>
      </c>
      <c r="R20" s="86">
        <f t="shared" si="2"/>
        <v>2.2837872026965704</v>
      </c>
    </row>
    <row r="21" spans="3:20" x14ac:dyDescent="0.25">
      <c r="C21" s="11" t="s">
        <v>6</v>
      </c>
      <c r="D21" s="10">
        <f>108.5+126.9+134.4+87.9</f>
        <v>457.70000000000005</v>
      </c>
      <c r="E21" s="10">
        <v>33.4</v>
      </c>
      <c r="F21" s="18">
        <f t="shared" si="0"/>
        <v>7.2973563469521512</v>
      </c>
      <c r="M21" s="11" t="s">
        <v>6</v>
      </c>
      <c r="N21" s="28">
        <v>7.2973563469521512</v>
      </c>
      <c r="O21" s="18">
        <v>8.8328792007266106</v>
      </c>
      <c r="P21" s="18">
        <v>7.9822616407982254</v>
      </c>
      <c r="Q21" s="8">
        <f t="shared" si="1"/>
        <v>24.112497188476986</v>
      </c>
      <c r="R21" s="86">
        <f t="shared" si="2"/>
        <v>2.6791663542752207</v>
      </c>
    </row>
    <row r="22" spans="3:20" x14ac:dyDescent="0.25">
      <c r="C22" s="11" t="s">
        <v>7</v>
      </c>
      <c r="D22" s="10">
        <f>120.8+95.2+111+14.7</f>
        <v>341.7</v>
      </c>
      <c r="E22" s="10">
        <v>30.1</v>
      </c>
      <c r="F22" s="18">
        <f t="shared" si="0"/>
        <v>8.8088966930055612</v>
      </c>
      <c r="M22" s="11" t="s">
        <v>7</v>
      </c>
      <c r="N22" s="28">
        <v>8.8088966930055612</v>
      </c>
      <c r="O22" s="18">
        <v>4.9544125236538799</v>
      </c>
      <c r="P22" s="18">
        <v>6.8374558303886932</v>
      </c>
      <c r="Q22" s="8">
        <f t="shared" si="1"/>
        <v>20.600765047048135</v>
      </c>
      <c r="R22" s="86">
        <f t="shared" si="2"/>
        <v>2.2889738941164595</v>
      </c>
    </row>
    <row r="23" spans="3:20" x14ac:dyDescent="0.25">
      <c r="C23" s="11" t="s">
        <v>8</v>
      </c>
      <c r="D23" s="10">
        <f>169.9+169.8+167.5+95.4</f>
        <v>602.6</v>
      </c>
      <c r="E23" s="10">
        <v>31</v>
      </c>
      <c r="F23" s="18">
        <f t="shared" si="0"/>
        <v>5.1443743776966482</v>
      </c>
      <c r="M23" s="11" t="s">
        <v>8</v>
      </c>
      <c r="N23" s="28">
        <v>5.1443743776966482</v>
      </c>
      <c r="O23" s="18">
        <v>12.091560370435088</v>
      </c>
      <c r="P23" s="18">
        <v>11.896166408801788</v>
      </c>
      <c r="Q23" s="8">
        <f t="shared" si="1"/>
        <v>29.132101156933523</v>
      </c>
      <c r="R23" s="86">
        <f t="shared" si="2"/>
        <v>3.2369001285481693</v>
      </c>
    </row>
    <row r="24" spans="3:20" x14ac:dyDescent="0.25">
      <c r="C24" s="11" t="s">
        <v>10</v>
      </c>
      <c r="D24" s="10">
        <f>157.7+162.5+153.8+119.6</f>
        <v>593.6</v>
      </c>
      <c r="E24" s="10">
        <v>52.2</v>
      </c>
      <c r="F24" s="18">
        <f t="shared" si="0"/>
        <v>8.7938005390835592</v>
      </c>
      <c r="M24" s="11" t="s">
        <v>10</v>
      </c>
      <c r="N24" s="28">
        <v>8.7938005390835592</v>
      </c>
      <c r="O24" s="18">
        <v>7.5790530366404543</v>
      </c>
      <c r="P24" s="18">
        <v>23.530629139072843</v>
      </c>
      <c r="Q24" s="8">
        <f t="shared" si="1"/>
        <v>39.903482714796858</v>
      </c>
      <c r="R24" s="86">
        <f t="shared" si="2"/>
        <v>4.4337203016440956</v>
      </c>
    </row>
    <row r="25" spans="3:20" x14ac:dyDescent="0.25">
      <c r="C25" s="11" t="s">
        <v>9</v>
      </c>
      <c r="D25" s="10">
        <f>149+177.3+136+109.6</f>
        <v>571.9</v>
      </c>
      <c r="E25" s="10">
        <v>34.9</v>
      </c>
      <c r="F25" s="18">
        <f t="shared" si="0"/>
        <v>6.1024654659905577</v>
      </c>
      <c r="M25" s="11" t="s">
        <v>9</v>
      </c>
      <c r="N25" s="28">
        <v>6.1024654659905577</v>
      </c>
      <c r="O25" s="18">
        <v>4.8741861692767907</v>
      </c>
      <c r="P25" s="18">
        <v>5.7942937654103552</v>
      </c>
      <c r="Q25" s="8">
        <f t="shared" si="1"/>
        <v>16.770945400677704</v>
      </c>
      <c r="R25" s="86">
        <f t="shared" si="2"/>
        <v>1.8634383778530781</v>
      </c>
    </row>
    <row r="26" spans="3:20" x14ac:dyDescent="0.25">
      <c r="C26" s="11" t="s">
        <v>12</v>
      </c>
      <c r="D26" s="10">
        <f>120+172.5+131+112.6</f>
        <v>536.1</v>
      </c>
      <c r="E26" s="10">
        <v>46.9</v>
      </c>
      <c r="F26" s="18">
        <f t="shared" si="0"/>
        <v>8.7483678418205546</v>
      </c>
      <c r="M26" s="45" t="s">
        <v>17</v>
      </c>
      <c r="N26" s="8">
        <f>SUM(N17:N25)</f>
        <v>57.833268762038294</v>
      </c>
      <c r="O26" s="8">
        <f t="shared" ref="O26" si="3">SUM(O17:O25)</f>
        <v>57.755120494789765</v>
      </c>
      <c r="P26" s="8">
        <f>SUM(P17:P25)</f>
        <v>79.802201594620286</v>
      </c>
      <c r="Q26" s="8">
        <f>SUM(Q17:Q25)</f>
        <v>195.39059085144834</v>
      </c>
      <c r="R26" s="8">
        <f>SUM(R17:R25)</f>
        <v>21.710065650160928</v>
      </c>
    </row>
    <row r="27" spans="3:20" x14ac:dyDescent="0.25">
      <c r="C27" s="11" t="s">
        <v>3</v>
      </c>
      <c r="D27" s="10">
        <f>114.8+148.5+188.2+103.2</f>
        <v>554.70000000000005</v>
      </c>
      <c r="E27" s="10">
        <v>18.899999999999999</v>
      </c>
      <c r="F27" s="18">
        <f t="shared" si="0"/>
        <v>3.4072471606273655</v>
      </c>
    </row>
    <row r="28" spans="3:20" x14ac:dyDescent="0.25">
      <c r="C28" s="11" t="s">
        <v>4</v>
      </c>
      <c r="D28" s="10">
        <f>101.2+117.6+172.6+174</f>
        <v>565.4</v>
      </c>
      <c r="E28" s="10">
        <v>12.5</v>
      </c>
      <c r="F28" s="18">
        <f t="shared" si="0"/>
        <v>2.2108241952599932</v>
      </c>
      <c r="M28" s="29" t="s">
        <v>76</v>
      </c>
      <c r="N28" s="29"/>
    </row>
    <row r="29" spans="3:20" ht="15.75" x14ac:dyDescent="0.25">
      <c r="C29" s="11" t="s">
        <v>5</v>
      </c>
      <c r="D29" s="10">
        <f>124.7+197.1+129.1+96.9</f>
        <v>547.79999999999995</v>
      </c>
      <c r="E29" s="10">
        <v>27.7</v>
      </c>
      <c r="F29" s="18">
        <f t="shared" si="0"/>
        <v>5.0565899963490324</v>
      </c>
      <c r="M29" s="80" t="s">
        <v>77</v>
      </c>
      <c r="N29" s="80" t="s">
        <v>78</v>
      </c>
      <c r="O29" s="80"/>
      <c r="P29" s="80"/>
      <c r="Q29" s="80" t="s">
        <v>17</v>
      </c>
    </row>
    <row r="30" spans="3:20" ht="15.75" x14ac:dyDescent="0.25">
      <c r="C30" s="11" t="s">
        <v>6</v>
      </c>
      <c r="D30" s="10">
        <f>145.6+151.4+126.1+17.3</f>
        <v>440.40000000000003</v>
      </c>
      <c r="E30" s="10">
        <v>38.9</v>
      </c>
      <c r="F30" s="18">
        <f t="shared" si="0"/>
        <v>8.8328792007266106</v>
      </c>
      <c r="M30" s="80"/>
      <c r="N30" s="80" t="s">
        <v>79</v>
      </c>
      <c r="O30" s="80" t="s">
        <v>80</v>
      </c>
      <c r="P30" s="80" t="s">
        <v>81</v>
      </c>
      <c r="Q30" s="80"/>
    </row>
    <row r="31" spans="3:20" ht="15.75" x14ac:dyDescent="0.25">
      <c r="C31" s="11" t="s">
        <v>7</v>
      </c>
      <c r="D31" s="10">
        <f>91+157.2+181.3+151.8</f>
        <v>581.29999999999995</v>
      </c>
      <c r="E31" s="10">
        <v>28.8</v>
      </c>
      <c r="F31" s="18">
        <f t="shared" si="0"/>
        <v>4.9544125236538799</v>
      </c>
      <c r="M31" s="79" t="s">
        <v>82</v>
      </c>
      <c r="N31" s="32">
        <f>SUM(N17:P17)</f>
        <v>21.663879717808051</v>
      </c>
      <c r="O31" s="32">
        <f>SUM(N18:P18)</f>
        <v>10.161301273868794</v>
      </c>
      <c r="P31" s="32">
        <f>SUM(N19:P19)</f>
        <v>12.491533527569155</v>
      </c>
      <c r="Q31" s="88">
        <f>SUM(N31:P31)</f>
        <v>44.316714519245998</v>
      </c>
      <c r="R31" s="87">
        <f>Q31/9</f>
        <v>4.9240793910273331</v>
      </c>
      <c r="S31" t="s">
        <v>116</v>
      </c>
    </row>
    <row r="32" spans="3:20" ht="15.75" x14ac:dyDescent="0.25">
      <c r="C32" s="11" t="s">
        <v>8</v>
      </c>
      <c r="D32" s="10">
        <f>163.6+149+149.4+110.3</f>
        <v>572.29999999999995</v>
      </c>
      <c r="E32" s="10">
        <v>69.2</v>
      </c>
      <c r="F32" s="18">
        <f t="shared" si="0"/>
        <v>12.091560370435088</v>
      </c>
      <c r="M32" s="79" t="s">
        <v>83</v>
      </c>
      <c r="N32" s="42">
        <f>SUM(N20:P20)</f>
        <v>20.554084824269133</v>
      </c>
      <c r="O32" s="32">
        <f>SUM(N21:P21)</f>
        <v>24.112497188476986</v>
      </c>
      <c r="P32" s="32">
        <f>SUM(N22:P22)</f>
        <v>20.600765047048135</v>
      </c>
      <c r="Q32" s="88">
        <f>SUM(N32:P32)</f>
        <v>65.267347059794247</v>
      </c>
      <c r="R32" s="87">
        <f t="shared" ref="R32:R33" si="4">Q32/9</f>
        <v>7.2519274510882497</v>
      </c>
      <c r="S32" t="s">
        <v>117</v>
      </c>
      <c r="T32" s="87">
        <f>R32-R31</f>
        <v>2.3278480600609166</v>
      </c>
    </row>
    <row r="33" spans="3:20" ht="15.75" x14ac:dyDescent="0.25">
      <c r="C33" s="11" t="s">
        <v>10</v>
      </c>
      <c r="D33" s="10">
        <f>136.7+136.2+158+166.8</f>
        <v>597.70000000000005</v>
      </c>
      <c r="E33" s="10">
        <v>45.3</v>
      </c>
      <c r="F33" s="18">
        <f t="shared" si="0"/>
        <v>7.5790530366404543</v>
      </c>
      <c r="M33" s="79" t="s">
        <v>84</v>
      </c>
      <c r="N33" s="42">
        <f>SUM(N23:P23)</f>
        <v>29.132101156933523</v>
      </c>
      <c r="O33" s="32">
        <f>SUM(N24:P24)</f>
        <v>39.903482714796858</v>
      </c>
      <c r="P33" s="32">
        <f>SUM(N25:P25)</f>
        <v>16.770945400677704</v>
      </c>
      <c r="Q33" s="88">
        <f>SUM(N33:P33)</f>
        <v>85.806529272408085</v>
      </c>
      <c r="R33" s="87">
        <f t="shared" si="4"/>
        <v>9.5340588080453426</v>
      </c>
      <c r="S33" t="s">
        <v>118</v>
      </c>
      <c r="T33" s="87">
        <f>R33-R32</f>
        <v>2.2821313569570929</v>
      </c>
    </row>
    <row r="34" spans="3:20" ht="15.75" x14ac:dyDescent="0.25">
      <c r="C34" s="11" t="s">
        <v>9</v>
      </c>
      <c r="D34" s="10">
        <f>163+134.4+103.6+167.3</f>
        <v>568.29999999999995</v>
      </c>
      <c r="E34" s="10">
        <v>27.7</v>
      </c>
      <c r="F34" s="18">
        <f t="shared" si="0"/>
        <v>4.8741861692767907</v>
      </c>
      <c r="M34" s="79" t="s">
        <v>17</v>
      </c>
      <c r="N34" s="28">
        <f>SUM(N31:N33)</f>
        <v>71.350065699010713</v>
      </c>
      <c r="O34" s="28">
        <f>SUM(O31:O33)</f>
        <v>74.177281177142646</v>
      </c>
      <c r="P34" s="28">
        <f>SUM(P31:P33)</f>
        <v>49.863243975294992</v>
      </c>
      <c r="Q34" s="88">
        <f>SUM(N34:P34)</f>
        <v>195.39059085144834</v>
      </c>
    </row>
    <row r="35" spans="3:20" ht="15.75" x14ac:dyDescent="0.25">
      <c r="C35" s="11" t="s">
        <v>13</v>
      </c>
      <c r="D35" s="10">
        <f>148.1+153.8+109.6+162.9</f>
        <v>574.4</v>
      </c>
      <c r="E35" s="10">
        <v>42.7</v>
      </c>
      <c r="F35" s="18">
        <f t="shared" si="0"/>
        <v>7.4338440111420612</v>
      </c>
      <c r="N35" s="42">
        <f>N34/9</f>
        <v>7.9277850776678571</v>
      </c>
      <c r="O35" s="42">
        <f t="shared" ref="O35:P35" si="5">O34/9</f>
        <v>8.241920130793627</v>
      </c>
      <c r="P35" s="42">
        <f t="shared" si="5"/>
        <v>5.5403604416994439</v>
      </c>
      <c r="Q35" s="34">
        <f>SUM(Q31:Q33)</f>
        <v>195.39059085144834</v>
      </c>
    </row>
    <row r="36" spans="3:20" x14ac:dyDescent="0.25">
      <c r="C36" s="11" t="s">
        <v>3</v>
      </c>
      <c r="D36" s="10">
        <f>190.4+172.4+112.6+63.8</f>
        <v>539.19999999999993</v>
      </c>
      <c r="E36" s="10">
        <v>20.6</v>
      </c>
      <c r="F36" s="18">
        <f t="shared" si="0"/>
        <v>3.8204747774480721</v>
      </c>
    </row>
    <row r="37" spans="3:20" ht="15.75" x14ac:dyDescent="0.25">
      <c r="C37" s="11" t="s">
        <v>4</v>
      </c>
      <c r="D37" s="10">
        <f>103.4+113.3+137.1+156.1</f>
        <v>509.9</v>
      </c>
      <c r="E37" s="10">
        <v>25.5</v>
      </c>
      <c r="F37" s="18">
        <f t="shared" si="0"/>
        <v>5.0009805844283193</v>
      </c>
      <c r="M37" s="35" t="s">
        <v>85</v>
      </c>
      <c r="N37" t="s">
        <v>86</v>
      </c>
    </row>
    <row r="38" spans="3:20" x14ac:dyDescent="0.25">
      <c r="C38" s="11" t="s">
        <v>5</v>
      </c>
      <c r="D38" s="10">
        <f>163.9+176.4+125.5+108.4</f>
        <v>574.20000000000005</v>
      </c>
      <c r="E38" s="10">
        <v>43.1</v>
      </c>
      <c r="F38" s="18">
        <f t="shared" si="0"/>
        <v>7.50609543712992</v>
      </c>
      <c r="N38" s="39">
        <f>Q34^2/27</f>
        <v>1413.980851602892</v>
      </c>
    </row>
    <row r="39" spans="3:20" ht="15.75" x14ac:dyDescent="0.25">
      <c r="C39" s="11" t="s">
        <v>6</v>
      </c>
      <c r="D39" s="10">
        <f>136.3+171.3+126.1+17.3</f>
        <v>451.00000000000006</v>
      </c>
      <c r="E39" s="10">
        <v>36</v>
      </c>
      <c r="F39" s="18">
        <f t="shared" si="0"/>
        <v>7.9822616407982254</v>
      </c>
      <c r="M39" s="36" t="s">
        <v>87</v>
      </c>
      <c r="N39" s="36"/>
      <c r="O39" s="36"/>
      <c r="P39" s="36"/>
      <c r="Q39" s="36"/>
      <c r="R39" s="36"/>
      <c r="S39" s="36"/>
      <c r="T39" s="36"/>
    </row>
    <row r="40" spans="3:20" ht="15.75" x14ac:dyDescent="0.25">
      <c r="C40" s="11" t="s">
        <v>7</v>
      </c>
      <c r="D40" s="10">
        <f>162+174.8+128.4+100.8</f>
        <v>566</v>
      </c>
      <c r="E40" s="10">
        <v>38.700000000000003</v>
      </c>
      <c r="F40" s="18">
        <f t="shared" si="0"/>
        <v>6.8374558303886932</v>
      </c>
      <c r="M40" s="21" t="s">
        <v>114</v>
      </c>
      <c r="N40" s="21" t="s">
        <v>89</v>
      </c>
      <c r="O40" s="21" t="s">
        <v>90</v>
      </c>
      <c r="P40" s="21" t="s">
        <v>91</v>
      </c>
      <c r="Q40" s="21" t="s">
        <v>92</v>
      </c>
      <c r="R40" s="21"/>
      <c r="S40" s="21" t="s">
        <v>93</v>
      </c>
      <c r="T40" s="21" t="s">
        <v>94</v>
      </c>
    </row>
    <row r="41" spans="3:20" ht="15.75" x14ac:dyDescent="0.25">
      <c r="C41" s="11" t="s">
        <v>8</v>
      </c>
      <c r="D41" s="10">
        <f>183.7+153.5+135.4+109.1</f>
        <v>581.70000000000005</v>
      </c>
      <c r="E41" s="10">
        <v>69.2</v>
      </c>
      <c r="F41" s="18">
        <f t="shared" si="0"/>
        <v>11.896166408801788</v>
      </c>
      <c r="M41" s="21" t="s">
        <v>95</v>
      </c>
      <c r="N41" s="21">
        <v>2</v>
      </c>
      <c r="O41" s="22">
        <f>SUMSQ(N26:P26)/9-N38</f>
        <v>35.878292665802974</v>
      </c>
      <c r="P41" s="22">
        <f>O41/N41</f>
        <v>17.939146332901487</v>
      </c>
      <c r="Q41" s="22">
        <f>P41/P$46</f>
        <v>1.6029986969588224</v>
      </c>
      <c r="R41" s="41" t="str">
        <f>IF(Q41&lt;S41,"tn",IF(Q41&lt;T41,"*","**"))</f>
        <v>tn</v>
      </c>
      <c r="S41" s="21">
        <v>3.63</v>
      </c>
      <c r="T41" s="21">
        <v>6.23</v>
      </c>
    </row>
    <row r="42" spans="3:20" ht="15.75" x14ac:dyDescent="0.25">
      <c r="C42" s="11" t="s">
        <v>10</v>
      </c>
      <c r="D42" s="10">
        <f>107.9+135.9+141.5+97.9</f>
        <v>483.20000000000005</v>
      </c>
      <c r="E42" s="10">
        <v>113.7</v>
      </c>
      <c r="F42" s="18">
        <f>(E42/D42)*100</f>
        <v>23.530629139072843</v>
      </c>
      <c r="M42" s="21" t="s">
        <v>1</v>
      </c>
      <c r="N42" s="21">
        <v>8</v>
      </c>
      <c r="O42" s="22">
        <f>SUMSQ(Q17:Q25)/3-N38</f>
        <v>212.39262914644792</v>
      </c>
      <c r="P42" s="22">
        <f t="shared" ref="P42:P46" si="6">O42/N42</f>
        <v>26.54907864330599</v>
      </c>
      <c r="Q42" s="22">
        <f t="shared" ref="Q42:Q45" si="7">P42/P$46</f>
        <v>2.3723614090054319</v>
      </c>
      <c r="R42" s="41" t="str">
        <f t="shared" ref="R42:R45" si="8">IF(Q42&lt;S42,"tn",IF(Q42&lt;T42,"*","**"))</f>
        <v>tn</v>
      </c>
      <c r="S42" s="21">
        <v>2.59</v>
      </c>
      <c r="T42" s="21">
        <v>3.89</v>
      </c>
    </row>
    <row r="43" spans="3:20" ht="15.75" x14ac:dyDescent="0.25">
      <c r="C43" s="11" t="s">
        <v>9</v>
      </c>
      <c r="D43" s="10">
        <f>173.3+135.8+151+107.7</f>
        <v>567.80000000000007</v>
      </c>
      <c r="E43" s="10">
        <v>32.9</v>
      </c>
      <c r="F43" s="18">
        <f t="shared" si="0"/>
        <v>5.7942937654103552</v>
      </c>
      <c r="M43" s="21" t="s">
        <v>77</v>
      </c>
      <c r="N43" s="21">
        <v>2</v>
      </c>
      <c r="O43" s="22">
        <f>SUMSQ(Q31:Q33)/9-N38</f>
        <v>95.636731039397773</v>
      </c>
      <c r="P43" s="22">
        <f>O43/N43</f>
        <v>47.818365519698887</v>
      </c>
      <c r="Q43" s="22">
        <f>P43/P$46</f>
        <v>4.2729334047625294</v>
      </c>
      <c r="R43" s="41" t="str">
        <f t="shared" si="8"/>
        <v>*</v>
      </c>
      <c r="S43" s="21">
        <v>3.63</v>
      </c>
      <c r="T43" s="21">
        <v>6.23</v>
      </c>
    </row>
    <row r="44" spans="3:20" ht="15.75" x14ac:dyDescent="0.25">
      <c r="M44" s="21" t="s">
        <v>78</v>
      </c>
      <c r="N44" s="21">
        <v>2</v>
      </c>
      <c r="O44" s="22">
        <f>SUMSQ(N34:P34)/9-N38</f>
        <v>39.290705933309937</v>
      </c>
      <c r="P44" s="22">
        <f t="shared" si="6"/>
        <v>19.645352966654968</v>
      </c>
      <c r="Q44" s="22">
        <f t="shared" si="7"/>
        <v>1.7554611921018095</v>
      </c>
      <c r="R44" s="41" t="str">
        <f>IF(Q44&lt;S44,"tn",IF(Q44&lt;T44,"*","**"))</f>
        <v>tn</v>
      </c>
      <c r="S44" s="21">
        <v>3.63</v>
      </c>
      <c r="T44" s="21">
        <v>6.23</v>
      </c>
    </row>
    <row r="45" spans="3:20" ht="15.75" x14ac:dyDescent="0.25">
      <c r="M45" s="21" t="s">
        <v>99</v>
      </c>
      <c r="N45" s="21">
        <v>4</v>
      </c>
      <c r="O45" s="22">
        <f>O42-O43-O44</f>
        <v>77.465192173740206</v>
      </c>
      <c r="P45" s="22">
        <f>O45/N45</f>
        <v>19.366298043435052</v>
      </c>
      <c r="Q45" s="22">
        <f t="shared" si="7"/>
        <v>1.7305255195786946</v>
      </c>
      <c r="R45" s="41" t="str">
        <f t="shared" si="8"/>
        <v>tn</v>
      </c>
      <c r="S45" s="21">
        <v>3.01</v>
      </c>
      <c r="T45" s="21">
        <v>4.7699999999999996</v>
      </c>
    </row>
    <row r="46" spans="3:20" ht="15.75" x14ac:dyDescent="0.25">
      <c r="M46" s="21" t="s">
        <v>96</v>
      </c>
      <c r="N46" s="21">
        <v>16</v>
      </c>
      <c r="O46" s="33">
        <f>O47-O41-O42</f>
        <v>179.05587937842029</v>
      </c>
      <c r="P46" s="22">
        <f t="shared" si="6"/>
        <v>11.190992461151268</v>
      </c>
      <c r="Q46" s="37"/>
      <c r="R46" s="38"/>
      <c r="S46" s="38"/>
      <c r="T46" s="38"/>
    </row>
    <row r="47" spans="3:20" ht="15.75" x14ac:dyDescent="0.25">
      <c r="M47" s="21" t="s">
        <v>17</v>
      </c>
      <c r="N47" s="21">
        <v>26</v>
      </c>
      <c r="O47" s="22">
        <f>SUMSQ(N17:P25)/1-N38</f>
        <v>427.32680119067118</v>
      </c>
      <c r="P47" s="37"/>
      <c r="Q47" s="37"/>
      <c r="R47" s="38"/>
      <c r="S47" s="38"/>
      <c r="T47" s="38"/>
    </row>
    <row r="49" spans="12:19" ht="15.75" x14ac:dyDescent="0.25">
      <c r="L49" s="83" t="s">
        <v>121</v>
      </c>
      <c r="M49" s="87">
        <f>5.03*SQRT(P46/9)</f>
        <v>5.6089430689880535</v>
      </c>
      <c r="N49" s="66"/>
      <c r="O49" s="66"/>
      <c r="P49" s="66"/>
      <c r="Q49" s="66"/>
      <c r="R49" s="66"/>
      <c r="S49" s="66"/>
    </row>
    <row r="50" spans="12:19" x14ac:dyDescent="0.25">
      <c r="L50" s="66"/>
      <c r="M50" s="66"/>
      <c r="N50" s="66"/>
      <c r="O50" s="66"/>
      <c r="P50" s="66"/>
      <c r="Q50" s="66"/>
      <c r="R50" s="66"/>
      <c r="S50" s="66"/>
    </row>
    <row r="51" spans="12:19" ht="15.75" x14ac:dyDescent="0.25">
      <c r="L51" s="102" t="s">
        <v>122</v>
      </c>
      <c r="M51" s="102"/>
      <c r="N51" s="66"/>
      <c r="O51" s="66"/>
      <c r="P51" s="66"/>
      <c r="Q51" s="66"/>
      <c r="R51" s="66"/>
      <c r="S51" s="66"/>
    </row>
    <row r="52" spans="12:19" x14ac:dyDescent="0.25">
      <c r="L52" s="66"/>
      <c r="M52" s="66"/>
      <c r="N52" s="66"/>
      <c r="O52" s="66"/>
      <c r="P52" s="66"/>
      <c r="Q52" s="66"/>
      <c r="R52" s="66"/>
      <c r="S52" s="66"/>
    </row>
    <row r="53" spans="12:19" x14ac:dyDescent="0.25">
      <c r="L53" s="67" t="s">
        <v>1</v>
      </c>
      <c r="M53" s="67" t="s">
        <v>44</v>
      </c>
      <c r="N53" s="67" t="s">
        <v>123</v>
      </c>
      <c r="O53" s="66"/>
      <c r="P53" s="86">
        <v>4.9240793910273331</v>
      </c>
      <c r="Q53" s="85" t="s">
        <v>116</v>
      </c>
      <c r="R53" s="87">
        <f>P53+M49</f>
        <v>10.533022460015387</v>
      </c>
      <c r="S53" s="66"/>
    </row>
    <row r="54" spans="12:19" x14ac:dyDescent="0.25">
      <c r="L54" s="67" t="s">
        <v>82</v>
      </c>
      <c r="M54" s="86">
        <v>4.9240793910273331</v>
      </c>
      <c r="N54" s="67" t="s">
        <v>116</v>
      </c>
      <c r="O54" s="66"/>
      <c r="P54" s="86">
        <v>7.2519274510882497</v>
      </c>
      <c r="Q54" s="84" t="s">
        <v>117</v>
      </c>
      <c r="R54" s="87">
        <f>P54-P53</f>
        <v>2.3278480600609166</v>
      </c>
      <c r="S54" s="66"/>
    </row>
    <row r="55" spans="12:19" x14ac:dyDescent="0.25">
      <c r="L55" s="67" t="s">
        <v>83</v>
      </c>
      <c r="M55" s="86">
        <v>7.2519274510882497</v>
      </c>
      <c r="N55" s="67" t="s">
        <v>117</v>
      </c>
      <c r="O55" s="66"/>
      <c r="P55" s="86">
        <v>9.5340588080453426</v>
      </c>
      <c r="Q55" s="66" t="s">
        <v>118</v>
      </c>
      <c r="R55" s="87">
        <f>P55-P54</f>
        <v>2.2821313569570929</v>
      </c>
      <c r="S55" s="66"/>
    </row>
    <row r="56" spans="12:19" x14ac:dyDescent="0.25">
      <c r="L56" s="67" t="s">
        <v>84</v>
      </c>
      <c r="M56" s="86">
        <v>9.5340588080453426</v>
      </c>
      <c r="N56" s="67" t="s">
        <v>118</v>
      </c>
      <c r="O56" s="66"/>
      <c r="Q56" s="66"/>
      <c r="R56" s="66"/>
      <c r="S56" s="66"/>
    </row>
    <row r="57" spans="12:19" x14ac:dyDescent="0.25">
      <c r="L57" s="67" t="s">
        <v>124</v>
      </c>
      <c r="M57" s="67">
        <v>5.61</v>
      </c>
      <c r="N57" s="66"/>
      <c r="O57" s="66"/>
      <c r="P57" s="66"/>
      <c r="Q57" s="66"/>
      <c r="R57" s="66"/>
      <c r="S57" s="66"/>
    </row>
    <row r="58" spans="12:19" x14ac:dyDescent="0.25">
      <c r="L58" s="66"/>
      <c r="M58" s="66"/>
      <c r="N58" s="66"/>
      <c r="O58" s="66"/>
      <c r="P58" s="66"/>
      <c r="Q58" s="66"/>
      <c r="R58" s="66"/>
      <c r="S58" s="66"/>
    </row>
    <row r="63" spans="12:19" x14ac:dyDescent="0.25">
      <c r="L63" s="66"/>
      <c r="M63" s="66"/>
      <c r="N63" s="66"/>
      <c r="O63" s="66"/>
      <c r="P63" s="66"/>
      <c r="Q63" s="66"/>
      <c r="R63" s="66"/>
      <c r="S63" s="66"/>
    </row>
    <row r="64" spans="12:19" x14ac:dyDescent="0.25">
      <c r="L64" s="66"/>
      <c r="M64" s="66"/>
      <c r="N64" s="66"/>
      <c r="O64" s="66"/>
      <c r="P64" s="66"/>
      <c r="Q64" s="66"/>
      <c r="R64" s="66"/>
      <c r="S64" s="66"/>
    </row>
    <row r="77" spans="12:19" x14ac:dyDescent="0.25">
      <c r="L77" s="66"/>
      <c r="M77" s="66"/>
      <c r="N77" s="66"/>
      <c r="O77" s="66"/>
      <c r="P77" s="66"/>
      <c r="Q77" s="66"/>
      <c r="R77" s="66"/>
      <c r="S77" s="66"/>
    </row>
  </sheetData>
  <mergeCells count="1">
    <mergeCell ref="L51:M51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T46"/>
  <sheetViews>
    <sheetView topLeftCell="C15" zoomScale="79" workbookViewId="0">
      <selection activeCell="J32" sqref="J32"/>
    </sheetView>
  </sheetViews>
  <sheetFormatPr defaultRowHeight="15" x14ac:dyDescent="0.25"/>
  <cols>
    <col min="2" max="2" width="15.5703125" customWidth="1"/>
    <col min="3" max="3" width="19.5703125" customWidth="1"/>
    <col min="4" max="4" width="23.5703125" customWidth="1"/>
    <col min="5" max="5" width="13.85546875" customWidth="1"/>
  </cols>
  <sheetData>
    <row r="3" spans="2:13" x14ac:dyDescent="0.25">
      <c r="B3" s="10"/>
      <c r="C3" s="10"/>
      <c r="D3" s="10"/>
      <c r="E3" s="12"/>
      <c r="H3" t="s">
        <v>114</v>
      </c>
      <c r="I3" t="s">
        <v>14</v>
      </c>
      <c r="J3" t="s">
        <v>15</v>
      </c>
      <c r="K3" t="s">
        <v>16</v>
      </c>
      <c r="L3" t="s">
        <v>97</v>
      </c>
      <c r="M3" t="s">
        <v>98</v>
      </c>
    </row>
    <row r="4" spans="2:13" x14ac:dyDescent="0.25">
      <c r="B4" s="11"/>
      <c r="C4" s="10"/>
      <c r="D4" s="10"/>
      <c r="E4" s="18"/>
      <c r="H4" t="s">
        <v>2</v>
      </c>
      <c r="I4" s="87">
        <v>3.48</v>
      </c>
      <c r="J4" s="87">
        <v>4.1100000000000003</v>
      </c>
      <c r="K4" s="87">
        <v>3.86</v>
      </c>
      <c r="L4" s="87">
        <f>SUM(I4:K4)</f>
        <v>11.45</v>
      </c>
      <c r="M4" s="87">
        <f>AVERAGE(L4/9)</f>
        <v>1.2722222222222221</v>
      </c>
    </row>
    <row r="5" spans="2:13" x14ac:dyDescent="0.25">
      <c r="B5" s="11"/>
      <c r="C5" s="10"/>
      <c r="D5" s="10"/>
      <c r="E5" s="18"/>
      <c r="H5" t="s">
        <v>3</v>
      </c>
      <c r="I5" s="87">
        <v>3.72</v>
      </c>
      <c r="J5" s="87">
        <v>3.69</v>
      </c>
      <c r="K5" s="87">
        <v>4.29</v>
      </c>
      <c r="L5" s="87">
        <f t="shared" ref="L5:L12" si="0">SUM(I5:K5)</f>
        <v>11.7</v>
      </c>
      <c r="M5" s="87">
        <f t="shared" ref="M5:M12" si="1">AVERAGE(L5/9)</f>
        <v>1.2999999999999998</v>
      </c>
    </row>
    <row r="6" spans="2:13" x14ac:dyDescent="0.25">
      <c r="B6" s="11"/>
      <c r="C6" s="10"/>
      <c r="D6" s="10"/>
      <c r="E6" s="18"/>
      <c r="H6" t="s">
        <v>4</v>
      </c>
      <c r="I6" s="87">
        <v>4.13</v>
      </c>
      <c r="J6" s="87">
        <v>4.3499999999999996</v>
      </c>
      <c r="K6" s="87">
        <v>4.41</v>
      </c>
      <c r="L6" s="87">
        <f t="shared" si="0"/>
        <v>12.89</v>
      </c>
      <c r="M6" s="87">
        <f t="shared" si="1"/>
        <v>1.4322222222222223</v>
      </c>
    </row>
    <row r="7" spans="2:13" x14ac:dyDescent="0.25">
      <c r="B7" s="11"/>
      <c r="C7" s="10"/>
      <c r="D7" s="10"/>
      <c r="E7" s="18"/>
      <c r="H7" t="s">
        <v>5</v>
      </c>
      <c r="I7" s="87">
        <v>4.37</v>
      </c>
      <c r="J7" s="87">
        <v>4.5199999999999996</v>
      </c>
      <c r="K7" s="87">
        <v>4.42</v>
      </c>
      <c r="L7" s="87">
        <f t="shared" si="0"/>
        <v>13.31</v>
      </c>
      <c r="M7" s="87">
        <f t="shared" si="1"/>
        <v>1.4788888888888889</v>
      </c>
    </row>
    <row r="8" spans="2:13" x14ac:dyDescent="0.25">
      <c r="B8" s="11"/>
      <c r="C8" s="10"/>
      <c r="D8" s="10"/>
      <c r="E8" s="18"/>
      <c r="H8" t="s">
        <v>6</v>
      </c>
      <c r="I8" s="87">
        <v>4.6399999999999997</v>
      </c>
      <c r="J8" s="87">
        <v>4.71</v>
      </c>
      <c r="K8" s="87">
        <v>4.59</v>
      </c>
      <c r="L8" s="87">
        <f t="shared" si="0"/>
        <v>13.94</v>
      </c>
      <c r="M8" s="87">
        <f t="shared" si="1"/>
        <v>1.5488888888888888</v>
      </c>
    </row>
    <row r="9" spans="2:13" x14ac:dyDescent="0.25">
      <c r="B9" s="11"/>
      <c r="C9" s="10"/>
      <c r="D9" s="10"/>
      <c r="E9" s="18"/>
      <c r="H9" t="s">
        <v>7</v>
      </c>
      <c r="I9" s="87">
        <v>4.75</v>
      </c>
      <c r="J9" s="87">
        <v>4.82</v>
      </c>
      <c r="K9" s="87">
        <v>4.79</v>
      </c>
      <c r="L9" s="87">
        <f t="shared" si="0"/>
        <v>14.36</v>
      </c>
      <c r="M9" s="87">
        <f t="shared" si="1"/>
        <v>1.5955555555555554</v>
      </c>
    </row>
    <row r="10" spans="2:13" x14ac:dyDescent="0.25">
      <c r="B10" s="11"/>
      <c r="C10" s="10"/>
      <c r="D10" s="10"/>
      <c r="E10" s="18"/>
      <c r="H10" t="s">
        <v>8</v>
      </c>
      <c r="I10" s="87">
        <v>4.8099999999999996</v>
      </c>
      <c r="J10" s="87">
        <v>5.03</v>
      </c>
      <c r="K10" s="87">
        <v>4.96</v>
      </c>
      <c r="L10" s="87">
        <f t="shared" si="0"/>
        <v>14.8</v>
      </c>
      <c r="M10" s="87">
        <f t="shared" si="1"/>
        <v>1.6444444444444446</v>
      </c>
    </row>
    <row r="11" spans="2:13" x14ac:dyDescent="0.25">
      <c r="B11" s="11"/>
      <c r="C11" s="10"/>
      <c r="D11" s="10"/>
      <c r="E11" s="18"/>
      <c r="H11" t="s">
        <v>10</v>
      </c>
      <c r="I11" s="87">
        <v>4.9400000000000004</v>
      </c>
      <c r="J11" s="87">
        <v>5.14</v>
      </c>
      <c r="K11" s="87">
        <v>5.22</v>
      </c>
      <c r="L11" s="87">
        <f t="shared" si="0"/>
        <v>15.3</v>
      </c>
      <c r="M11" s="87">
        <f t="shared" si="1"/>
        <v>1.7000000000000002</v>
      </c>
    </row>
    <row r="12" spans="2:13" x14ac:dyDescent="0.25">
      <c r="B12" s="11"/>
      <c r="C12" s="10"/>
      <c r="D12" s="10"/>
      <c r="E12" s="18"/>
      <c r="H12" t="s">
        <v>9</v>
      </c>
      <c r="I12" s="87">
        <v>5.32</v>
      </c>
      <c r="J12" s="87">
        <v>5.46</v>
      </c>
      <c r="K12" s="87">
        <v>5.51</v>
      </c>
      <c r="L12" s="87">
        <f t="shared" si="0"/>
        <v>16.29</v>
      </c>
      <c r="M12" s="87">
        <f t="shared" si="1"/>
        <v>1.8099999999999998</v>
      </c>
    </row>
    <row r="13" spans="2:13" x14ac:dyDescent="0.25">
      <c r="B13" s="11"/>
      <c r="C13" s="10"/>
      <c r="D13" s="10"/>
      <c r="E13" s="18"/>
      <c r="H13" t="s">
        <v>17</v>
      </c>
      <c r="I13" s="87">
        <f>SUM(I4:I12)</f>
        <v>40.159999999999997</v>
      </c>
      <c r="J13" s="87">
        <f>SUM(J4:J12)</f>
        <v>41.830000000000005</v>
      </c>
      <c r="K13" s="87">
        <f>SUM(K4:K12)</f>
        <v>42.05</v>
      </c>
    </row>
    <row r="14" spans="2:13" x14ac:dyDescent="0.25">
      <c r="B14" s="11"/>
      <c r="C14" s="10"/>
      <c r="D14" s="10"/>
      <c r="E14" s="18"/>
    </row>
    <row r="15" spans="2:13" x14ac:dyDescent="0.25">
      <c r="B15" s="11"/>
      <c r="C15" s="10"/>
      <c r="D15" s="10"/>
      <c r="E15" s="18"/>
    </row>
    <row r="16" spans="2:13" x14ac:dyDescent="0.25">
      <c r="B16" s="11"/>
      <c r="C16" s="10"/>
      <c r="D16" s="10"/>
      <c r="E16" s="18"/>
      <c r="H16" s="67" t="s">
        <v>76</v>
      </c>
      <c r="I16" s="97"/>
      <c r="J16" s="98"/>
      <c r="K16" s="98"/>
      <c r="L16" s="99"/>
    </row>
    <row r="17" spans="2:15" x14ac:dyDescent="0.25">
      <c r="B17" s="11"/>
      <c r="C17" s="10"/>
      <c r="D17" s="10"/>
      <c r="E17" s="18"/>
      <c r="H17" s="107" t="s">
        <v>77</v>
      </c>
      <c r="I17" s="104" t="s">
        <v>78</v>
      </c>
      <c r="J17" s="105"/>
      <c r="K17" s="106"/>
      <c r="L17" s="107" t="s">
        <v>17</v>
      </c>
    </row>
    <row r="18" spans="2:15" x14ac:dyDescent="0.25">
      <c r="B18" s="11"/>
      <c r="C18" s="10"/>
      <c r="D18" s="10"/>
      <c r="E18" s="18"/>
      <c r="H18" s="108"/>
      <c r="I18" s="67" t="s">
        <v>79</v>
      </c>
      <c r="J18" s="67" t="s">
        <v>80</v>
      </c>
      <c r="K18" s="67" t="s">
        <v>81</v>
      </c>
      <c r="L18" s="108"/>
    </row>
    <row r="19" spans="2:15" x14ac:dyDescent="0.25">
      <c r="B19" s="11"/>
      <c r="C19" s="10"/>
      <c r="D19" s="10"/>
      <c r="E19" s="18"/>
      <c r="H19" s="67" t="s">
        <v>82</v>
      </c>
      <c r="I19" s="86">
        <f>L4</f>
        <v>11.45</v>
      </c>
      <c r="J19" s="86">
        <f>L5</f>
        <v>11.7</v>
      </c>
      <c r="K19" s="86">
        <f>L6</f>
        <v>12.89</v>
      </c>
      <c r="L19" s="86">
        <f>SUM(I19:K19)</f>
        <v>36.04</v>
      </c>
      <c r="M19" s="87">
        <f>L19/9</f>
        <v>4.0044444444444443</v>
      </c>
    </row>
    <row r="20" spans="2:15" x14ac:dyDescent="0.25">
      <c r="B20" s="11"/>
      <c r="C20" s="10"/>
      <c r="D20" s="10"/>
      <c r="E20" s="18"/>
      <c r="H20" s="67" t="s">
        <v>83</v>
      </c>
      <c r="I20" s="86">
        <f>L7</f>
        <v>13.31</v>
      </c>
      <c r="J20" s="86">
        <f>L8</f>
        <v>13.94</v>
      </c>
      <c r="K20" s="86">
        <f>L9</f>
        <v>14.36</v>
      </c>
      <c r="L20" s="86">
        <f t="shared" ref="L20:L22" si="2">SUM(I20:K20)</f>
        <v>41.61</v>
      </c>
      <c r="M20" s="87">
        <f t="shared" ref="M20:M21" si="3">L20/9</f>
        <v>4.6233333333333331</v>
      </c>
    </row>
    <row r="21" spans="2:15" x14ac:dyDescent="0.25">
      <c r="B21" s="11"/>
      <c r="C21" s="10"/>
      <c r="D21" s="10"/>
      <c r="E21" s="18"/>
      <c r="H21" s="67" t="s">
        <v>84</v>
      </c>
      <c r="I21" s="86">
        <f>L10</f>
        <v>14.8</v>
      </c>
      <c r="J21" s="86">
        <f>L11</f>
        <v>15.3</v>
      </c>
      <c r="K21" s="86">
        <f>L12</f>
        <v>16.29</v>
      </c>
      <c r="L21" s="86">
        <f t="shared" si="2"/>
        <v>46.39</v>
      </c>
      <c r="M21" s="87">
        <f t="shared" si="3"/>
        <v>5.1544444444444446</v>
      </c>
    </row>
    <row r="22" spans="2:15" x14ac:dyDescent="0.25">
      <c r="B22" s="11"/>
      <c r="C22" s="10"/>
      <c r="D22" s="10"/>
      <c r="E22" s="18"/>
      <c r="H22" s="67" t="s">
        <v>17</v>
      </c>
      <c r="I22" s="86">
        <f>SUM(I19:I21)</f>
        <v>39.56</v>
      </c>
      <c r="J22" s="86">
        <f t="shared" ref="J22:K22" si="4">SUM(J19:J21)</f>
        <v>40.94</v>
      </c>
      <c r="K22" s="86">
        <f t="shared" si="4"/>
        <v>43.54</v>
      </c>
      <c r="L22" s="86">
        <f t="shared" si="2"/>
        <v>124.03999999999999</v>
      </c>
    </row>
    <row r="23" spans="2:15" x14ac:dyDescent="0.25">
      <c r="B23" s="11"/>
      <c r="C23" s="10"/>
      <c r="D23" s="10"/>
      <c r="E23" s="18"/>
      <c r="H23" s="9" t="s">
        <v>138</v>
      </c>
      <c r="I23" s="87">
        <f>I22/9</f>
        <v>4.3955555555555561</v>
      </c>
      <c r="J23" s="87">
        <f t="shared" ref="J23:K23" si="5">J22/9</f>
        <v>4.5488888888888885</v>
      </c>
      <c r="K23" s="87">
        <f t="shared" si="5"/>
        <v>4.8377777777777773</v>
      </c>
    </row>
    <row r="24" spans="2:15" x14ac:dyDescent="0.25">
      <c r="B24" s="11"/>
      <c r="C24" s="10"/>
      <c r="D24" s="10"/>
      <c r="E24" s="18"/>
    </row>
    <row r="25" spans="2:15" x14ac:dyDescent="0.25">
      <c r="B25" s="11"/>
      <c r="C25" s="10"/>
      <c r="D25" s="10"/>
      <c r="E25" s="18"/>
      <c r="H25" t="s">
        <v>85</v>
      </c>
      <c r="I25" t="s">
        <v>86</v>
      </c>
    </row>
    <row r="26" spans="2:15" x14ac:dyDescent="0.25">
      <c r="B26" s="11"/>
      <c r="C26" s="10"/>
      <c r="D26" s="10"/>
      <c r="E26" s="18"/>
      <c r="I26">
        <f>(L22^2)/27</f>
        <v>569.84894814814811</v>
      </c>
    </row>
    <row r="27" spans="2:15" x14ac:dyDescent="0.25">
      <c r="B27" s="11"/>
      <c r="C27" s="10"/>
      <c r="D27" s="10"/>
      <c r="E27" s="18"/>
      <c r="H27" t="s">
        <v>87</v>
      </c>
    </row>
    <row r="28" spans="2:15" x14ac:dyDescent="0.25">
      <c r="B28" s="11"/>
      <c r="C28" s="10"/>
      <c r="D28" s="10"/>
      <c r="E28" s="18"/>
      <c r="H28" s="67" t="s">
        <v>114</v>
      </c>
      <c r="I28" s="67" t="s">
        <v>89</v>
      </c>
      <c r="J28" s="67" t="s">
        <v>90</v>
      </c>
      <c r="K28" s="67" t="s">
        <v>91</v>
      </c>
      <c r="L28" s="67" t="s">
        <v>92</v>
      </c>
      <c r="M28" s="67"/>
      <c r="N28" s="67" t="s">
        <v>93</v>
      </c>
      <c r="O28" s="67" t="s">
        <v>94</v>
      </c>
    </row>
    <row r="29" spans="2:15" x14ac:dyDescent="0.25">
      <c r="B29" s="11"/>
      <c r="C29" s="10"/>
      <c r="D29" s="10"/>
      <c r="E29" s="18"/>
      <c r="H29" s="67" t="s">
        <v>95</v>
      </c>
      <c r="I29" s="67">
        <v>2</v>
      </c>
      <c r="J29" s="86">
        <f>SUMSQ(I13:K13)/9-I26</f>
        <v>0.23738518518518958</v>
      </c>
      <c r="K29" s="86">
        <f>J29/I29</f>
        <v>0.11869259259259479</v>
      </c>
      <c r="L29" s="86">
        <f>K29/K$34</f>
        <v>5.5267741657342411</v>
      </c>
      <c r="M29" s="67" t="str">
        <f>IF(L29&lt;N29,"tn",IF(L29&lt;O29,"*","**"))</f>
        <v>*</v>
      </c>
      <c r="N29" s="67">
        <v>3.63</v>
      </c>
      <c r="O29" s="67">
        <v>6.23</v>
      </c>
    </row>
    <row r="30" spans="2:15" x14ac:dyDescent="0.25">
      <c r="B30" s="11"/>
      <c r="C30" s="10"/>
      <c r="D30" s="10"/>
      <c r="E30" s="18"/>
      <c r="H30" s="67" t="s">
        <v>1</v>
      </c>
      <c r="I30" s="67">
        <v>8</v>
      </c>
      <c r="J30" s="86">
        <f>SUMSQ(L4:L12)/3-I26</f>
        <v>6.9270518518519566</v>
      </c>
      <c r="K30" s="86">
        <f t="shared" ref="K30:K34" si="6">J30/I30</f>
        <v>0.86588148148149457</v>
      </c>
      <c r="L30" s="86">
        <f t="shared" ref="L30:L33" si="7">K30/K$34</f>
        <v>40.31870311288646</v>
      </c>
      <c r="M30" s="67" t="str">
        <f>IF(L30&lt;N30,"tn",IF(L30&lt;O30,"*","**"))</f>
        <v>**</v>
      </c>
      <c r="N30" s="67">
        <v>2.59</v>
      </c>
      <c r="O30" s="67">
        <v>3.89</v>
      </c>
    </row>
    <row r="31" spans="2:15" x14ac:dyDescent="0.25">
      <c r="H31" s="67" t="s">
        <v>77</v>
      </c>
      <c r="I31" s="67">
        <v>2</v>
      </c>
      <c r="J31" s="86">
        <f>SUMSQ(L19:L21)/9-I26</f>
        <v>5.9628074074074675</v>
      </c>
      <c r="K31" s="86">
        <f t="shared" si="6"/>
        <v>2.9814037037037338</v>
      </c>
      <c r="L31" s="86">
        <f t="shared" si="7"/>
        <v>138.82538587569962</v>
      </c>
      <c r="M31" s="67" t="str">
        <f>IF(L31&lt;N31,"tn",IF(L31&lt;O31,"*","**"))</f>
        <v>**</v>
      </c>
      <c r="N31" s="67">
        <v>3.63</v>
      </c>
      <c r="O31" s="67">
        <v>6.23</v>
      </c>
    </row>
    <row r="32" spans="2:15" x14ac:dyDescent="0.25">
      <c r="H32" s="67" t="s">
        <v>78</v>
      </c>
      <c r="I32" s="67">
        <v>2</v>
      </c>
      <c r="J32" s="86">
        <f>SUMSQ(I22:K22)/9-I26</f>
        <v>0.90758518518521214</v>
      </c>
      <c r="K32" s="86">
        <f t="shared" si="6"/>
        <v>0.45379259259260607</v>
      </c>
      <c r="L32" s="86">
        <f t="shared" si="7"/>
        <v>21.130292316985354</v>
      </c>
      <c r="M32" s="67" t="str">
        <f>IF(L32&lt;N32,"tn",IF(L32&lt;O32,"*","**"))</f>
        <v>**</v>
      </c>
      <c r="N32" s="67">
        <v>3.63</v>
      </c>
      <c r="O32" s="67">
        <v>6.23</v>
      </c>
    </row>
    <row r="33" spans="8:20" x14ac:dyDescent="0.25">
      <c r="H33" s="67" t="s">
        <v>99</v>
      </c>
      <c r="I33" s="67">
        <v>4</v>
      </c>
      <c r="J33" s="86">
        <f>J30-J31-J32</f>
        <v>5.6659259259276951E-2</v>
      </c>
      <c r="K33" s="86">
        <f t="shared" si="6"/>
        <v>1.4164814814819238E-2</v>
      </c>
      <c r="L33" s="86">
        <f t="shared" si="7"/>
        <v>0.65956712943042439</v>
      </c>
      <c r="M33" s="67" t="str">
        <f t="shared" ref="M33" si="8">IF(L33&lt;N33,"tn",IF(L33&lt;O33,"*","**"))</f>
        <v>tn</v>
      </c>
      <c r="N33" s="67">
        <v>3.01</v>
      </c>
      <c r="O33" s="67">
        <v>4.7699999999999996</v>
      </c>
    </row>
    <row r="34" spans="8:20" x14ac:dyDescent="0.25">
      <c r="H34" s="67" t="s">
        <v>96</v>
      </c>
      <c r="I34" s="67">
        <v>16</v>
      </c>
      <c r="J34" s="86">
        <f>J35-J29-J30</f>
        <v>0.34361481481471401</v>
      </c>
      <c r="K34" s="86">
        <f t="shared" si="6"/>
        <v>2.1475925925919626E-2</v>
      </c>
      <c r="L34" s="67"/>
      <c r="M34" s="67"/>
      <c r="N34" s="67"/>
      <c r="O34" s="67"/>
    </row>
    <row r="35" spans="8:20" x14ac:dyDescent="0.25">
      <c r="H35" s="67" t="s">
        <v>17</v>
      </c>
      <c r="I35" s="67">
        <v>26</v>
      </c>
      <c r="J35" s="86">
        <f>SUMSQ(I4:K12)/1-I26</f>
        <v>7.5080518518518602</v>
      </c>
      <c r="K35" s="86"/>
      <c r="L35" s="67"/>
      <c r="M35" s="67"/>
      <c r="N35" s="67"/>
      <c r="O35" s="67"/>
    </row>
    <row r="38" spans="8:20" ht="15.75" x14ac:dyDescent="0.25">
      <c r="H38" s="83" t="s">
        <v>121</v>
      </c>
      <c r="I38" s="87">
        <f>5.03*SQRT(K34/9)</f>
        <v>0.24570991348406038</v>
      </c>
      <c r="J38" s="66"/>
    </row>
    <row r="39" spans="8:20" x14ac:dyDescent="0.25">
      <c r="H39" s="66"/>
      <c r="I39" s="66"/>
      <c r="J39" s="66"/>
    </row>
    <row r="40" spans="8:20" ht="15.75" x14ac:dyDescent="0.25">
      <c r="H40" s="102" t="s">
        <v>122</v>
      </c>
      <c r="I40" s="102"/>
      <c r="J40" s="66"/>
    </row>
    <row r="41" spans="8:20" x14ac:dyDescent="0.25">
      <c r="H41" s="66"/>
      <c r="I41" s="66"/>
      <c r="J41" s="66"/>
    </row>
    <row r="42" spans="8:20" x14ac:dyDescent="0.25">
      <c r="H42" s="67" t="s">
        <v>1</v>
      </c>
      <c r="I42" s="67" t="s">
        <v>44</v>
      </c>
      <c r="J42" s="67" t="s">
        <v>123</v>
      </c>
      <c r="M42" s="67" t="s">
        <v>1</v>
      </c>
      <c r="N42" s="67" t="s">
        <v>44</v>
      </c>
      <c r="Q42" s="67" t="s">
        <v>1</v>
      </c>
      <c r="R42" s="67" t="s">
        <v>44</v>
      </c>
    </row>
    <row r="43" spans="8:20" x14ac:dyDescent="0.25">
      <c r="H43" s="67" t="s">
        <v>82</v>
      </c>
      <c r="I43" s="86">
        <v>4</v>
      </c>
      <c r="J43" s="67" t="s">
        <v>116</v>
      </c>
      <c r="M43" s="67" t="s">
        <v>82</v>
      </c>
      <c r="N43" s="86">
        <v>4</v>
      </c>
      <c r="O43" t="s">
        <v>116</v>
      </c>
      <c r="P43" s="87"/>
      <c r="Q43" s="67" t="s">
        <v>79</v>
      </c>
      <c r="R43" s="86">
        <v>4.4000000000000004</v>
      </c>
      <c r="S43" t="s">
        <v>116</v>
      </c>
      <c r="T43" s="87"/>
    </row>
    <row r="44" spans="8:20" x14ac:dyDescent="0.25">
      <c r="H44" s="67" t="s">
        <v>83</v>
      </c>
      <c r="I44" s="86">
        <v>4.62</v>
      </c>
      <c r="J44" s="67" t="s">
        <v>117</v>
      </c>
      <c r="M44" s="67" t="s">
        <v>83</v>
      </c>
      <c r="N44" s="86">
        <v>4.62</v>
      </c>
      <c r="O44" t="s">
        <v>117</v>
      </c>
      <c r="P44" s="87"/>
      <c r="Q44" s="67" t="s">
        <v>80</v>
      </c>
      <c r="R44" s="86">
        <v>4.55</v>
      </c>
      <c r="S44" t="s">
        <v>116</v>
      </c>
      <c r="T44" s="87"/>
    </row>
    <row r="45" spans="8:20" x14ac:dyDescent="0.25">
      <c r="H45" s="67" t="s">
        <v>84</v>
      </c>
      <c r="I45" s="86">
        <v>5.15</v>
      </c>
      <c r="J45" s="67" t="s">
        <v>118</v>
      </c>
      <c r="M45" s="67" t="s">
        <v>84</v>
      </c>
      <c r="N45" s="86">
        <v>5.15</v>
      </c>
      <c r="O45" t="s">
        <v>118</v>
      </c>
      <c r="Q45" s="67" t="s">
        <v>81</v>
      </c>
      <c r="R45" s="86">
        <v>4.84</v>
      </c>
      <c r="S45" t="s">
        <v>117</v>
      </c>
    </row>
    <row r="46" spans="8:20" x14ac:dyDescent="0.25">
      <c r="H46" s="67" t="s">
        <v>124</v>
      </c>
      <c r="I46" s="67">
        <v>5.61</v>
      </c>
      <c r="J46" s="66"/>
    </row>
  </sheetData>
  <sortState ref="N43:O45">
    <sortCondition ref="O43"/>
  </sortState>
  <mergeCells count="4">
    <mergeCell ref="I17:K17"/>
    <mergeCell ref="H17:H18"/>
    <mergeCell ref="L17:L18"/>
    <mergeCell ref="H40:I40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6:R37"/>
  <sheetViews>
    <sheetView topLeftCell="D4" zoomScale="77" workbookViewId="0">
      <selection activeCell="O32" sqref="O32"/>
    </sheetView>
  </sheetViews>
  <sheetFormatPr defaultRowHeight="15" x14ac:dyDescent="0.25"/>
  <cols>
    <col min="5" max="5" width="11.5703125" customWidth="1"/>
    <col min="6" max="6" width="13.7109375" customWidth="1"/>
    <col min="10" max="10" width="11.7109375" customWidth="1"/>
    <col min="11" max="11" width="10" customWidth="1"/>
    <col min="12" max="12" width="10.28515625" customWidth="1"/>
    <col min="13" max="13" width="11.140625" customWidth="1"/>
  </cols>
  <sheetData>
    <row r="6" spans="3:16" x14ac:dyDescent="0.25">
      <c r="C6" s="10" t="s">
        <v>1</v>
      </c>
      <c r="D6" s="10" t="s">
        <v>20</v>
      </c>
      <c r="E6" s="67" t="s">
        <v>130</v>
      </c>
      <c r="F6" s="10" t="s">
        <v>21</v>
      </c>
      <c r="G6" s="10" t="s">
        <v>22</v>
      </c>
      <c r="K6" s="1" t="s">
        <v>1</v>
      </c>
      <c r="L6" s="1" t="s">
        <v>14</v>
      </c>
      <c r="M6" s="1" t="s">
        <v>15</v>
      </c>
      <c r="N6" s="1" t="s">
        <v>16</v>
      </c>
      <c r="O6" s="46" t="s">
        <v>97</v>
      </c>
      <c r="P6" s="46" t="s">
        <v>98</v>
      </c>
    </row>
    <row r="7" spans="3:16" x14ac:dyDescent="0.25">
      <c r="C7" s="11" t="s">
        <v>11</v>
      </c>
      <c r="D7" s="10">
        <v>5.0110999999999999</v>
      </c>
      <c r="E7" s="67">
        <f>D7*1000</f>
        <v>5011.0999999999995</v>
      </c>
      <c r="F7" s="10">
        <f>(3.6-1.6)+(7-6)</f>
        <v>3</v>
      </c>
      <c r="G7" s="67">
        <f>(F7*0.88*50)/(E7)*100</f>
        <v>2.6341521821556149</v>
      </c>
      <c r="K7" s="11" t="s">
        <v>2</v>
      </c>
      <c r="L7" s="86">
        <f t="shared" ref="L7:L15" si="0">G7</f>
        <v>2.6341521821556149</v>
      </c>
      <c r="M7" s="86">
        <f t="shared" ref="M7:M15" si="1">G16</f>
        <v>3.1454783748361708</v>
      </c>
      <c r="N7" s="86">
        <f t="shared" ref="N7:N15" si="2">G25</f>
        <v>3.333599170587767</v>
      </c>
      <c r="O7" s="86">
        <f>SUM(L7:N7)</f>
        <v>9.1132297275795526</v>
      </c>
      <c r="P7" s="86">
        <f>AVERAGE(L7:N7)</f>
        <v>3.0377432425265174</v>
      </c>
    </row>
    <row r="8" spans="3:16" x14ac:dyDescent="0.25">
      <c r="C8" s="11" t="s">
        <v>3</v>
      </c>
      <c r="D8" s="10">
        <v>5.0145999999999997</v>
      </c>
      <c r="E8" s="67">
        <f t="shared" ref="E8:E33" si="3">D8*1000</f>
        <v>5014.5999999999995</v>
      </c>
      <c r="F8" s="10">
        <f>5.5-3.6</f>
        <v>1.9</v>
      </c>
      <c r="G8" s="67">
        <f t="shared" ref="G8:G33" si="4">(F8*0.88*50)/(E8)*100</f>
        <v>1.6671319746340687</v>
      </c>
      <c r="K8" s="11" t="s">
        <v>3</v>
      </c>
      <c r="L8" s="86">
        <f t="shared" si="0"/>
        <v>1.6671319746340687</v>
      </c>
      <c r="M8" s="86">
        <f t="shared" si="1"/>
        <v>3.3805480585488863</v>
      </c>
      <c r="N8" s="86">
        <f t="shared" si="2"/>
        <v>3.3341974594691606</v>
      </c>
      <c r="O8" s="86">
        <f t="shared" ref="O8:O15" si="5">SUM(L8:N8)</f>
        <v>8.3818774926521158</v>
      </c>
      <c r="P8" s="86">
        <f t="shared" ref="P8:P15" si="6">AVERAGE(L8:N8)</f>
        <v>2.7939591642173718</v>
      </c>
    </row>
    <row r="9" spans="3:16" x14ac:dyDescent="0.25">
      <c r="C9" s="11" t="s">
        <v>4</v>
      </c>
      <c r="D9" s="10">
        <v>5.093</v>
      </c>
      <c r="E9" s="67">
        <f t="shared" si="3"/>
        <v>5093</v>
      </c>
      <c r="F9" s="10">
        <f>7.4-5.5</f>
        <v>1.9000000000000004</v>
      </c>
      <c r="G9" s="67">
        <f t="shared" si="4"/>
        <v>1.6414686825053999</v>
      </c>
      <c r="K9" s="11" t="s">
        <v>4</v>
      </c>
      <c r="L9" s="86">
        <f t="shared" si="0"/>
        <v>1.6414686825053999</v>
      </c>
      <c r="M9" s="86">
        <f t="shared" si="1"/>
        <v>3.0654086548031376</v>
      </c>
      <c r="N9" s="86">
        <f t="shared" si="2"/>
        <v>1.9337954731605964</v>
      </c>
      <c r="O9" s="86">
        <f t="shared" si="5"/>
        <v>6.6406728104691339</v>
      </c>
      <c r="P9" s="86">
        <f t="shared" si="6"/>
        <v>2.2135576034897113</v>
      </c>
    </row>
    <row r="10" spans="3:16" x14ac:dyDescent="0.25">
      <c r="C10" s="11" t="s">
        <v>5</v>
      </c>
      <c r="D10" s="10">
        <v>5.0716999999999999</v>
      </c>
      <c r="E10" s="67">
        <f t="shared" si="3"/>
        <v>5071.7</v>
      </c>
      <c r="F10" s="10">
        <f>9.4-7.4</f>
        <v>2</v>
      </c>
      <c r="G10" s="67">
        <f t="shared" si="4"/>
        <v>1.7351184021136896</v>
      </c>
      <c r="K10" s="11" t="s">
        <v>5</v>
      </c>
      <c r="L10" s="86">
        <f t="shared" si="0"/>
        <v>1.7351184021136896</v>
      </c>
      <c r="M10" s="86">
        <f t="shared" si="1"/>
        <v>2.5265825792527181</v>
      </c>
      <c r="N10" s="86">
        <f t="shared" si="2"/>
        <v>1.2208657047724754</v>
      </c>
      <c r="O10" s="86">
        <f t="shared" si="5"/>
        <v>5.4825666861388829</v>
      </c>
      <c r="P10" s="86">
        <f t="shared" si="6"/>
        <v>1.8275222287129609</v>
      </c>
    </row>
    <row r="11" spans="3:16" x14ac:dyDescent="0.25">
      <c r="C11" s="11" t="s">
        <v>6</v>
      </c>
      <c r="D11" s="10">
        <v>5.0964999999999998</v>
      </c>
      <c r="E11" s="67">
        <f t="shared" si="3"/>
        <v>5096.5</v>
      </c>
      <c r="F11" s="10">
        <f>13.6-9.4</f>
        <v>4.1999999999999993</v>
      </c>
      <c r="G11" s="67">
        <f t="shared" si="4"/>
        <v>3.6260178553909541</v>
      </c>
      <c r="K11" s="11" t="s">
        <v>6</v>
      </c>
      <c r="L11" s="86">
        <f t="shared" si="0"/>
        <v>3.6260178553909541</v>
      </c>
      <c r="M11" s="86">
        <f t="shared" si="1"/>
        <v>1.9207111393309262</v>
      </c>
      <c r="N11" s="86">
        <f t="shared" si="2"/>
        <v>2.1032923695899028</v>
      </c>
      <c r="O11" s="86">
        <f t="shared" si="5"/>
        <v>7.6500213643117831</v>
      </c>
      <c r="P11" s="86">
        <f t="shared" si="6"/>
        <v>2.550007121437261</v>
      </c>
    </row>
    <row r="12" spans="3:16" x14ac:dyDescent="0.25">
      <c r="C12" s="11" t="s">
        <v>7</v>
      </c>
      <c r="D12" s="10">
        <v>5.024</v>
      </c>
      <c r="E12" s="67">
        <f t="shared" si="3"/>
        <v>5024</v>
      </c>
      <c r="F12" s="10">
        <f>14.4-13.6</f>
        <v>0.80000000000000071</v>
      </c>
      <c r="G12" s="67">
        <f t="shared" si="4"/>
        <v>0.70063694267515986</v>
      </c>
      <c r="K12" s="11" t="s">
        <v>7</v>
      </c>
      <c r="L12" s="86">
        <f t="shared" si="0"/>
        <v>0.70063694267515986</v>
      </c>
      <c r="M12" s="86">
        <f t="shared" si="1"/>
        <v>1.395164486722156</v>
      </c>
      <c r="N12" s="86">
        <f t="shared" si="2"/>
        <v>2.5309425579181202</v>
      </c>
      <c r="O12" s="86">
        <f t="shared" si="5"/>
        <v>4.6267439873154359</v>
      </c>
      <c r="P12" s="86">
        <f t="shared" si="6"/>
        <v>1.542247995771812</v>
      </c>
    </row>
    <row r="13" spans="3:16" x14ac:dyDescent="0.25">
      <c r="C13" s="11" t="s">
        <v>8</v>
      </c>
      <c r="D13" s="10">
        <v>5.0506000000000002</v>
      </c>
      <c r="E13" s="67">
        <f t="shared" si="3"/>
        <v>5050.6000000000004</v>
      </c>
      <c r="F13" s="10">
        <f>18.2-14.9</f>
        <v>3.2999999999999989</v>
      </c>
      <c r="G13" s="67">
        <f t="shared" si="4"/>
        <v>2.8749059517681057</v>
      </c>
      <c r="K13" s="11" t="s">
        <v>8</v>
      </c>
      <c r="L13" s="86">
        <f t="shared" si="0"/>
        <v>2.8749059517681057</v>
      </c>
      <c r="M13" s="86">
        <f t="shared" si="1"/>
        <v>1.9356128774245154</v>
      </c>
      <c r="N13" s="86">
        <f t="shared" si="2"/>
        <v>1.8465965865941878</v>
      </c>
      <c r="O13" s="86">
        <f t="shared" si="5"/>
        <v>6.6571154157868087</v>
      </c>
      <c r="P13" s="86">
        <f t="shared" si="6"/>
        <v>2.2190384719289362</v>
      </c>
    </row>
    <row r="14" spans="3:16" x14ac:dyDescent="0.25">
      <c r="C14" s="11" t="s">
        <v>10</v>
      </c>
      <c r="D14" s="10">
        <v>4.0410000000000004</v>
      </c>
      <c r="E14" s="67">
        <f t="shared" si="3"/>
        <v>4041.0000000000005</v>
      </c>
      <c r="F14" s="10">
        <f>20.5-18.9</f>
        <v>1.6000000000000014</v>
      </c>
      <c r="G14" s="67">
        <f t="shared" si="4"/>
        <v>1.7421430339025008</v>
      </c>
      <c r="K14" s="11" t="s">
        <v>10</v>
      </c>
      <c r="L14" s="86">
        <f t="shared" si="0"/>
        <v>1.7421430339025008</v>
      </c>
      <c r="M14" s="86">
        <f t="shared" si="1"/>
        <v>3.241478177763621</v>
      </c>
      <c r="N14" s="86">
        <f t="shared" si="2"/>
        <v>1.4895947426067904</v>
      </c>
      <c r="O14" s="86">
        <f t="shared" si="5"/>
        <v>6.4732159542729129</v>
      </c>
      <c r="P14" s="86">
        <f t="shared" si="6"/>
        <v>2.1577386514243044</v>
      </c>
    </row>
    <row r="15" spans="3:16" x14ac:dyDescent="0.25">
      <c r="C15" s="11" t="s">
        <v>9</v>
      </c>
      <c r="D15" s="10">
        <v>5.0029000000000003</v>
      </c>
      <c r="E15" s="67">
        <f t="shared" si="3"/>
        <v>5002.9000000000005</v>
      </c>
      <c r="F15" s="10">
        <v>1.6</v>
      </c>
      <c r="G15" s="67">
        <f t="shared" si="4"/>
        <v>1.4071838333766415</v>
      </c>
      <c r="K15" s="11" t="s">
        <v>9</v>
      </c>
      <c r="L15" s="86">
        <f t="shared" si="0"/>
        <v>1.4071838333766415</v>
      </c>
      <c r="M15" s="86">
        <f t="shared" si="1"/>
        <v>1.402083208858615</v>
      </c>
      <c r="N15" s="86">
        <f t="shared" si="2"/>
        <v>1.1364313670951471</v>
      </c>
      <c r="O15" s="86">
        <f t="shared" si="5"/>
        <v>3.9456984093304035</v>
      </c>
      <c r="P15" s="86">
        <f t="shared" si="6"/>
        <v>1.3152328031101346</v>
      </c>
    </row>
    <row r="16" spans="3:16" x14ac:dyDescent="0.25">
      <c r="C16" s="11" t="s">
        <v>12</v>
      </c>
      <c r="D16" s="10">
        <v>5.0358000000000001</v>
      </c>
      <c r="E16" s="67">
        <f t="shared" si="3"/>
        <v>5035.8</v>
      </c>
      <c r="F16" s="10">
        <f>20.9-17.3</f>
        <v>3.5999999999999979</v>
      </c>
      <c r="G16" s="67">
        <f t="shared" si="4"/>
        <v>3.1454783748361708</v>
      </c>
      <c r="K16" s="45" t="s">
        <v>17</v>
      </c>
      <c r="L16" s="86">
        <f>SUM(L7:L15)</f>
        <v>18.028758858522139</v>
      </c>
      <c r="M16" s="86">
        <f t="shared" ref="M16:P16" si="7">SUM(M7:M15)</f>
        <v>22.013067557540744</v>
      </c>
      <c r="N16" s="86">
        <f t="shared" si="7"/>
        <v>18.929315431794144</v>
      </c>
      <c r="O16" s="86">
        <f t="shared" si="7"/>
        <v>58.971141847857027</v>
      </c>
      <c r="P16" s="1">
        <f t="shared" si="7"/>
        <v>19.657047282619011</v>
      </c>
    </row>
    <row r="17" spans="3:18" x14ac:dyDescent="0.25">
      <c r="C17" s="11" t="s">
        <v>3</v>
      </c>
      <c r="D17" s="10">
        <v>5.0761000000000003</v>
      </c>
      <c r="E17" s="67">
        <f t="shared" si="3"/>
        <v>5076.1000000000004</v>
      </c>
      <c r="F17" s="10">
        <f>14.4-10.5</f>
        <v>3.9000000000000004</v>
      </c>
      <c r="G17" s="67">
        <f t="shared" si="4"/>
        <v>3.3805480585488863</v>
      </c>
    </row>
    <row r="18" spans="3:18" x14ac:dyDescent="0.25">
      <c r="C18" s="11" t="s">
        <v>4</v>
      </c>
      <c r="D18" s="10">
        <v>5.0237999999999996</v>
      </c>
      <c r="E18" s="67">
        <f t="shared" si="3"/>
        <v>5023.7999999999993</v>
      </c>
      <c r="F18" s="10">
        <f>10.5-7</f>
        <v>3.5</v>
      </c>
      <c r="G18" s="67">
        <f t="shared" si="4"/>
        <v>3.0654086548031376</v>
      </c>
      <c r="K18" s="29" t="s">
        <v>76</v>
      </c>
      <c r="L18" s="29"/>
    </row>
    <row r="19" spans="3:18" ht="15.75" x14ac:dyDescent="0.25">
      <c r="C19" s="11" t="s">
        <v>5</v>
      </c>
      <c r="D19" s="10">
        <v>5.0503</v>
      </c>
      <c r="E19" s="67">
        <f t="shared" si="3"/>
        <v>5050.3</v>
      </c>
      <c r="F19" s="10">
        <f>17.3-14.4</f>
        <v>2.9000000000000004</v>
      </c>
      <c r="G19" s="67">
        <f t="shared" si="4"/>
        <v>2.5265825792527181</v>
      </c>
      <c r="K19" s="101" t="s">
        <v>77</v>
      </c>
      <c r="L19" s="101" t="s">
        <v>78</v>
      </c>
      <c r="M19" s="101"/>
      <c r="N19" s="101"/>
      <c r="O19" s="101" t="s">
        <v>17</v>
      </c>
    </row>
    <row r="20" spans="3:18" ht="15.75" x14ac:dyDescent="0.25">
      <c r="C20" s="11" t="s">
        <v>6</v>
      </c>
      <c r="D20" s="10">
        <v>5.0397999999999996</v>
      </c>
      <c r="E20" s="67">
        <f t="shared" si="3"/>
        <v>5039.7999999999993</v>
      </c>
      <c r="F20" s="10">
        <v>2.2000000000000002</v>
      </c>
      <c r="G20" s="67">
        <f t="shared" si="4"/>
        <v>1.9207111393309262</v>
      </c>
      <c r="K20" s="101"/>
      <c r="L20" s="40" t="s">
        <v>79</v>
      </c>
      <c r="M20" s="40" t="s">
        <v>80</v>
      </c>
      <c r="N20" s="40" t="s">
        <v>81</v>
      </c>
      <c r="O20" s="101"/>
    </row>
    <row r="21" spans="3:18" ht="15.75" x14ac:dyDescent="0.25">
      <c r="C21" s="11" t="s">
        <v>7</v>
      </c>
      <c r="D21" s="10">
        <v>5.0460000000000003</v>
      </c>
      <c r="E21" s="67">
        <f t="shared" si="3"/>
        <v>5046</v>
      </c>
      <c r="F21" s="10">
        <f>3.8-2.2</f>
        <v>1.5999999999999996</v>
      </c>
      <c r="G21" s="67">
        <f t="shared" si="4"/>
        <v>1.395164486722156</v>
      </c>
      <c r="K21" s="31" t="s">
        <v>82</v>
      </c>
      <c r="L21" s="32">
        <f>SUM(L7:N7)</f>
        <v>9.1132297275795526</v>
      </c>
      <c r="M21" s="32">
        <f>SUM(L8:N8)</f>
        <v>8.3818774926521158</v>
      </c>
      <c r="N21" s="32">
        <f>SUM(L9:N9)</f>
        <v>6.6406728104691339</v>
      </c>
      <c r="O21" s="26">
        <f>SUM(L21:N21)</f>
        <v>24.135780030700801</v>
      </c>
      <c r="P21" s="87">
        <f>AVERAGE(L21:N21)</f>
        <v>8.0452600102335996</v>
      </c>
    </row>
    <row r="22" spans="3:18" ht="15.75" x14ac:dyDescent="0.25">
      <c r="C22" s="11" t="s">
        <v>8</v>
      </c>
      <c r="D22" s="10">
        <v>5.0010000000000003</v>
      </c>
      <c r="E22" s="67">
        <f t="shared" si="3"/>
        <v>5001</v>
      </c>
      <c r="F22" s="10">
        <f>6-3.8</f>
        <v>2.2000000000000002</v>
      </c>
      <c r="G22" s="67">
        <f t="shared" si="4"/>
        <v>1.9356128774245154</v>
      </c>
      <c r="K22" s="31" t="s">
        <v>83</v>
      </c>
      <c r="L22" s="42">
        <f>SUM(L10:N10)</f>
        <v>5.4825666861388829</v>
      </c>
      <c r="M22" s="32">
        <f>SUM(L11:N11)</f>
        <v>7.6500213643117831</v>
      </c>
      <c r="N22" s="32">
        <f>SUM(L12:N12)</f>
        <v>4.6267439873154359</v>
      </c>
      <c r="O22" s="26">
        <f>SUM(L22:N22)</f>
        <v>17.7593320377661</v>
      </c>
      <c r="P22" s="87">
        <f>AVERAGE(L22:N22)</f>
        <v>5.9197773459220331</v>
      </c>
    </row>
    <row r="23" spans="3:18" ht="15.75" x14ac:dyDescent="0.25">
      <c r="C23" s="11" t="s">
        <v>10</v>
      </c>
      <c r="D23" s="10">
        <v>5.0224000000000002</v>
      </c>
      <c r="E23" s="67">
        <f t="shared" si="3"/>
        <v>5022.4000000000005</v>
      </c>
      <c r="F23" s="10">
        <f>24.6-20.9</f>
        <v>3.7000000000000028</v>
      </c>
      <c r="G23" s="67">
        <f t="shared" si="4"/>
        <v>3.241478177763621</v>
      </c>
      <c r="K23" s="31" t="s">
        <v>84</v>
      </c>
      <c r="L23" s="42">
        <f>SUM(L13:N13)</f>
        <v>6.6571154157868087</v>
      </c>
      <c r="M23" s="32">
        <f>SUM(L14:N14)</f>
        <v>6.4732159542729129</v>
      </c>
      <c r="N23" s="32">
        <f>SUM(L15:N15)</f>
        <v>3.9456984093304035</v>
      </c>
      <c r="O23" s="26">
        <f>SUM(L23:N23)</f>
        <v>17.076029779390126</v>
      </c>
      <c r="P23" s="87">
        <f>AVERAGE(L23:N23)</f>
        <v>5.692009926463375</v>
      </c>
    </row>
    <row r="24" spans="3:18" ht="15.75" x14ac:dyDescent="0.25">
      <c r="C24" s="11" t="s">
        <v>9</v>
      </c>
      <c r="D24" s="10">
        <v>5.0210999999999997</v>
      </c>
      <c r="E24" s="67">
        <f t="shared" si="3"/>
        <v>5021.0999999999995</v>
      </c>
      <c r="F24" s="10">
        <f>26.2-24.6</f>
        <v>1.5999999999999979</v>
      </c>
      <c r="G24" s="67">
        <f t="shared" si="4"/>
        <v>1.402083208858615</v>
      </c>
      <c r="K24" s="31" t="s">
        <v>17</v>
      </c>
      <c r="L24" s="28">
        <f>SUM(L21:L23)</f>
        <v>21.252911829505244</v>
      </c>
      <c r="M24" s="28">
        <f>SUM(M21:M23)</f>
        <v>22.505114811236812</v>
      </c>
      <c r="N24" s="28">
        <f>SUM(N21:N23)</f>
        <v>15.213115207114974</v>
      </c>
      <c r="O24" s="26">
        <f>SUM(L24:N24)</f>
        <v>58.971141847857034</v>
      </c>
    </row>
    <row r="25" spans="3:18" ht="15.75" x14ac:dyDescent="0.25">
      <c r="C25" s="11" t="s">
        <v>13</v>
      </c>
      <c r="D25" s="10">
        <v>5.0156000000000001</v>
      </c>
      <c r="E25" s="67">
        <f t="shared" si="3"/>
        <v>5015.6000000000004</v>
      </c>
      <c r="F25" s="10">
        <f>30-26.2</f>
        <v>3.8000000000000007</v>
      </c>
      <c r="G25" s="67">
        <f t="shared" si="4"/>
        <v>3.333599170587767</v>
      </c>
      <c r="K25" s="96" t="s">
        <v>126</v>
      </c>
      <c r="L25" s="42">
        <f>AVERAGE(L21:L23)</f>
        <v>7.0843039431684147</v>
      </c>
      <c r="M25" s="42">
        <f t="shared" ref="M25:N25" si="8">AVERAGE(M21:M23)</f>
        <v>7.5017049370789373</v>
      </c>
      <c r="N25" s="42">
        <f t="shared" si="8"/>
        <v>5.0710384023716584</v>
      </c>
      <c r="O25" s="34">
        <f>SUM(O21:O23)</f>
        <v>58.971141847857027</v>
      </c>
    </row>
    <row r="26" spans="3:18" x14ac:dyDescent="0.25">
      <c r="C26" s="11" t="s">
        <v>3</v>
      </c>
      <c r="D26" s="10">
        <v>5.0147000000000004</v>
      </c>
      <c r="E26" s="67">
        <f t="shared" si="3"/>
        <v>5014.7000000000007</v>
      </c>
      <c r="F26" s="10">
        <f>(2.1)+(5.5-3.8)</f>
        <v>3.8000000000000003</v>
      </c>
      <c r="G26" s="67">
        <f t="shared" si="4"/>
        <v>3.3341974594691606</v>
      </c>
    </row>
    <row r="27" spans="3:18" ht="15.75" x14ac:dyDescent="0.25">
      <c r="C27" s="11" t="s">
        <v>4</v>
      </c>
      <c r="D27" s="10">
        <v>5.0057</v>
      </c>
      <c r="E27" s="67">
        <f t="shared" si="3"/>
        <v>5005.7</v>
      </c>
      <c r="F27" s="10">
        <f>14-11.8</f>
        <v>2.1999999999999993</v>
      </c>
      <c r="G27" s="67">
        <f t="shared" si="4"/>
        <v>1.9337954731605964</v>
      </c>
      <c r="K27" s="35" t="s">
        <v>85</v>
      </c>
      <c r="L27" t="s">
        <v>86</v>
      </c>
    </row>
    <row r="28" spans="3:18" x14ac:dyDescent="0.25">
      <c r="C28" s="11" t="s">
        <v>5</v>
      </c>
      <c r="D28" s="10">
        <v>5.0456000000000003</v>
      </c>
      <c r="E28" s="67">
        <f t="shared" si="3"/>
        <v>5045.6000000000004</v>
      </c>
      <c r="F28" s="10">
        <f>9-7.6</f>
        <v>1.4000000000000004</v>
      </c>
      <c r="G28" s="67">
        <f t="shared" si="4"/>
        <v>1.2208657047724754</v>
      </c>
      <c r="L28" s="39">
        <f>O24^2/27</f>
        <v>128.79983595703982</v>
      </c>
      <c r="M28">
        <v>129</v>
      </c>
    </row>
    <row r="29" spans="3:18" ht="15.75" x14ac:dyDescent="0.25">
      <c r="C29" s="11" t="s">
        <v>6</v>
      </c>
      <c r="D29" s="10">
        <v>5.0206999999999997</v>
      </c>
      <c r="E29" s="67">
        <f t="shared" si="3"/>
        <v>5020.7</v>
      </c>
      <c r="F29" s="10">
        <f>(1)+(34.2-32.8)</f>
        <v>2.4000000000000057</v>
      </c>
      <c r="G29" s="67">
        <f t="shared" si="4"/>
        <v>2.1032923695899028</v>
      </c>
      <c r="K29" s="36" t="s">
        <v>87</v>
      </c>
      <c r="L29" s="36"/>
      <c r="M29" s="36"/>
      <c r="N29" s="36"/>
      <c r="O29" s="36"/>
      <c r="P29" s="36"/>
      <c r="Q29" s="36"/>
      <c r="R29" s="36"/>
    </row>
    <row r="30" spans="3:18" ht="15.75" x14ac:dyDescent="0.25">
      <c r="C30" s="11" t="s">
        <v>7</v>
      </c>
      <c r="D30" s="10">
        <v>5.0415999999999999</v>
      </c>
      <c r="E30" s="67">
        <f t="shared" si="3"/>
        <v>5041.5999999999995</v>
      </c>
      <c r="F30" s="10">
        <f>(11.8-10.3)+(35.6-34.2)</f>
        <v>2.8999999999999986</v>
      </c>
      <c r="G30" s="67">
        <f t="shared" si="4"/>
        <v>2.5309425579181202</v>
      </c>
      <c r="K30" s="21" t="s">
        <v>88</v>
      </c>
      <c r="L30" s="21" t="s">
        <v>89</v>
      </c>
      <c r="M30" s="21" t="s">
        <v>90</v>
      </c>
      <c r="N30" s="21" t="s">
        <v>91</v>
      </c>
      <c r="O30" s="21" t="s">
        <v>92</v>
      </c>
      <c r="P30" s="21"/>
      <c r="Q30" s="21" t="s">
        <v>93</v>
      </c>
      <c r="R30" s="21" t="s">
        <v>94</v>
      </c>
    </row>
    <row r="31" spans="3:18" ht="15.75" x14ac:dyDescent="0.25">
      <c r="C31" s="11" t="s">
        <v>8</v>
      </c>
      <c r="D31" s="10">
        <v>5.0038</v>
      </c>
      <c r="E31" s="67">
        <f t="shared" si="3"/>
        <v>5003.8</v>
      </c>
      <c r="F31" s="10">
        <f>7.6-5.5</f>
        <v>2.0999999999999996</v>
      </c>
      <c r="G31" s="67">
        <f t="shared" si="4"/>
        <v>1.8465965865941878</v>
      </c>
      <c r="K31" s="21" t="s">
        <v>95</v>
      </c>
      <c r="L31" s="21">
        <v>2</v>
      </c>
      <c r="M31" s="22">
        <f>SUMSQ(L16:N16)/9-M28</f>
        <v>0.77003022088368311</v>
      </c>
      <c r="N31" s="22">
        <f>M31/L31</f>
        <v>0.38501511044184156</v>
      </c>
      <c r="O31" s="22">
        <f>N31/N$36</f>
        <v>0.65914814744424055</v>
      </c>
      <c r="P31" s="41" t="str">
        <f>IF(O31&lt;Q31,"tn",IF(O31&lt;R31,"*","**"))</f>
        <v>tn</v>
      </c>
      <c r="Q31" s="21">
        <v>3.63</v>
      </c>
      <c r="R31" s="21">
        <v>6.23</v>
      </c>
    </row>
    <row r="32" spans="3:18" ht="15.75" x14ac:dyDescent="0.25">
      <c r="C32" s="11" t="s">
        <v>10</v>
      </c>
      <c r="D32" s="10">
        <v>5.0214999999999996</v>
      </c>
      <c r="E32" s="67">
        <f t="shared" si="3"/>
        <v>5021.5</v>
      </c>
      <c r="F32" s="10">
        <f>3.8-2.1</f>
        <v>1.6999999999999997</v>
      </c>
      <c r="G32" s="67">
        <f t="shared" si="4"/>
        <v>1.4895947426067904</v>
      </c>
      <c r="K32" s="21" t="s">
        <v>1</v>
      </c>
      <c r="L32" s="21">
        <v>8</v>
      </c>
      <c r="M32" s="22">
        <f>SUMSQ(O7:O15)/3-M28</f>
        <v>7.3939107996233986</v>
      </c>
      <c r="N32" s="22">
        <f t="shared" ref="N32:N33" si="9">M32/L32</f>
        <v>0.92423884995292482</v>
      </c>
      <c r="O32" s="22">
        <f>N32/N$36</f>
        <v>1.5823023804009637</v>
      </c>
      <c r="P32" s="41" t="str">
        <f t="shared" ref="P32:P33" si="10">IF(O32&lt;Q32,"tn",IF(O32&lt;R32,"*","**"))</f>
        <v>tn</v>
      </c>
      <c r="Q32" s="21">
        <v>2.59</v>
      </c>
      <c r="R32" s="21">
        <v>3.89</v>
      </c>
    </row>
    <row r="33" spans="3:18" ht="15.75" x14ac:dyDescent="0.25">
      <c r="C33" s="11" t="s">
        <v>9</v>
      </c>
      <c r="D33" s="10">
        <v>5.0332999999999997</v>
      </c>
      <c r="E33" s="67">
        <f t="shared" si="3"/>
        <v>5033.2999999999993</v>
      </c>
      <c r="F33" s="10">
        <f>15.3-14</f>
        <v>1.3000000000000007</v>
      </c>
      <c r="G33" s="67">
        <f t="shared" si="4"/>
        <v>1.1364313670951471</v>
      </c>
      <c r="K33" s="21" t="s">
        <v>77</v>
      </c>
      <c r="L33" s="21">
        <v>2</v>
      </c>
      <c r="M33" s="22">
        <f>SUMSQ(O21:O23)/9-M28</f>
        <v>3.1689494605132609</v>
      </c>
      <c r="N33" s="22">
        <f t="shared" si="9"/>
        <v>1.5844747302566304</v>
      </c>
      <c r="O33" s="22">
        <f>N33/N$36</f>
        <v>2.7126301144968519</v>
      </c>
      <c r="P33" s="41" t="str">
        <f t="shared" si="10"/>
        <v>tn</v>
      </c>
      <c r="Q33" s="21">
        <v>3.63</v>
      </c>
      <c r="R33" s="21">
        <v>6.23</v>
      </c>
    </row>
    <row r="34" spans="3:18" ht="15.75" x14ac:dyDescent="0.25">
      <c r="K34" s="21" t="s">
        <v>78</v>
      </c>
      <c r="L34" s="21">
        <v>2</v>
      </c>
      <c r="M34" s="22">
        <f>SUMSQ(L24:N24)/9-M28</f>
        <v>3.1783698005141332</v>
      </c>
      <c r="N34" s="22">
        <f>M34/L34</f>
        <v>1.5891849002570666</v>
      </c>
      <c r="O34" s="22">
        <f>N34/N$36</f>
        <v>2.7206939534105299</v>
      </c>
      <c r="P34" s="41" t="str">
        <f>IF(O34&lt;Q34,"tn",IF(O34&lt;R34,"*","**"))</f>
        <v>tn</v>
      </c>
      <c r="Q34" s="21">
        <v>3.63</v>
      </c>
      <c r="R34" s="21">
        <v>6.23</v>
      </c>
    </row>
    <row r="35" spans="3:18" ht="15.75" x14ac:dyDescent="0.25">
      <c r="K35" s="21" t="s">
        <v>99</v>
      </c>
      <c r="L35" s="21">
        <v>4</v>
      </c>
      <c r="M35" s="22">
        <f>M32-M33-M34</f>
        <v>1.0465915385960045</v>
      </c>
      <c r="N35" s="22">
        <f>M35/L35</f>
        <v>0.26164788464900113</v>
      </c>
      <c r="O35" s="22">
        <f>N35/N$36</f>
        <v>0.44794272684823649</v>
      </c>
      <c r="P35" s="41" t="str">
        <f>IF(O35&lt;Q35,"tn",IF(O35&lt;R35,"*","**"))</f>
        <v>tn</v>
      </c>
      <c r="Q35" s="21">
        <v>3.01</v>
      </c>
      <c r="R35" s="21">
        <v>4.7699999999999996</v>
      </c>
    </row>
    <row r="36" spans="3:18" ht="15.75" x14ac:dyDescent="0.25">
      <c r="K36" s="21" t="s">
        <v>96</v>
      </c>
      <c r="L36" s="21">
        <v>16</v>
      </c>
      <c r="M36" s="33">
        <f>M37-M31-M32</f>
        <v>9.345762088469769</v>
      </c>
      <c r="N36" s="22">
        <f>M36/L36</f>
        <v>0.58411013052936056</v>
      </c>
      <c r="O36" s="37"/>
      <c r="P36" s="38"/>
      <c r="Q36" s="38"/>
      <c r="R36" s="38"/>
    </row>
    <row r="37" spans="3:18" ht="15.75" x14ac:dyDescent="0.25">
      <c r="K37" s="21" t="s">
        <v>17</v>
      </c>
      <c r="L37" s="21">
        <v>26</v>
      </c>
      <c r="M37" s="22">
        <f>SUMSQ(L7:N15)/1-M28</f>
        <v>17.509703108976851</v>
      </c>
      <c r="N37" s="37"/>
      <c r="O37" s="37"/>
      <c r="P37" s="38"/>
      <c r="Q37" s="38"/>
      <c r="R37" s="38"/>
    </row>
  </sheetData>
  <mergeCells count="3">
    <mergeCell ref="K19:K20"/>
    <mergeCell ref="L19:N19"/>
    <mergeCell ref="O19:O20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C3:U67"/>
  <sheetViews>
    <sheetView topLeftCell="K38" zoomScale="64" workbookViewId="0">
      <selection activeCell="O68" sqref="O68"/>
    </sheetView>
  </sheetViews>
  <sheetFormatPr defaultRowHeight="15" x14ac:dyDescent="0.25"/>
  <cols>
    <col min="3" max="3" width="14.7109375" customWidth="1"/>
    <col min="4" max="4" width="18.140625" customWidth="1"/>
    <col min="5" max="5" width="16" customWidth="1"/>
    <col min="9" max="9" width="13.140625" customWidth="1"/>
    <col min="10" max="10" width="16.5703125" customWidth="1"/>
    <col min="14" max="14" width="17.85546875" customWidth="1"/>
    <col min="15" max="15" width="15" customWidth="1"/>
    <col min="16" max="16" width="13.42578125" customWidth="1"/>
    <col min="17" max="17" width="16.7109375" customWidth="1"/>
  </cols>
  <sheetData>
    <row r="3" spans="3:19" x14ac:dyDescent="0.25">
      <c r="C3" t="s">
        <v>32</v>
      </c>
      <c r="L3" t="s">
        <v>102</v>
      </c>
    </row>
    <row r="5" spans="3:19" x14ac:dyDescent="0.25">
      <c r="N5" s="1" t="s">
        <v>1</v>
      </c>
      <c r="O5" s="1" t="s">
        <v>14</v>
      </c>
      <c r="P5" s="1" t="s">
        <v>15</v>
      </c>
      <c r="Q5" s="1" t="s">
        <v>16</v>
      </c>
      <c r="R5" s="46" t="s">
        <v>97</v>
      </c>
      <c r="S5" s="46" t="s">
        <v>98</v>
      </c>
    </row>
    <row r="6" spans="3:19" x14ac:dyDescent="0.25">
      <c r="C6" s="15" t="s">
        <v>1</v>
      </c>
      <c r="D6" s="15" t="s">
        <v>31</v>
      </c>
      <c r="E6" s="15" t="s">
        <v>30</v>
      </c>
      <c r="F6" s="16" t="s">
        <v>26</v>
      </c>
      <c r="G6" s="16" t="s">
        <v>27</v>
      </c>
      <c r="H6" s="16" t="s">
        <v>28</v>
      </c>
      <c r="I6" s="16" t="s">
        <v>33</v>
      </c>
      <c r="J6" s="16" t="s">
        <v>29</v>
      </c>
      <c r="N6" s="11" t="s">
        <v>2</v>
      </c>
      <c r="O6" s="28">
        <v>9.9890449158450405</v>
      </c>
      <c r="P6" s="18">
        <v>8.8800000000000008</v>
      </c>
      <c r="Q6" s="18">
        <v>9.02</v>
      </c>
      <c r="R6" s="8">
        <f>SUM(O6:Q6)</f>
        <v>27.889044915845041</v>
      </c>
      <c r="S6" s="8">
        <f>AVERAGE(O6:Q6)</f>
        <v>9.2963483052816809</v>
      </c>
    </row>
    <row r="7" spans="3:19" x14ac:dyDescent="0.25">
      <c r="C7" s="14" t="s">
        <v>11</v>
      </c>
      <c r="D7" s="13">
        <v>4.4154</v>
      </c>
      <c r="E7" s="13">
        <v>2.0082</v>
      </c>
      <c r="F7" s="13">
        <v>6.2270000000000003</v>
      </c>
      <c r="G7" s="13">
        <v>6.2271999999999998</v>
      </c>
      <c r="H7" s="13">
        <v>6.2229999999999999</v>
      </c>
      <c r="I7" s="17">
        <f>H7-D7</f>
        <v>1.8075999999999999</v>
      </c>
      <c r="J7" s="17">
        <f>((E7-I7)/E7)*100</f>
        <v>9.9890449158450405</v>
      </c>
      <c r="N7" s="11" t="s">
        <v>3</v>
      </c>
      <c r="O7" s="28">
        <v>8.5155121756884959</v>
      </c>
      <c r="P7" s="18">
        <v>9.0868352917745518</v>
      </c>
      <c r="Q7" s="18">
        <v>9.4553442164644821</v>
      </c>
      <c r="R7" s="8">
        <f t="shared" ref="R7:R14" si="0">SUM(O7:Q7)</f>
        <v>27.05769168392753</v>
      </c>
      <c r="S7" s="8">
        <f t="shared" ref="S7:S14" si="1">AVERAGE(O7:Q7)</f>
        <v>9.0192305613091772</v>
      </c>
    </row>
    <row r="8" spans="3:19" x14ac:dyDescent="0.25">
      <c r="C8" s="14" t="s">
        <v>3</v>
      </c>
      <c r="D8" s="13">
        <v>4.4805000000000001</v>
      </c>
      <c r="E8" s="13">
        <v>2.0081000000000002</v>
      </c>
      <c r="F8" s="13">
        <v>6.3220999999999998</v>
      </c>
      <c r="G8" s="13">
        <v>6.3212999999999999</v>
      </c>
      <c r="H8" s="13">
        <v>6.3175999999999997</v>
      </c>
      <c r="I8" s="17">
        <f t="shared" ref="I8:I33" si="2">H8-D8</f>
        <v>1.8370999999999995</v>
      </c>
      <c r="J8" s="17">
        <f t="shared" ref="J8:J33" si="3">((E8-I8)/E8)*100</f>
        <v>8.5155121756884959</v>
      </c>
      <c r="N8" s="11" t="s">
        <v>4</v>
      </c>
      <c r="O8" s="28">
        <v>5.3828885008730296</v>
      </c>
      <c r="P8" s="18">
        <v>5.23</v>
      </c>
      <c r="Q8" s="18">
        <v>5.44</v>
      </c>
      <c r="R8" s="8">
        <f t="shared" si="0"/>
        <v>16.052888500873031</v>
      </c>
      <c r="S8" s="8">
        <f t="shared" si="1"/>
        <v>5.3509628336243438</v>
      </c>
    </row>
    <row r="9" spans="3:19" x14ac:dyDescent="0.25">
      <c r="C9" s="14" t="s">
        <v>4</v>
      </c>
      <c r="D9" s="13">
        <v>6.2039</v>
      </c>
      <c r="E9" s="13">
        <v>2.0045000000000002</v>
      </c>
      <c r="F9" s="13">
        <v>8.1005000000000003</v>
      </c>
      <c r="G9" s="13">
        <v>8.1020000000000003</v>
      </c>
      <c r="H9" s="13">
        <v>8.1005000000000003</v>
      </c>
      <c r="I9" s="17">
        <f t="shared" si="2"/>
        <v>1.8966000000000003</v>
      </c>
      <c r="J9" s="17">
        <f t="shared" si="3"/>
        <v>5.3828885008730296</v>
      </c>
      <c r="N9" s="11" t="s">
        <v>5</v>
      </c>
      <c r="O9" s="28">
        <v>6.42</v>
      </c>
      <c r="P9" s="18">
        <v>6.78</v>
      </c>
      <c r="Q9" s="18">
        <v>6.6660008987866695</v>
      </c>
      <c r="R9" s="8">
        <f t="shared" si="0"/>
        <v>19.86600089878667</v>
      </c>
      <c r="S9" s="8">
        <f t="shared" si="1"/>
        <v>6.6220002995955562</v>
      </c>
    </row>
    <row r="10" spans="3:19" x14ac:dyDescent="0.25">
      <c r="C10" s="14" t="s">
        <v>5</v>
      </c>
      <c r="D10" s="13">
        <v>6.2394999999999996</v>
      </c>
      <c r="E10" s="13">
        <v>2.0013000000000001</v>
      </c>
      <c r="F10" s="13">
        <v>8.0922000000000001</v>
      </c>
      <c r="G10" s="13">
        <v>8.0930999999999997</v>
      </c>
      <c r="H10" s="13">
        <v>8.0923999999999996</v>
      </c>
      <c r="I10" s="17">
        <f t="shared" si="2"/>
        <v>1.8529</v>
      </c>
      <c r="J10" s="17">
        <f t="shared" si="3"/>
        <v>7.4151801329136093</v>
      </c>
      <c r="N10" s="11" t="s">
        <v>6</v>
      </c>
      <c r="O10" s="28">
        <v>8.23</v>
      </c>
      <c r="P10" s="18">
        <v>8.1293924138962055</v>
      </c>
      <c r="Q10" s="18">
        <v>8.3354142735853785</v>
      </c>
      <c r="R10" s="8">
        <f t="shared" si="0"/>
        <v>24.694806687481584</v>
      </c>
      <c r="S10" s="8">
        <f t="shared" si="1"/>
        <v>8.2316022291605275</v>
      </c>
    </row>
    <row r="11" spans="3:19" x14ac:dyDescent="0.25">
      <c r="C11" s="14" t="s">
        <v>6</v>
      </c>
      <c r="D11" s="13">
        <v>4.4610000000000003</v>
      </c>
      <c r="E11" s="13">
        <v>2.0026000000000002</v>
      </c>
      <c r="F11" s="13">
        <v>6.3292000000000002</v>
      </c>
      <c r="G11" s="13">
        <v>6.3265000000000002</v>
      </c>
      <c r="H11" s="13">
        <v>6.3235000000000001</v>
      </c>
      <c r="I11" s="17">
        <f t="shared" si="2"/>
        <v>1.8624999999999998</v>
      </c>
      <c r="J11" s="17">
        <f t="shared" si="3"/>
        <v>6.9959053230800121</v>
      </c>
      <c r="N11" s="11" t="s">
        <v>7</v>
      </c>
      <c r="O11" s="28">
        <v>4.45</v>
      </c>
      <c r="P11" s="18">
        <v>4.59</v>
      </c>
      <c r="Q11" s="18">
        <v>4.8899999999999997</v>
      </c>
      <c r="R11" s="8">
        <f t="shared" si="0"/>
        <v>13.93</v>
      </c>
      <c r="S11" s="8">
        <f t="shared" si="1"/>
        <v>4.6433333333333335</v>
      </c>
    </row>
    <row r="12" spans="3:19" x14ac:dyDescent="0.25">
      <c r="C12" s="14" t="s">
        <v>7</v>
      </c>
      <c r="D12" s="13">
        <v>4.3777999999999997</v>
      </c>
      <c r="E12" s="13">
        <v>2.0011999999999999</v>
      </c>
      <c r="F12" s="13">
        <v>6.2508999999999997</v>
      </c>
      <c r="G12" s="13">
        <v>6.2508999999999997</v>
      </c>
      <c r="H12" s="13">
        <v>6.2473999999999998</v>
      </c>
      <c r="I12" s="17">
        <f t="shared" si="2"/>
        <v>1.8696000000000002</v>
      </c>
      <c r="J12" s="17">
        <f t="shared" si="3"/>
        <v>6.576054367379558</v>
      </c>
      <c r="N12" s="11" t="s">
        <v>8</v>
      </c>
      <c r="O12" s="28">
        <v>7.7726160147859407</v>
      </c>
      <c r="P12" s="18">
        <v>7.2795216741404696</v>
      </c>
      <c r="Q12" s="18">
        <v>7.5451964739279394</v>
      </c>
      <c r="R12" s="8">
        <f t="shared" si="0"/>
        <v>22.597334162854352</v>
      </c>
      <c r="S12" s="8">
        <f t="shared" si="1"/>
        <v>7.5324447209514505</v>
      </c>
    </row>
    <row r="13" spans="3:19" x14ac:dyDescent="0.25">
      <c r="C13" s="14" t="s">
        <v>8</v>
      </c>
      <c r="D13" s="13">
        <v>4.4688999999999997</v>
      </c>
      <c r="E13" s="13">
        <v>2.0019</v>
      </c>
      <c r="F13" s="13">
        <v>8.1127000000000002</v>
      </c>
      <c r="G13" s="13">
        <v>6.3178999999999998</v>
      </c>
      <c r="H13" s="13">
        <v>6.3151999999999999</v>
      </c>
      <c r="I13" s="17">
        <f t="shared" si="2"/>
        <v>1.8463000000000003</v>
      </c>
      <c r="J13" s="17">
        <f t="shared" si="3"/>
        <v>7.7726160147859407</v>
      </c>
      <c r="N13" s="11" t="s">
        <v>10</v>
      </c>
      <c r="O13" s="28">
        <v>5.9551122194513582</v>
      </c>
      <c r="P13" s="18">
        <v>8.4063745019920351</v>
      </c>
      <c r="Q13" s="18">
        <v>7.5751542902648099</v>
      </c>
      <c r="R13" s="8">
        <f t="shared" si="0"/>
        <v>21.936641011708204</v>
      </c>
      <c r="S13" s="8">
        <f t="shared" si="1"/>
        <v>7.3122136705694016</v>
      </c>
    </row>
    <row r="14" spans="3:19" x14ac:dyDescent="0.25">
      <c r="C14" s="14" t="s">
        <v>10</v>
      </c>
      <c r="D14" s="13">
        <v>4.5073999999999996</v>
      </c>
      <c r="E14" s="13">
        <v>2.0049999999999999</v>
      </c>
      <c r="F14" s="13">
        <v>6.3959999999999999</v>
      </c>
      <c r="G14" s="13">
        <v>6.3979999999999997</v>
      </c>
      <c r="H14" s="13">
        <v>6.3929999999999998</v>
      </c>
      <c r="I14" s="17">
        <f t="shared" si="2"/>
        <v>1.8856000000000002</v>
      </c>
      <c r="J14" s="17">
        <f t="shared" si="3"/>
        <v>5.9551122194513582</v>
      </c>
      <c r="N14" s="11" t="s">
        <v>9</v>
      </c>
      <c r="O14" s="28">
        <v>4.3099999999999996</v>
      </c>
      <c r="P14" s="18">
        <v>4.12</v>
      </c>
      <c r="Q14" s="18">
        <v>4.0199999999999996</v>
      </c>
      <c r="R14" s="8">
        <f t="shared" si="0"/>
        <v>12.45</v>
      </c>
      <c r="S14" s="8">
        <f t="shared" si="1"/>
        <v>4.1499999999999995</v>
      </c>
    </row>
    <row r="15" spans="3:19" x14ac:dyDescent="0.25">
      <c r="C15" s="14" t="s">
        <v>9</v>
      </c>
      <c r="D15" s="13">
        <v>6.1398999999999999</v>
      </c>
      <c r="E15" s="13">
        <v>2.0089999999999999</v>
      </c>
      <c r="F15" s="13">
        <v>8.0053999999999998</v>
      </c>
      <c r="G15" s="13">
        <v>8.0031999999999996</v>
      </c>
      <c r="H15" s="13">
        <v>8.0009999999999994</v>
      </c>
      <c r="I15" s="17">
        <f t="shared" si="2"/>
        <v>1.8610999999999995</v>
      </c>
      <c r="J15" s="17">
        <f t="shared" si="3"/>
        <v>7.3618715778994703</v>
      </c>
      <c r="N15" s="45" t="s">
        <v>17</v>
      </c>
      <c r="O15" s="8">
        <f>SUM(O6:O14)</f>
        <v>61.025173826643872</v>
      </c>
      <c r="P15" s="8">
        <f t="shared" ref="P15:Q15" si="4">SUM(P6:P14)</f>
        <v>62.502123881803264</v>
      </c>
      <c r="Q15" s="8">
        <f t="shared" si="4"/>
        <v>62.947110153029286</v>
      </c>
      <c r="R15" s="8">
        <f>SUM(R6:R14)</f>
        <v>186.47440786147644</v>
      </c>
      <c r="S15" s="8">
        <f>SUM(S6:S14)</f>
        <v>62.158135953825465</v>
      </c>
    </row>
    <row r="16" spans="3:19" x14ac:dyDescent="0.25">
      <c r="C16" s="14" t="s">
        <v>12</v>
      </c>
      <c r="D16" s="13">
        <v>6.1139999999999999</v>
      </c>
      <c r="E16" s="13">
        <v>2.0045000000000002</v>
      </c>
      <c r="F16" s="13">
        <v>7.9775999999999998</v>
      </c>
      <c r="G16" s="13">
        <v>7.9801000000000002</v>
      </c>
      <c r="H16" s="13">
        <v>7.9805000000000001</v>
      </c>
      <c r="I16" s="17">
        <f t="shared" si="2"/>
        <v>1.8665000000000003</v>
      </c>
      <c r="J16" s="17">
        <f t="shared" si="3"/>
        <v>6.8845098528311253</v>
      </c>
    </row>
    <row r="17" spans="3:21" x14ac:dyDescent="0.25">
      <c r="C17" s="14" t="s">
        <v>3</v>
      </c>
      <c r="D17" s="13">
        <v>4.4196999999999997</v>
      </c>
      <c r="E17" s="13">
        <v>2.0084</v>
      </c>
      <c r="F17" s="13">
        <v>6.2427999999999999</v>
      </c>
      <c r="G17" s="13">
        <v>6.2462999999999997</v>
      </c>
      <c r="H17" s="13">
        <v>6.2455999999999996</v>
      </c>
      <c r="I17" s="17">
        <f t="shared" si="2"/>
        <v>1.8258999999999999</v>
      </c>
      <c r="J17" s="17">
        <f t="shared" si="3"/>
        <v>9.0868352917745518</v>
      </c>
      <c r="N17" s="29" t="s">
        <v>76</v>
      </c>
      <c r="O17" s="29"/>
    </row>
    <row r="18" spans="3:21" ht="15.75" x14ac:dyDescent="0.25">
      <c r="C18" s="14" t="s">
        <v>4</v>
      </c>
      <c r="D18" s="13">
        <v>6.1867000000000001</v>
      </c>
      <c r="E18" s="13">
        <v>2.0061</v>
      </c>
      <c r="F18" s="13">
        <v>8.0060000000000002</v>
      </c>
      <c r="G18" s="13">
        <v>8.0128000000000004</v>
      </c>
      <c r="H18" s="13">
        <v>8.0086999999999993</v>
      </c>
      <c r="I18" s="17">
        <f t="shared" si="2"/>
        <v>1.8219999999999992</v>
      </c>
      <c r="J18" s="17">
        <f t="shared" si="3"/>
        <v>9.1770101191366731</v>
      </c>
      <c r="N18" s="101" t="s">
        <v>77</v>
      </c>
      <c r="O18" s="101" t="s">
        <v>78</v>
      </c>
      <c r="P18" s="101"/>
      <c r="Q18" s="101"/>
      <c r="R18" s="101" t="s">
        <v>17</v>
      </c>
    </row>
    <row r="19" spans="3:21" ht="15.75" x14ac:dyDescent="0.25">
      <c r="C19" s="14" t="s">
        <v>5</v>
      </c>
      <c r="D19" s="13">
        <v>6.1896000000000004</v>
      </c>
      <c r="E19" s="13">
        <v>2.0004</v>
      </c>
      <c r="F19" s="13">
        <v>7.9901</v>
      </c>
      <c r="G19" s="13">
        <v>7.9949000000000003</v>
      </c>
      <c r="H19" s="13">
        <v>7.9945000000000004</v>
      </c>
      <c r="I19" s="17">
        <f t="shared" si="2"/>
        <v>1.8048999999999999</v>
      </c>
      <c r="J19" s="17">
        <f t="shared" si="3"/>
        <v>9.7730453909218173</v>
      </c>
      <c r="N19" s="101"/>
      <c r="O19" s="40" t="s">
        <v>79</v>
      </c>
      <c r="P19" s="40" t="s">
        <v>80</v>
      </c>
      <c r="Q19" s="40" t="s">
        <v>81</v>
      </c>
      <c r="R19" s="101"/>
    </row>
    <row r="20" spans="3:21" ht="15.75" x14ac:dyDescent="0.25">
      <c r="C20" s="14" t="s">
        <v>6</v>
      </c>
      <c r="D20" s="13">
        <v>6.2717000000000001</v>
      </c>
      <c r="E20" s="13">
        <v>2.0063</v>
      </c>
      <c r="F20" s="13">
        <v>8.1098999999999997</v>
      </c>
      <c r="G20" s="13">
        <v>8.1174999999999997</v>
      </c>
      <c r="H20" s="13">
        <v>8.1149000000000004</v>
      </c>
      <c r="I20" s="17">
        <f t="shared" si="2"/>
        <v>1.8432000000000004</v>
      </c>
      <c r="J20" s="17">
        <f t="shared" si="3"/>
        <v>8.1293924138962055</v>
      </c>
      <c r="N20" s="31" t="s">
        <v>82</v>
      </c>
      <c r="O20" s="53">
        <f>SUM(O6:Q6)</f>
        <v>27.889044915845041</v>
      </c>
      <c r="P20" s="53">
        <v>27.06</v>
      </c>
      <c r="Q20" s="53">
        <f>SUM(O8:Q8)</f>
        <v>16.052888500873031</v>
      </c>
      <c r="R20" s="26">
        <f>SUM(O20:Q20)</f>
        <v>71.00193341671806</v>
      </c>
      <c r="S20" s="87">
        <f>R20/9</f>
        <v>7.889103712968673</v>
      </c>
    </row>
    <row r="21" spans="3:21" ht="15.75" x14ac:dyDescent="0.25">
      <c r="C21" s="14" t="s">
        <v>7</v>
      </c>
      <c r="D21" s="13">
        <v>6.3139000000000003</v>
      </c>
      <c r="E21" s="13">
        <v>2.0015000000000001</v>
      </c>
      <c r="F21" s="13">
        <v>8.2042999999999999</v>
      </c>
      <c r="G21" s="13">
        <v>8.2083999999999993</v>
      </c>
      <c r="H21" s="13">
        <v>8.2035</v>
      </c>
      <c r="I21" s="17">
        <f t="shared" si="2"/>
        <v>1.8895999999999997</v>
      </c>
      <c r="J21" s="17">
        <f t="shared" si="3"/>
        <v>5.5908068948288943</v>
      </c>
      <c r="N21" s="31" t="s">
        <v>83</v>
      </c>
      <c r="O21" s="54">
        <f>SUM(O9:Q9)</f>
        <v>19.86600089878667</v>
      </c>
      <c r="P21" s="53">
        <f>SUM(O10:Q10)</f>
        <v>24.694806687481584</v>
      </c>
      <c r="Q21" s="53">
        <f>SUM(O11:Q11)</f>
        <v>13.93</v>
      </c>
      <c r="R21" s="26">
        <f>SUM(O21:Q21)</f>
        <v>58.490807586268254</v>
      </c>
      <c r="S21" s="87">
        <f t="shared" ref="S21:S22" si="5">R21/9</f>
        <v>6.498978620696473</v>
      </c>
    </row>
    <row r="22" spans="3:21" ht="15.75" x14ac:dyDescent="0.25">
      <c r="C22" s="14" t="s">
        <v>8</v>
      </c>
      <c r="D22" s="13">
        <v>6.2516999999999996</v>
      </c>
      <c r="E22" s="13">
        <v>2.0070000000000001</v>
      </c>
      <c r="F22" s="13">
        <v>8.1326999999999998</v>
      </c>
      <c r="G22" s="13">
        <v>8.1141000000000005</v>
      </c>
      <c r="H22" s="13">
        <v>8.1126000000000005</v>
      </c>
      <c r="I22" s="17">
        <f t="shared" si="2"/>
        <v>1.8609000000000009</v>
      </c>
      <c r="J22" s="17">
        <f t="shared" si="3"/>
        <v>7.2795216741404696</v>
      </c>
      <c r="N22" s="31" t="s">
        <v>84</v>
      </c>
      <c r="O22" s="54">
        <f>SUM(O12:Q12)</f>
        <v>22.597334162854352</v>
      </c>
      <c r="P22" s="53">
        <f>SUM(O13:Q13)</f>
        <v>21.936641011708204</v>
      </c>
      <c r="Q22" s="53">
        <f>SUM(O14:Q14)</f>
        <v>12.45</v>
      </c>
      <c r="R22" s="26">
        <f>SUM(O22:Q22)</f>
        <v>56.983975174562559</v>
      </c>
      <c r="S22" s="87">
        <f t="shared" si="5"/>
        <v>6.3315527971736181</v>
      </c>
    </row>
    <row r="23" spans="3:21" ht="15.75" x14ac:dyDescent="0.25">
      <c r="C23" s="14" t="s">
        <v>10</v>
      </c>
      <c r="D23" s="13">
        <v>4.4379999999999997</v>
      </c>
      <c r="E23" s="13">
        <v>2.008</v>
      </c>
      <c r="F23" s="13">
        <v>6.2794999999999996</v>
      </c>
      <c r="G23" s="13">
        <v>6.2824999999999998</v>
      </c>
      <c r="H23" s="13">
        <v>6.2771999999999997</v>
      </c>
      <c r="I23" s="17">
        <f t="shared" si="2"/>
        <v>1.8391999999999999</v>
      </c>
      <c r="J23" s="17">
        <f t="shared" si="3"/>
        <v>8.4063745019920351</v>
      </c>
      <c r="N23" s="31" t="s">
        <v>17</v>
      </c>
      <c r="O23" s="28">
        <f>SUM(O20:O22)</f>
        <v>70.352379977486066</v>
      </c>
      <c r="P23" s="28">
        <f>SUM(P20:P22)</f>
        <v>73.69144769918978</v>
      </c>
      <c r="Q23" s="28">
        <f>SUM(Q20:Q22)</f>
        <v>42.432888500873034</v>
      </c>
      <c r="R23" s="26">
        <f>SUM(O23:Q23)</f>
        <v>186.47671617754889</v>
      </c>
    </row>
    <row r="24" spans="3:21" ht="15.75" x14ac:dyDescent="0.25">
      <c r="C24" s="14" t="s">
        <v>9</v>
      </c>
      <c r="D24" s="13">
        <v>6.1120999999999999</v>
      </c>
      <c r="E24" s="13">
        <v>2.0007999999999999</v>
      </c>
      <c r="F24" s="13">
        <v>8.0021000000000004</v>
      </c>
      <c r="G24" s="13">
        <v>8.0061999999999998</v>
      </c>
      <c r="H24" s="13">
        <v>8.0068999999999999</v>
      </c>
      <c r="I24" s="17">
        <f t="shared" si="2"/>
        <v>1.8948</v>
      </c>
      <c r="J24" s="17">
        <f t="shared" si="3"/>
        <v>5.2978808476609291</v>
      </c>
      <c r="O24" s="42">
        <f>O23/9</f>
        <v>7.8169311086095625</v>
      </c>
      <c r="P24" s="42">
        <f t="shared" ref="P24:Q24" si="6">P23/9</f>
        <v>8.1879386332433093</v>
      </c>
      <c r="Q24" s="42">
        <f t="shared" si="6"/>
        <v>4.7147653889858923</v>
      </c>
      <c r="R24" s="34">
        <f>SUM(R20:R22)</f>
        <v>186.47671617754889</v>
      </c>
    </row>
    <row r="25" spans="3:21" x14ac:dyDescent="0.25">
      <c r="C25" s="14" t="s">
        <v>13</v>
      </c>
      <c r="D25" s="13">
        <v>4.4218999999999999</v>
      </c>
      <c r="E25" s="13">
        <v>2.0059</v>
      </c>
      <c r="F25" s="13">
        <v>6.2519</v>
      </c>
      <c r="G25" s="13">
        <v>6.2523999999999997</v>
      </c>
      <c r="H25" s="13">
        <v>6.2478999999999996</v>
      </c>
      <c r="I25" s="17">
        <f t="shared" si="2"/>
        <v>1.8259999999999996</v>
      </c>
      <c r="J25" s="17">
        <f t="shared" si="3"/>
        <v>8.9685427987437247</v>
      </c>
    </row>
    <row r="26" spans="3:21" ht="15.75" x14ac:dyDescent="0.25">
      <c r="C26" s="14" t="s">
        <v>3</v>
      </c>
      <c r="D26" s="13">
        <v>6.2000999999999999</v>
      </c>
      <c r="E26" s="13">
        <v>2.0030999999999999</v>
      </c>
      <c r="F26" s="13">
        <v>8.0116999999999994</v>
      </c>
      <c r="G26" s="13">
        <v>8.0150000000000006</v>
      </c>
      <c r="H26" s="13">
        <v>8.0137999999999998</v>
      </c>
      <c r="I26" s="17">
        <f t="shared" si="2"/>
        <v>1.8136999999999999</v>
      </c>
      <c r="J26" s="17">
        <f t="shared" si="3"/>
        <v>9.4553442164644821</v>
      </c>
      <c r="N26" s="35" t="s">
        <v>85</v>
      </c>
      <c r="O26" t="s">
        <v>86</v>
      </c>
    </row>
    <row r="27" spans="3:21" x14ac:dyDescent="0.25">
      <c r="C27" s="14" t="s">
        <v>4</v>
      </c>
      <c r="D27" s="13">
        <v>4.3985000000000003</v>
      </c>
      <c r="E27" s="13">
        <v>2.0030999999999999</v>
      </c>
      <c r="F27" s="13">
        <v>6.2641</v>
      </c>
      <c r="G27" s="13">
        <v>6.2698999999999998</v>
      </c>
      <c r="H27" s="13">
        <v>6.2603999999999997</v>
      </c>
      <c r="I27" s="17">
        <f t="shared" si="2"/>
        <v>1.8618999999999994</v>
      </c>
      <c r="J27" s="17">
        <f t="shared" si="3"/>
        <v>7.0490739354001519</v>
      </c>
      <c r="O27" s="39">
        <f>R15^2/27</f>
        <v>1287.8779550847505</v>
      </c>
      <c r="P27">
        <v>1287.82</v>
      </c>
    </row>
    <row r="28" spans="3:21" ht="15.75" x14ac:dyDescent="0.25">
      <c r="C28" s="14" t="s">
        <v>5</v>
      </c>
      <c r="D28" s="13">
        <v>4.5437000000000003</v>
      </c>
      <c r="E28" s="13">
        <v>2.0026999999999999</v>
      </c>
      <c r="F28" s="13">
        <v>6.4107000000000003</v>
      </c>
      <c r="G28" s="13">
        <v>6.4169</v>
      </c>
      <c r="H28" s="13">
        <v>6.4128999999999996</v>
      </c>
      <c r="I28" s="17">
        <f t="shared" si="2"/>
        <v>1.8691999999999993</v>
      </c>
      <c r="J28" s="17">
        <f t="shared" si="3"/>
        <v>6.6660008987866695</v>
      </c>
      <c r="N28" s="36" t="s">
        <v>87</v>
      </c>
      <c r="O28" s="36"/>
      <c r="P28" s="36"/>
      <c r="Q28" s="36"/>
      <c r="R28" s="36"/>
      <c r="S28" s="36"/>
      <c r="T28" s="36"/>
      <c r="U28" s="36"/>
    </row>
    <row r="29" spans="3:21" ht="15.75" x14ac:dyDescent="0.25">
      <c r="C29" s="14" t="s">
        <v>6</v>
      </c>
      <c r="D29" s="13">
        <v>4.4702000000000002</v>
      </c>
      <c r="E29" s="13">
        <v>2.0023</v>
      </c>
      <c r="F29" s="13">
        <v>6.3033999999999999</v>
      </c>
      <c r="G29" s="13">
        <v>6.3061999999999996</v>
      </c>
      <c r="H29" s="13">
        <v>6.3056000000000001</v>
      </c>
      <c r="I29" s="17">
        <f t="shared" si="2"/>
        <v>1.8353999999999999</v>
      </c>
      <c r="J29" s="17">
        <f t="shared" si="3"/>
        <v>8.3354142735853785</v>
      </c>
      <c r="N29" s="21" t="s">
        <v>88</v>
      </c>
      <c r="O29" s="21" t="s">
        <v>89</v>
      </c>
      <c r="P29" s="21" t="s">
        <v>90</v>
      </c>
      <c r="Q29" s="21" t="s">
        <v>91</v>
      </c>
      <c r="R29" s="21" t="s">
        <v>92</v>
      </c>
      <c r="S29" s="21"/>
      <c r="T29" s="21" t="s">
        <v>93</v>
      </c>
      <c r="U29" s="21" t="s">
        <v>94</v>
      </c>
    </row>
    <row r="30" spans="3:21" ht="15.75" x14ac:dyDescent="0.25">
      <c r="C30" s="14" t="s">
        <v>7</v>
      </c>
      <c r="D30" s="13">
        <v>4.2845000000000004</v>
      </c>
      <c r="E30" s="13">
        <v>2.0015000000000001</v>
      </c>
      <c r="F30" s="13">
        <v>6.2152000000000003</v>
      </c>
      <c r="G30" s="13">
        <v>6.2130000000000001</v>
      </c>
      <c r="H30" s="13">
        <v>6.2111999999999998</v>
      </c>
      <c r="I30" s="17">
        <f t="shared" si="2"/>
        <v>1.9266999999999994</v>
      </c>
      <c r="J30" s="17">
        <f t="shared" si="3"/>
        <v>3.7371971021734023</v>
      </c>
      <c r="N30" s="21" t="s">
        <v>95</v>
      </c>
      <c r="O30" s="21">
        <v>2</v>
      </c>
      <c r="P30" s="22">
        <f>SUMSQ(O15:Q15)/9-P27</f>
        <v>0.28288965844285485</v>
      </c>
      <c r="Q30" s="22">
        <f>P30/O30</f>
        <v>0.14144482922142743</v>
      </c>
      <c r="R30" s="22">
        <f>Q30/Q$35</f>
        <v>0.5164585687215475</v>
      </c>
      <c r="S30" s="41" t="str">
        <f>IF(R30&lt;T30,"tn",IF(R30&lt;U30,"*","**"))</f>
        <v>tn</v>
      </c>
      <c r="T30" s="21">
        <v>3.63</v>
      </c>
      <c r="U30" s="21">
        <v>6.23</v>
      </c>
    </row>
    <row r="31" spans="3:21" ht="15.75" x14ac:dyDescent="0.25">
      <c r="C31" s="14" t="s">
        <v>8</v>
      </c>
      <c r="D31" s="13">
        <v>6.2012999999999998</v>
      </c>
      <c r="E31" s="13">
        <v>2.0078999999999998</v>
      </c>
      <c r="F31" s="13">
        <v>8.0543999999999993</v>
      </c>
      <c r="G31" s="13">
        <v>8.0612999999999992</v>
      </c>
      <c r="H31" s="13">
        <v>8.0577000000000005</v>
      </c>
      <c r="I31" s="17">
        <f t="shared" si="2"/>
        <v>1.8564000000000007</v>
      </c>
      <c r="J31" s="17">
        <f t="shared" si="3"/>
        <v>7.5451964739279394</v>
      </c>
      <c r="N31" s="21" t="s">
        <v>1</v>
      </c>
      <c r="O31" s="21">
        <v>8</v>
      </c>
      <c r="P31" s="22">
        <f>SUMSQ(R6:R14)/3-P27</f>
        <v>83.182444662968464</v>
      </c>
      <c r="Q31" s="22">
        <f t="shared" ref="Q31:Q35" si="7">P31/O31</f>
        <v>10.397805582871058</v>
      </c>
      <c r="R31" s="22">
        <f t="shared" ref="R31:R34" si="8">Q31/Q$35</f>
        <v>37.965585725073637</v>
      </c>
      <c r="S31" s="41" t="str">
        <f t="shared" ref="S31:S34" si="9">IF(R31&lt;T31,"tn",IF(R31&lt;U31,"*","**"))</f>
        <v>**</v>
      </c>
      <c r="T31" s="21">
        <v>2.59</v>
      </c>
      <c r="U31" s="21">
        <v>3.89</v>
      </c>
    </row>
    <row r="32" spans="3:21" ht="15.75" x14ac:dyDescent="0.25">
      <c r="C32" s="14" t="s">
        <v>10</v>
      </c>
      <c r="D32" s="13">
        <v>6.1336000000000004</v>
      </c>
      <c r="E32" s="13">
        <v>2.0091999999999999</v>
      </c>
      <c r="F32" s="13">
        <v>7.9941000000000004</v>
      </c>
      <c r="G32" s="13">
        <v>7.9938000000000002</v>
      </c>
      <c r="H32" s="13">
        <v>7.9905999999999997</v>
      </c>
      <c r="I32" s="17">
        <f t="shared" si="2"/>
        <v>1.8569999999999993</v>
      </c>
      <c r="J32" s="17">
        <f t="shared" si="3"/>
        <v>7.5751542902648099</v>
      </c>
      <c r="N32" s="21" t="s">
        <v>77</v>
      </c>
      <c r="O32" s="21">
        <v>2</v>
      </c>
      <c r="P32" s="22">
        <f>SUMSQ(R20:R22)/9-P27</f>
        <v>13.249171966787117</v>
      </c>
      <c r="Q32" s="22">
        <f t="shared" si="7"/>
        <v>6.6245859833935583</v>
      </c>
      <c r="R32" s="22">
        <f t="shared" si="8"/>
        <v>24.188400623682661</v>
      </c>
      <c r="S32" s="41" t="str">
        <f t="shared" si="9"/>
        <v>**</v>
      </c>
      <c r="T32" s="21">
        <v>3.63</v>
      </c>
      <c r="U32" s="21">
        <v>6.23</v>
      </c>
    </row>
    <row r="33" spans="3:21" ht="15.75" x14ac:dyDescent="0.25">
      <c r="C33" s="14" t="s">
        <v>9</v>
      </c>
      <c r="D33" s="13">
        <v>6.2230999999999996</v>
      </c>
      <c r="E33" s="13">
        <v>2.0002300000000002</v>
      </c>
      <c r="F33" s="13">
        <v>8.0014000000000003</v>
      </c>
      <c r="G33" s="13">
        <v>7.9812000000000003</v>
      </c>
      <c r="H33" s="13">
        <v>7.9809999999999999</v>
      </c>
      <c r="I33" s="17">
        <f t="shared" si="2"/>
        <v>1.7579000000000002</v>
      </c>
      <c r="J33" s="17">
        <f t="shared" si="3"/>
        <v>12.115106762722283</v>
      </c>
      <c r="N33" s="21" t="s">
        <v>78</v>
      </c>
      <c r="O33" s="21">
        <v>2</v>
      </c>
      <c r="P33" s="22">
        <f>SUMSQ(O23:Q23)/9-P27</f>
        <v>65.561873225169848</v>
      </c>
      <c r="Q33" s="22">
        <f t="shared" si="7"/>
        <v>32.780936612584924</v>
      </c>
      <c r="R33" s="22">
        <f t="shared" si="8"/>
        <v>119.69328039403979</v>
      </c>
      <c r="S33" s="41" t="str">
        <f t="shared" si="9"/>
        <v>**</v>
      </c>
      <c r="T33" s="21">
        <v>3.63</v>
      </c>
      <c r="U33" s="21">
        <v>6.23</v>
      </c>
    </row>
    <row r="34" spans="3:21" ht="15.75" x14ac:dyDescent="0.25">
      <c r="N34" s="21" t="s">
        <v>99</v>
      </c>
      <c r="O34" s="21">
        <v>4</v>
      </c>
      <c r="P34" s="22">
        <f>P31-P32-P33</f>
        <v>4.3713994710115003</v>
      </c>
      <c r="Q34" s="22">
        <f t="shared" si="7"/>
        <v>1.0928498677528751</v>
      </c>
      <c r="R34" s="22">
        <f t="shared" si="8"/>
        <v>3.9903309412860448</v>
      </c>
      <c r="S34" s="41" t="str">
        <f t="shared" si="9"/>
        <v>*</v>
      </c>
      <c r="T34" s="21">
        <v>3.01</v>
      </c>
      <c r="U34" s="21">
        <v>4.7699999999999996</v>
      </c>
    </row>
    <row r="35" spans="3:21" ht="15.75" x14ac:dyDescent="0.25">
      <c r="N35" s="21" t="s">
        <v>96</v>
      </c>
      <c r="O35" s="21">
        <v>16</v>
      </c>
      <c r="P35" s="33">
        <f>P36-P30-P31</f>
        <v>4.3819919052655223</v>
      </c>
      <c r="Q35" s="22">
        <f t="shared" si="7"/>
        <v>0.27387449407909514</v>
      </c>
      <c r="R35" s="37"/>
      <c r="S35" s="38"/>
      <c r="T35" s="38"/>
      <c r="U35" s="38"/>
    </row>
    <row r="36" spans="3:21" ht="15.75" x14ac:dyDescent="0.25">
      <c r="N36" s="21" t="s">
        <v>17</v>
      </c>
      <c r="O36" s="21">
        <v>26</v>
      </c>
      <c r="P36" s="22">
        <f>SUMSQ(O6:Q14)/1-P27</f>
        <v>87.847326226676842</v>
      </c>
      <c r="Q36" s="37"/>
      <c r="R36" s="37"/>
      <c r="S36" s="38"/>
      <c r="T36" s="38"/>
      <c r="U36" s="38"/>
    </row>
    <row r="40" spans="3:21" ht="15.75" x14ac:dyDescent="0.25">
      <c r="H40" s="87">
        <v>7.8169311086095625</v>
      </c>
      <c r="I40" s="87">
        <v>8.1876821536797024</v>
      </c>
      <c r="J40" s="87">
        <v>4.7147653889858923</v>
      </c>
      <c r="N40" s="83" t="s">
        <v>121</v>
      </c>
      <c r="O40" s="87">
        <f>5.03*SQRT(Q35/3)</f>
        <v>1.5197884926578633</v>
      </c>
      <c r="P40" s="66"/>
      <c r="Q40" s="66"/>
      <c r="R40" s="66"/>
      <c r="S40" s="66"/>
    </row>
    <row r="41" spans="3:21" x14ac:dyDescent="0.25">
      <c r="N41" s="66"/>
      <c r="O41" s="66"/>
      <c r="P41" s="66"/>
      <c r="Q41" s="66"/>
      <c r="R41" s="66"/>
      <c r="S41" s="66"/>
    </row>
    <row r="42" spans="3:21" ht="15.75" x14ac:dyDescent="0.25">
      <c r="N42" s="102" t="s">
        <v>122</v>
      </c>
      <c r="O42" s="102"/>
      <c r="P42" s="66"/>
      <c r="Q42" s="66"/>
      <c r="R42" s="66"/>
      <c r="S42" s="66"/>
    </row>
    <row r="43" spans="3:21" x14ac:dyDescent="0.25">
      <c r="N43" s="66"/>
      <c r="O43" s="66"/>
      <c r="P43" s="66"/>
      <c r="Q43" s="66"/>
      <c r="R43" s="66"/>
      <c r="S43" s="66"/>
    </row>
    <row r="44" spans="3:21" x14ac:dyDescent="0.25">
      <c r="N44" s="67" t="s">
        <v>1</v>
      </c>
      <c r="O44" s="67" t="s">
        <v>29</v>
      </c>
      <c r="P44" s="67" t="s">
        <v>123</v>
      </c>
      <c r="Q44" s="66"/>
      <c r="R44" s="86">
        <v>6.3315527971736181</v>
      </c>
      <c r="S44" s="85" t="s">
        <v>116</v>
      </c>
    </row>
    <row r="45" spans="3:21" x14ac:dyDescent="0.25">
      <c r="N45" s="67" t="s">
        <v>82</v>
      </c>
      <c r="O45" s="86">
        <v>7.888847233405067</v>
      </c>
      <c r="P45" s="67" t="s">
        <v>117</v>
      </c>
      <c r="Q45" s="66"/>
      <c r="R45" s="86">
        <v>6.498978620696473</v>
      </c>
      <c r="S45" s="84" t="s">
        <v>116</v>
      </c>
      <c r="T45" s="33">
        <f>R45-R44</f>
        <v>0.16742582352285496</v>
      </c>
    </row>
    <row r="46" spans="3:21" x14ac:dyDescent="0.25">
      <c r="N46" s="67" t="s">
        <v>83</v>
      </c>
      <c r="O46" s="86">
        <v>6.498978620696473</v>
      </c>
      <c r="P46" s="67" t="s">
        <v>116</v>
      </c>
      <c r="Q46" s="66"/>
      <c r="R46" s="86">
        <v>7.888847233405067</v>
      </c>
      <c r="S46" s="66" t="s">
        <v>117</v>
      </c>
      <c r="T46" s="87">
        <f>R46-R45</f>
        <v>1.389868612708594</v>
      </c>
    </row>
    <row r="47" spans="3:21" x14ac:dyDescent="0.25">
      <c r="N47" s="67" t="s">
        <v>84</v>
      </c>
      <c r="O47" s="86">
        <v>6.3315527971736181</v>
      </c>
      <c r="P47" s="67" t="s">
        <v>116</v>
      </c>
      <c r="Q47" s="66"/>
      <c r="R47" s="66"/>
      <c r="S47" s="66"/>
    </row>
    <row r="48" spans="3:21" x14ac:dyDescent="0.25">
      <c r="N48" s="67" t="s">
        <v>124</v>
      </c>
      <c r="O48" s="67">
        <v>1.52</v>
      </c>
      <c r="P48" s="66"/>
      <c r="Q48" s="66"/>
      <c r="R48" s="66"/>
      <c r="S48" s="66"/>
    </row>
    <row r="49" spans="14:20" x14ac:dyDescent="0.25">
      <c r="N49" s="66"/>
      <c r="O49" s="66"/>
      <c r="P49" s="66"/>
      <c r="Q49" s="66"/>
      <c r="R49" s="66"/>
      <c r="S49" s="66"/>
    </row>
    <row r="50" spans="14:20" x14ac:dyDescent="0.25">
      <c r="N50" s="67" t="s">
        <v>79</v>
      </c>
      <c r="O50" s="86">
        <v>7.8169311086095625</v>
      </c>
      <c r="P50" s="67" t="s">
        <v>117</v>
      </c>
      <c r="Q50" s="66"/>
      <c r="R50" s="86">
        <v>4.7147653889858923</v>
      </c>
      <c r="S50" s="66" t="s">
        <v>116</v>
      </c>
    </row>
    <row r="51" spans="14:20" x14ac:dyDescent="0.25">
      <c r="N51" s="67" t="s">
        <v>80</v>
      </c>
      <c r="O51" s="86">
        <v>8.1876821536797024</v>
      </c>
      <c r="P51" s="67" t="s">
        <v>117</v>
      </c>
      <c r="Q51" s="66"/>
      <c r="R51" s="86">
        <v>7.8169311086095625</v>
      </c>
      <c r="S51" s="66" t="s">
        <v>117</v>
      </c>
      <c r="T51" s="33">
        <f>R51-R50</f>
        <v>3.1021657196236703</v>
      </c>
    </row>
    <row r="52" spans="14:20" x14ac:dyDescent="0.25">
      <c r="N52" s="67" t="s">
        <v>81</v>
      </c>
      <c r="O52" s="86">
        <v>4.7147653889858923</v>
      </c>
      <c r="P52" s="67" t="s">
        <v>116</v>
      </c>
      <c r="Q52" s="66"/>
      <c r="R52" s="86">
        <v>8.1876821536797024</v>
      </c>
      <c r="S52" s="66" t="s">
        <v>117</v>
      </c>
      <c r="T52" s="87">
        <f>R52-R51</f>
        <v>0.3707510450701399</v>
      </c>
    </row>
    <row r="53" spans="14:20" x14ac:dyDescent="0.25">
      <c r="N53" s="67" t="s">
        <v>121</v>
      </c>
      <c r="O53" s="67">
        <v>1.52</v>
      </c>
      <c r="P53" s="66"/>
      <c r="Q53" s="66"/>
      <c r="R53" s="67"/>
      <c r="S53" s="66"/>
    </row>
    <row r="54" spans="14:20" x14ac:dyDescent="0.25">
      <c r="N54" s="66"/>
      <c r="O54" s="66"/>
      <c r="P54" s="66"/>
      <c r="Q54" s="66"/>
      <c r="R54" s="66"/>
      <c r="S54" s="66"/>
    </row>
    <row r="55" spans="14:20" x14ac:dyDescent="0.25">
      <c r="N55" s="66"/>
      <c r="O55" s="66"/>
      <c r="P55" s="66"/>
      <c r="Q55" s="66"/>
      <c r="R55" s="66"/>
      <c r="S55" s="66"/>
    </row>
    <row r="56" spans="14:20" x14ac:dyDescent="0.25">
      <c r="N56" s="103" t="s">
        <v>125</v>
      </c>
      <c r="O56" s="103"/>
      <c r="P56" s="66"/>
      <c r="Q56" s="66"/>
      <c r="R56" s="66"/>
      <c r="S56" s="66"/>
    </row>
    <row r="57" spans="14:20" ht="15.75" x14ac:dyDescent="0.25">
      <c r="N57" s="70" t="s">
        <v>1</v>
      </c>
      <c r="O57" s="70" t="s">
        <v>126</v>
      </c>
      <c r="P57" s="66" t="s">
        <v>127</v>
      </c>
      <c r="Q57" s="66"/>
      <c r="R57" s="66"/>
      <c r="S57" s="66"/>
    </row>
    <row r="58" spans="14:20" x14ac:dyDescent="0.25">
      <c r="N58" s="72" t="s">
        <v>68</v>
      </c>
      <c r="O58" s="18">
        <v>9.2963483052816809</v>
      </c>
      <c r="P58" s="66" t="s">
        <v>136</v>
      </c>
      <c r="Q58" s="66"/>
      <c r="R58" s="18">
        <v>4.1499999999999995</v>
      </c>
      <c r="S58" s="66" t="s">
        <v>116</v>
      </c>
    </row>
    <row r="59" spans="14:20" x14ac:dyDescent="0.25">
      <c r="N59" s="72" t="s">
        <v>69</v>
      </c>
      <c r="O59" s="18">
        <v>9.0192305613091772</v>
      </c>
      <c r="P59" s="66" t="s">
        <v>135</v>
      </c>
      <c r="Q59" s="66"/>
      <c r="R59" s="18">
        <v>4.6433333333333335</v>
      </c>
      <c r="S59" s="84" t="s">
        <v>116</v>
      </c>
    </row>
    <row r="60" spans="14:20" x14ac:dyDescent="0.25">
      <c r="N60" s="72" t="s">
        <v>70</v>
      </c>
      <c r="O60" s="18">
        <v>5.3509628336243438</v>
      </c>
      <c r="P60" s="84" t="s">
        <v>128</v>
      </c>
      <c r="Q60" s="66"/>
      <c r="R60" s="18">
        <v>5.3509628336243438</v>
      </c>
      <c r="S60" s="66" t="s">
        <v>128</v>
      </c>
    </row>
    <row r="61" spans="14:20" x14ac:dyDescent="0.25">
      <c r="N61" s="72" t="s">
        <v>71</v>
      </c>
      <c r="O61" s="18">
        <v>6.6220002995955562</v>
      </c>
      <c r="P61" s="84" t="s">
        <v>131</v>
      </c>
      <c r="Q61" s="66"/>
      <c r="R61" s="18">
        <v>6.6220002995955562</v>
      </c>
      <c r="S61" s="84" t="s">
        <v>131</v>
      </c>
    </row>
    <row r="62" spans="14:20" x14ac:dyDescent="0.25">
      <c r="N62" s="72" t="s">
        <v>72</v>
      </c>
      <c r="O62" s="18">
        <v>8.2316022291605275</v>
      </c>
      <c r="P62" s="84" t="s">
        <v>134</v>
      </c>
      <c r="Q62" s="66"/>
      <c r="R62" s="18">
        <v>7.3122136705694016</v>
      </c>
      <c r="S62" s="84" t="s">
        <v>132</v>
      </c>
    </row>
    <row r="63" spans="14:20" x14ac:dyDescent="0.25">
      <c r="N63" s="72" t="s">
        <v>73</v>
      </c>
      <c r="O63" s="18">
        <v>4.6433333333333335</v>
      </c>
      <c r="P63" s="84" t="s">
        <v>128</v>
      </c>
      <c r="Q63" s="66"/>
      <c r="R63" s="18">
        <v>7.5324447209514505</v>
      </c>
      <c r="S63" s="84" t="s">
        <v>133</v>
      </c>
    </row>
    <row r="64" spans="14:20" x14ac:dyDescent="0.25">
      <c r="N64" s="72" t="s">
        <v>74</v>
      </c>
      <c r="O64" s="18">
        <v>7.5324447209514505</v>
      </c>
      <c r="P64" s="84" t="s">
        <v>133</v>
      </c>
      <c r="Q64" s="66"/>
      <c r="R64" s="18">
        <v>8.2316022291605275</v>
      </c>
      <c r="S64" s="84" t="s">
        <v>134</v>
      </c>
    </row>
    <row r="65" spans="14:19" x14ac:dyDescent="0.25">
      <c r="N65" s="72" t="s">
        <v>75</v>
      </c>
      <c r="O65" s="18">
        <v>7.3122136705694016</v>
      </c>
      <c r="P65" s="84" t="s">
        <v>132</v>
      </c>
      <c r="Q65" s="66"/>
      <c r="R65" s="18">
        <v>9.0192305613091772</v>
      </c>
      <c r="S65" s="84" t="s">
        <v>135</v>
      </c>
    </row>
    <row r="66" spans="14:19" x14ac:dyDescent="0.25">
      <c r="N66" s="72" t="s">
        <v>9</v>
      </c>
      <c r="O66" s="18">
        <v>4.1499999999999995</v>
      </c>
      <c r="P66" s="84" t="s">
        <v>116</v>
      </c>
      <c r="Q66" s="66"/>
      <c r="R66" s="18">
        <v>9.2963483052816809</v>
      </c>
      <c r="S66" s="84" t="s">
        <v>136</v>
      </c>
    </row>
    <row r="67" spans="14:19" x14ac:dyDescent="0.25">
      <c r="N67" s="67" t="s">
        <v>121</v>
      </c>
      <c r="O67" s="67">
        <v>1.52</v>
      </c>
      <c r="P67" s="66"/>
      <c r="Q67" s="66"/>
      <c r="R67" s="66"/>
      <c r="S67" s="66"/>
    </row>
  </sheetData>
  <sortState ref="R58:R66">
    <sortCondition ref="R58"/>
  </sortState>
  <mergeCells count="5">
    <mergeCell ref="N18:N19"/>
    <mergeCell ref="O18:Q18"/>
    <mergeCell ref="R18:R19"/>
    <mergeCell ref="N42:O42"/>
    <mergeCell ref="N56:O56"/>
  </mergeCells>
  <pageMargins left="0.7" right="0.7" top="0.75" bottom="0.75" header="0.3" footer="0.3"/>
  <pageSetup paperSize="9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Y49"/>
  <sheetViews>
    <sheetView topLeftCell="P51" zoomScale="79" workbookViewId="0">
      <selection activeCell="L14" sqref="L14"/>
    </sheetView>
  </sheetViews>
  <sheetFormatPr defaultRowHeight="15" x14ac:dyDescent="0.25"/>
  <cols>
    <col min="2" max="2" width="13.42578125" customWidth="1"/>
    <col min="3" max="3" width="12.7109375" customWidth="1"/>
    <col min="4" max="4" width="13.42578125" customWidth="1"/>
    <col min="5" max="5" width="12.28515625" customWidth="1"/>
    <col min="20" max="20" width="14.85546875" customWidth="1"/>
  </cols>
  <sheetData>
    <row r="4" spans="2:25" x14ac:dyDescent="0.25">
      <c r="B4" t="s">
        <v>0</v>
      </c>
      <c r="I4" s="29" t="s">
        <v>76</v>
      </c>
      <c r="J4" s="29"/>
      <c r="S4" s="47">
        <f>M10^2/(3*3*3)</f>
        <v>17092.69761481481</v>
      </c>
    </row>
    <row r="5" spans="2:25" ht="15.75" x14ac:dyDescent="0.25">
      <c r="I5" s="80" t="s">
        <v>77</v>
      </c>
      <c r="J5" s="80" t="s">
        <v>78</v>
      </c>
      <c r="K5" s="80"/>
      <c r="L5" s="80"/>
      <c r="M5" s="80" t="s">
        <v>17</v>
      </c>
      <c r="R5" s="36" t="s">
        <v>87</v>
      </c>
      <c r="S5" s="36"/>
      <c r="T5" s="36"/>
      <c r="U5" s="36"/>
      <c r="V5" s="36"/>
      <c r="W5" s="36"/>
      <c r="X5" s="36"/>
      <c r="Y5" s="36"/>
    </row>
    <row r="6" spans="2:25" ht="15.75" x14ac:dyDescent="0.25">
      <c r="B6" s="1" t="s">
        <v>1</v>
      </c>
      <c r="C6" s="1" t="s">
        <v>14</v>
      </c>
      <c r="D6" s="1" t="s">
        <v>15</v>
      </c>
      <c r="E6" s="3" t="s">
        <v>16</v>
      </c>
      <c r="F6" s="1" t="s">
        <v>17</v>
      </c>
      <c r="I6" s="80"/>
      <c r="J6" s="79" t="s">
        <v>79</v>
      </c>
      <c r="K6" s="79" t="s">
        <v>80</v>
      </c>
      <c r="L6" s="79" t="s">
        <v>81</v>
      </c>
      <c r="M6" s="80"/>
      <c r="R6" s="21" t="s">
        <v>88</v>
      </c>
      <c r="S6" s="21" t="s">
        <v>89</v>
      </c>
      <c r="T6" s="21" t="s">
        <v>90</v>
      </c>
      <c r="U6" s="21" t="s">
        <v>91</v>
      </c>
      <c r="V6" s="21" t="s">
        <v>92</v>
      </c>
      <c r="W6" s="21"/>
      <c r="X6" s="21" t="s">
        <v>93</v>
      </c>
      <c r="Y6" s="21" t="s">
        <v>94</v>
      </c>
    </row>
    <row r="7" spans="2:25" ht="15.75" x14ac:dyDescent="0.25">
      <c r="B7" s="2" t="s">
        <v>2</v>
      </c>
      <c r="C7" s="1">
        <v>53.16</v>
      </c>
      <c r="D7" s="1">
        <v>43.75</v>
      </c>
      <c r="E7" s="4">
        <v>14.39</v>
      </c>
      <c r="F7" s="1">
        <f>SUM(C7:E7)</f>
        <v>111.3</v>
      </c>
      <c r="G7" s="87">
        <f>F7/9</f>
        <v>12.366666666666667</v>
      </c>
      <c r="I7" s="79" t="s">
        <v>82</v>
      </c>
      <c r="J7" s="89">
        <f>F7</f>
        <v>111.3</v>
      </c>
      <c r="K7" s="89">
        <f>F8</f>
        <v>86.03</v>
      </c>
      <c r="L7" s="89">
        <f>F9</f>
        <v>49.96</v>
      </c>
      <c r="M7" s="90">
        <f>SUM(J7:L7)</f>
        <v>247.29</v>
      </c>
      <c r="N7">
        <f>AVERAGE(M7/9)</f>
        <v>27.476666666666667</v>
      </c>
      <c r="R7" s="21" t="s">
        <v>95</v>
      </c>
      <c r="S7" s="21">
        <v>2</v>
      </c>
      <c r="T7" s="22">
        <f>SUMSQ(C16:E16)/9-S4</f>
        <v>1123.5271185185265</v>
      </c>
      <c r="U7" s="22">
        <f t="shared" ref="U7:U12" si="0">T7/S7</f>
        <v>561.76355925926327</v>
      </c>
      <c r="V7" s="22">
        <f>U7/U$12</f>
        <v>3.9336584853993766</v>
      </c>
      <c r="W7" s="41" t="str">
        <f>IF(V7&lt;X7,"tn",IF(V7&lt;Y7,"*","**"))</f>
        <v>*</v>
      </c>
      <c r="X7" s="21">
        <v>3.63</v>
      </c>
      <c r="Y7" s="21">
        <v>6.23</v>
      </c>
    </row>
    <row r="8" spans="2:25" ht="15.75" x14ac:dyDescent="0.25">
      <c r="B8" s="2" t="s">
        <v>3</v>
      </c>
      <c r="C8" s="1">
        <v>38.9</v>
      </c>
      <c r="D8" s="1">
        <v>30.82</v>
      </c>
      <c r="E8" s="4">
        <v>16.309999999999999</v>
      </c>
      <c r="F8" s="1">
        <f t="shared" ref="F8:F15" si="1">SUM(C8:E8)</f>
        <v>86.03</v>
      </c>
      <c r="G8" s="87">
        <f t="shared" ref="G8:G15" si="2">F8/9</f>
        <v>9.5588888888888892</v>
      </c>
      <c r="I8" s="79" t="s">
        <v>83</v>
      </c>
      <c r="J8" s="91">
        <f>F10</f>
        <v>58.28</v>
      </c>
      <c r="K8" s="89">
        <f>F11</f>
        <v>106.78</v>
      </c>
      <c r="L8" s="89">
        <f>F12</f>
        <v>58</v>
      </c>
      <c r="M8" s="90">
        <f>SUM(J8:L8)</f>
        <v>223.06</v>
      </c>
      <c r="N8">
        <f t="shared" ref="N8:N9" si="3">AVERAGE(M8/9)</f>
        <v>24.784444444444446</v>
      </c>
      <c r="R8" s="21" t="s">
        <v>1</v>
      </c>
      <c r="S8" s="21">
        <v>8</v>
      </c>
      <c r="T8" s="22">
        <f>SUMSQ(F7:F15)/3-S4</f>
        <v>1380.8028518518586</v>
      </c>
      <c r="U8" s="22">
        <f t="shared" si="0"/>
        <v>172.60035648148232</v>
      </c>
      <c r="V8" s="22">
        <f t="shared" ref="V8:V11" si="4">U8/U$12</f>
        <v>1.2086060864318062</v>
      </c>
      <c r="W8" s="41" t="str">
        <f>IF(V8&lt;X8,"tn",IF(V8&lt;Y8,"*","**"))</f>
        <v>tn</v>
      </c>
      <c r="X8" s="21">
        <v>2.59</v>
      </c>
      <c r="Y8" s="21">
        <v>3.89</v>
      </c>
    </row>
    <row r="9" spans="2:25" ht="15.75" x14ac:dyDescent="0.25">
      <c r="B9" s="2" t="s">
        <v>4</v>
      </c>
      <c r="C9" s="1">
        <v>18.93</v>
      </c>
      <c r="D9" s="8">
        <v>12</v>
      </c>
      <c r="E9" s="4">
        <v>19.03</v>
      </c>
      <c r="F9" s="1">
        <f t="shared" si="1"/>
        <v>49.96</v>
      </c>
      <c r="G9" s="87">
        <f t="shared" si="2"/>
        <v>5.5511111111111111</v>
      </c>
      <c r="I9" s="79" t="s">
        <v>84</v>
      </c>
      <c r="J9" s="91">
        <f>F13</f>
        <v>79.45</v>
      </c>
      <c r="K9" s="89">
        <f>F14</f>
        <v>53.14</v>
      </c>
      <c r="L9" s="89">
        <f>F15</f>
        <v>76.400000000000006</v>
      </c>
      <c r="M9" s="90">
        <f>SUM(J9:L9)</f>
        <v>208.99</v>
      </c>
      <c r="N9">
        <f t="shared" si="3"/>
        <v>23.221111111111114</v>
      </c>
      <c r="R9" s="21" t="s">
        <v>77</v>
      </c>
      <c r="S9" s="21">
        <v>2</v>
      </c>
      <c r="T9" s="22">
        <f>SUMSQ(M7:M9)/9-S4</f>
        <v>83.405474074079393</v>
      </c>
      <c r="U9" s="22">
        <f t="shared" si="0"/>
        <v>41.702737037039697</v>
      </c>
      <c r="V9" s="22">
        <f t="shared" si="4"/>
        <v>0.29201667268421172</v>
      </c>
      <c r="W9" s="41" t="str">
        <f>IF(V9&lt;X9,"tn",IF(V9&lt;Y9,"*","**"))</f>
        <v>tn</v>
      </c>
      <c r="X9" s="21">
        <v>3.63</v>
      </c>
      <c r="Y9" s="21">
        <v>6.23</v>
      </c>
    </row>
    <row r="10" spans="2:25" ht="15.75" x14ac:dyDescent="0.25">
      <c r="B10" s="2" t="s">
        <v>5</v>
      </c>
      <c r="C10" s="1">
        <v>15.48</v>
      </c>
      <c r="D10" s="1">
        <v>25.52</v>
      </c>
      <c r="E10" s="4">
        <v>17.28</v>
      </c>
      <c r="F10" s="1">
        <f t="shared" si="1"/>
        <v>58.28</v>
      </c>
      <c r="G10" s="87">
        <f t="shared" si="2"/>
        <v>6.4755555555555553</v>
      </c>
      <c r="I10" s="79" t="s">
        <v>17</v>
      </c>
      <c r="J10" s="92">
        <f>SUM(J7:J9)</f>
        <v>249.02999999999997</v>
      </c>
      <c r="K10" s="92">
        <f>SUM(K7:K9)</f>
        <v>245.95</v>
      </c>
      <c r="L10" s="92">
        <f>SUM(L7:L9)</f>
        <v>184.36</v>
      </c>
      <c r="M10" s="90">
        <f>SUM(J10:L10)</f>
        <v>679.33999999999992</v>
      </c>
      <c r="R10" s="21" t="s">
        <v>78</v>
      </c>
      <c r="S10" s="21">
        <v>2</v>
      </c>
      <c r="T10" s="22">
        <f>SUMSQ(J10:L10)/9-S4</f>
        <v>295.7416074074099</v>
      </c>
      <c r="U10" s="22">
        <f t="shared" si="0"/>
        <v>147.87080370370495</v>
      </c>
      <c r="V10" s="22">
        <f t="shared" si="4"/>
        <v>1.0354413919245562</v>
      </c>
      <c r="W10" s="41" t="str">
        <f t="shared" ref="W10:W11" si="5">IF(V10&lt;X10,"tn",IF(V10&lt;Y10,"*","**"))</f>
        <v>tn</v>
      </c>
      <c r="X10" s="21">
        <v>3.63</v>
      </c>
      <c r="Y10" s="21">
        <v>6.23</v>
      </c>
    </row>
    <row r="11" spans="2:25" ht="15.75" x14ac:dyDescent="0.25">
      <c r="B11" s="2" t="s">
        <v>6</v>
      </c>
      <c r="C11" s="1">
        <v>55.69</v>
      </c>
      <c r="D11" s="1">
        <v>22.94</v>
      </c>
      <c r="E11" s="4">
        <v>28.15</v>
      </c>
      <c r="F11" s="1">
        <f t="shared" si="1"/>
        <v>106.78</v>
      </c>
      <c r="G11" s="87">
        <f t="shared" si="2"/>
        <v>11.864444444444445</v>
      </c>
      <c r="J11" s="52">
        <f>AVERAGE(J10/9)</f>
        <v>27.669999999999998</v>
      </c>
      <c r="K11" s="52">
        <f>AVERAGE(K10/9)</f>
        <v>27.327777777777776</v>
      </c>
      <c r="L11" s="52">
        <f t="shared" ref="L11" si="6">AVERAGE(L10/9)</f>
        <v>20.484444444444446</v>
      </c>
      <c r="M11" s="49">
        <f>SUM(J10:L10)</f>
        <v>679.33999999999992</v>
      </c>
      <c r="R11" s="21" t="s">
        <v>99</v>
      </c>
      <c r="S11" s="21">
        <v>4</v>
      </c>
      <c r="T11" s="22">
        <f>T8-T9-T10</f>
        <v>1001.6557703703693</v>
      </c>
      <c r="U11" s="22">
        <f t="shared" si="0"/>
        <v>250.41394259259232</v>
      </c>
      <c r="V11" s="22">
        <f t="shared" si="4"/>
        <v>1.7534831405592284</v>
      </c>
      <c r="W11" s="41" t="str">
        <f t="shared" si="5"/>
        <v>tn</v>
      </c>
      <c r="X11" s="21">
        <v>3.01</v>
      </c>
      <c r="Y11" s="21">
        <v>4.7699999999999996</v>
      </c>
    </row>
    <row r="12" spans="2:25" ht="15.75" x14ac:dyDescent="0.25">
      <c r="B12" s="2" t="s">
        <v>7</v>
      </c>
      <c r="C12" s="1">
        <v>33.03</v>
      </c>
      <c r="D12" s="1">
        <v>10.06</v>
      </c>
      <c r="E12" s="4">
        <v>14.91</v>
      </c>
      <c r="F12" s="1">
        <f t="shared" si="1"/>
        <v>58</v>
      </c>
      <c r="G12" s="87">
        <f t="shared" si="2"/>
        <v>6.4444444444444446</v>
      </c>
      <c r="J12" s="52"/>
      <c r="K12" s="52"/>
      <c r="L12" s="52"/>
      <c r="M12" s="52"/>
      <c r="R12" s="21" t="s">
        <v>96</v>
      </c>
      <c r="S12" s="21">
        <v>16</v>
      </c>
      <c r="T12" s="33">
        <f>T13-T7-T8</f>
        <v>2284.9510148148147</v>
      </c>
      <c r="U12" s="22">
        <f t="shared" si="0"/>
        <v>142.80943842592592</v>
      </c>
      <c r="V12" s="37"/>
      <c r="W12" s="38"/>
      <c r="X12" s="38"/>
      <c r="Y12" s="38"/>
    </row>
    <row r="13" spans="2:25" ht="15.75" x14ac:dyDescent="0.25">
      <c r="B13" s="2" t="s">
        <v>8</v>
      </c>
      <c r="C13" s="1">
        <v>51.31</v>
      </c>
      <c r="D13" s="1">
        <v>14.14</v>
      </c>
      <c r="E13" s="4">
        <v>14</v>
      </c>
      <c r="F13" s="1">
        <f t="shared" si="1"/>
        <v>79.45</v>
      </c>
      <c r="G13" s="87">
        <f t="shared" si="2"/>
        <v>8.8277777777777775</v>
      </c>
      <c r="R13" s="21" t="s">
        <v>17</v>
      </c>
      <c r="S13" s="21">
        <v>26</v>
      </c>
      <c r="T13" s="22">
        <f>SUMSQ(B7:E15)-S4</f>
        <v>4789.2809851851998</v>
      </c>
      <c r="U13" s="37"/>
      <c r="V13" s="37"/>
      <c r="W13" s="38"/>
      <c r="X13" s="38"/>
      <c r="Y13" s="38"/>
    </row>
    <row r="14" spans="2:25" x14ac:dyDescent="0.25">
      <c r="B14" s="2" t="s">
        <v>10</v>
      </c>
      <c r="C14" s="1">
        <v>19.87</v>
      </c>
      <c r="D14" s="1">
        <v>20.11</v>
      </c>
      <c r="E14" s="4">
        <v>13.16</v>
      </c>
      <c r="F14" s="1">
        <f t="shared" si="1"/>
        <v>53.14</v>
      </c>
      <c r="G14" s="87">
        <f t="shared" si="2"/>
        <v>5.9044444444444446</v>
      </c>
    </row>
    <row r="15" spans="2:25" x14ac:dyDescent="0.25">
      <c r="B15" s="5" t="s">
        <v>9</v>
      </c>
      <c r="C15" s="6">
        <v>21.68</v>
      </c>
      <c r="D15" s="6">
        <v>14.15</v>
      </c>
      <c r="E15" s="7">
        <v>40.57</v>
      </c>
      <c r="F15" s="1">
        <f t="shared" si="1"/>
        <v>76.400000000000006</v>
      </c>
      <c r="G15" s="87">
        <f t="shared" si="2"/>
        <v>8.4888888888888889</v>
      </c>
    </row>
    <row r="16" spans="2:25" x14ac:dyDescent="0.25">
      <c r="B16" s="1" t="s">
        <v>17</v>
      </c>
      <c r="C16" s="1">
        <f>SUM(C7:C15)</f>
        <v>308.05</v>
      </c>
      <c r="D16" s="1">
        <f>SUM(D7:D15)</f>
        <v>193.49000000000004</v>
      </c>
      <c r="E16" s="1">
        <f>SUM(E7:E15)</f>
        <v>177.79999999999998</v>
      </c>
      <c r="F16" s="1">
        <f>SUM(C16:E16)</f>
        <v>679.34</v>
      </c>
    </row>
    <row r="17" spans="2:25" x14ac:dyDescent="0.25">
      <c r="F17" s="9">
        <f>SUM(F7:F15)</f>
        <v>679.34</v>
      </c>
    </row>
    <row r="21" spans="2:25" x14ac:dyDescent="0.25">
      <c r="B21" t="s">
        <v>18</v>
      </c>
      <c r="I21" s="29" t="s">
        <v>76</v>
      </c>
      <c r="J21" s="29"/>
      <c r="S21" s="47">
        <f>M27^2/(3*3*3)</f>
        <v>1249.7043000000001</v>
      </c>
    </row>
    <row r="22" spans="2:25" ht="15.75" x14ac:dyDescent="0.25">
      <c r="I22" s="101" t="s">
        <v>77</v>
      </c>
      <c r="J22" s="101" t="s">
        <v>78</v>
      </c>
      <c r="K22" s="101"/>
      <c r="L22" s="101"/>
      <c r="M22" s="101" t="s">
        <v>17</v>
      </c>
      <c r="R22" s="36" t="s">
        <v>87</v>
      </c>
      <c r="S22" s="36"/>
      <c r="T22" s="36"/>
      <c r="U22" s="36"/>
      <c r="V22" s="36"/>
      <c r="W22" s="36"/>
      <c r="X22" s="36"/>
      <c r="Y22" s="36"/>
    </row>
    <row r="23" spans="2:25" ht="15.75" x14ac:dyDescent="0.25">
      <c r="B23" s="1" t="s">
        <v>1</v>
      </c>
      <c r="C23" s="1" t="s">
        <v>14</v>
      </c>
      <c r="D23" s="1" t="s">
        <v>15</v>
      </c>
      <c r="E23" s="3" t="s">
        <v>16</v>
      </c>
      <c r="F23" s="1" t="s">
        <v>17</v>
      </c>
      <c r="I23" s="101"/>
      <c r="J23" s="31" t="s">
        <v>79</v>
      </c>
      <c r="K23" s="31" t="s">
        <v>80</v>
      </c>
      <c r="L23" s="31" t="s">
        <v>81</v>
      </c>
      <c r="M23" s="101"/>
      <c r="R23" s="21" t="s">
        <v>88</v>
      </c>
      <c r="S23" s="21" t="s">
        <v>89</v>
      </c>
      <c r="T23" s="21" t="s">
        <v>90</v>
      </c>
      <c r="U23" s="21" t="s">
        <v>91</v>
      </c>
      <c r="V23" s="21" t="s">
        <v>92</v>
      </c>
      <c r="W23" s="21"/>
      <c r="X23" s="21" t="s">
        <v>93</v>
      </c>
      <c r="Y23" s="21" t="s">
        <v>94</v>
      </c>
    </row>
    <row r="24" spans="2:25" ht="15.75" x14ac:dyDescent="0.25">
      <c r="B24" s="2" t="s">
        <v>2</v>
      </c>
      <c r="C24" s="1">
        <v>9.16</v>
      </c>
      <c r="D24" s="1">
        <v>9.16</v>
      </c>
      <c r="E24" s="4">
        <v>3.68</v>
      </c>
      <c r="F24" s="8">
        <f>SUM(C24:E24)</f>
        <v>22</v>
      </c>
      <c r="G24" s="87">
        <f>F24/9</f>
        <v>2.4444444444444446</v>
      </c>
      <c r="I24" s="31" t="s">
        <v>82</v>
      </c>
      <c r="J24" s="48">
        <f>F24</f>
        <v>22</v>
      </c>
      <c r="K24" s="48">
        <f>F25</f>
        <v>23.779999999999998</v>
      </c>
      <c r="L24" s="48">
        <f>F26</f>
        <v>22.950000000000003</v>
      </c>
      <c r="M24" s="49">
        <f>SUM(J24:L24)</f>
        <v>68.73</v>
      </c>
      <c r="N24">
        <f>AVERAGE(M24/9)</f>
        <v>7.6366666666666667</v>
      </c>
      <c r="R24" s="21" t="s">
        <v>95</v>
      </c>
      <c r="S24" s="21">
        <v>2</v>
      </c>
      <c r="T24" s="22">
        <f>SUMSQ(C33:E33)/9-S21</f>
        <v>34.579822222222447</v>
      </c>
      <c r="U24" s="22">
        <f>T24/S24</f>
        <v>17.289911111111223</v>
      </c>
      <c r="V24" s="22">
        <f>U24/U$29</f>
        <v>1.8501846285321648</v>
      </c>
      <c r="W24" s="43" t="str">
        <f>IF(V24&lt;X24,"tn",IF(V24&lt;Y24,"*","**"))</f>
        <v>tn</v>
      </c>
      <c r="X24" s="21">
        <v>3.63</v>
      </c>
      <c r="Y24" s="21">
        <v>6.23</v>
      </c>
    </row>
    <row r="25" spans="2:25" ht="15.75" x14ac:dyDescent="0.25">
      <c r="B25" s="2" t="s">
        <v>3</v>
      </c>
      <c r="C25" s="1">
        <v>10.59</v>
      </c>
      <c r="D25" s="1">
        <v>6.17</v>
      </c>
      <c r="E25" s="4">
        <v>7.02</v>
      </c>
      <c r="F25" s="1">
        <f t="shared" ref="F25:F32" si="7">SUM(C25:E25)</f>
        <v>23.779999999999998</v>
      </c>
      <c r="G25" s="87">
        <f t="shared" ref="G25:G32" si="8">F25/9</f>
        <v>2.6422222222222218</v>
      </c>
      <c r="I25" s="31" t="s">
        <v>83</v>
      </c>
      <c r="J25" s="50">
        <f>F27</f>
        <v>16.829999999999998</v>
      </c>
      <c r="K25" s="48">
        <f>F28</f>
        <v>20.350000000000001</v>
      </c>
      <c r="L25" s="48">
        <f>F29</f>
        <v>26.08</v>
      </c>
      <c r="M25" s="49">
        <f>SUM(J25:L25)</f>
        <v>63.26</v>
      </c>
      <c r="N25">
        <f t="shared" ref="N25:N26" si="9">AVERAGE(M25/9)</f>
        <v>7.028888888888889</v>
      </c>
      <c r="R25" s="21" t="s">
        <v>1</v>
      </c>
      <c r="S25" s="21">
        <v>8</v>
      </c>
      <c r="T25" s="22">
        <f>SUMSQ(F24:F32)/3-S21</f>
        <v>57.428533333333235</v>
      </c>
      <c r="U25" s="22">
        <f t="shared" ref="U25:U28" si="10">T25/S25</f>
        <v>7.1785666666666543</v>
      </c>
      <c r="V25" s="22">
        <f>U25/U$29</f>
        <v>0.76817478217251578</v>
      </c>
      <c r="W25" s="43" t="str">
        <f>IF(V25&lt;X25,"tn",IF(V25&lt;Y25,"*","**"))</f>
        <v>tn</v>
      </c>
      <c r="X25" s="21">
        <v>2.59</v>
      </c>
      <c r="Y25" s="21">
        <v>3.89</v>
      </c>
    </row>
    <row r="26" spans="2:25" ht="15.75" x14ac:dyDescent="0.25">
      <c r="B26" s="2" t="s">
        <v>4</v>
      </c>
      <c r="C26" s="1">
        <v>6.87</v>
      </c>
      <c r="D26" s="8">
        <v>6.57</v>
      </c>
      <c r="E26" s="4">
        <v>9.51</v>
      </c>
      <c r="F26" s="1">
        <f t="shared" si="7"/>
        <v>22.950000000000003</v>
      </c>
      <c r="G26" s="87">
        <f t="shared" si="8"/>
        <v>2.5500000000000003</v>
      </c>
      <c r="I26" s="31" t="s">
        <v>84</v>
      </c>
      <c r="J26" s="50">
        <f>F30</f>
        <v>23.599999999999998</v>
      </c>
      <c r="K26" s="48">
        <f>F31</f>
        <v>11.23</v>
      </c>
      <c r="L26" s="48">
        <f>F32</f>
        <v>16.87</v>
      </c>
      <c r="M26" s="49">
        <f>SUM(J26:L26)</f>
        <v>51.7</v>
      </c>
      <c r="N26">
        <f t="shared" si="9"/>
        <v>5.7444444444444445</v>
      </c>
      <c r="R26" s="21" t="s">
        <v>77</v>
      </c>
      <c r="S26" s="21">
        <v>2</v>
      </c>
      <c r="T26" s="22">
        <f>SUMSQ(M24:M26)/9-S21</f>
        <v>16.799088888888946</v>
      </c>
      <c r="U26" s="22">
        <f t="shared" si="10"/>
        <v>8.3995444444444729</v>
      </c>
      <c r="V26" s="22">
        <f>U26/U$29</f>
        <v>0.89883099559700996</v>
      </c>
      <c r="W26" s="43" t="str">
        <f>IF(V26&lt;X26,"tn",IF(V26&lt;Y26,"*","**"))</f>
        <v>tn</v>
      </c>
      <c r="X26" s="21">
        <v>3.63</v>
      </c>
      <c r="Y26" s="21">
        <v>6.23</v>
      </c>
    </row>
    <row r="27" spans="2:25" ht="15.75" x14ac:dyDescent="0.25">
      <c r="B27" s="2" t="s">
        <v>5</v>
      </c>
      <c r="C27" s="1">
        <v>5.69</v>
      </c>
      <c r="D27" s="1">
        <v>4.08</v>
      </c>
      <c r="E27" s="4">
        <v>7.06</v>
      </c>
      <c r="F27" s="1">
        <f t="shared" si="7"/>
        <v>16.829999999999998</v>
      </c>
      <c r="G27" s="87">
        <f t="shared" si="8"/>
        <v>1.8699999999999999</v>
      </c>
      <c r="I27" s="31" t="s">
        <v>17</v>
      </c>
      <c r="J27" s="51">
        <f>SUM(J24:J26)</f>
        <v>62.429999999999993</v>
      </c>
      <c r="K27" s="51">
        <f>SUM(K24:K26)</f>
        <v>55.36</v>
      </c>
      <c r="L27" s="51">
        <f>SUM(L24:L26)</f>
        <v>65.900000000000006</v>
      </c>
      <c r="M27" s="49">
        <f>SUM(J27:L27)</f>
        <v>183.69</v>
      </c>
      <c r="R27" s="21" t="s">
        <v>78</v>
      </c>
      <c r="S27" s="21">
        <v>2</v>
      </c>
      <c r="T27" s="22">
        <f>SUMSQ(J27:L27)/9-S21</f>
        <v>6.4117555555553736</v>
      </c>
      <c r="U27" s="22">
        <f t="shared" si="10"/>
        <v>3.2058777777776868</v>
      </c>
      <c r="V27" s="22">
        <f>U27/U$29</f>
        <v>0.34305935682834843</v>
      </c>
      <c r="W27" s="43" t="str">
        <f t="shared" ref="W27:W28" si="11">IF(V27&lt;X27,"tn",IF(V27&lt;Y27,"*","**"))</f>
        <v>tn</v>
      </c>
      <c r="X27" s="21">
        <v>3.63</v>
      </c>
      <c r="Y27" s="21">
        <v>6.23</v>
      </c>
    </row>
    <row r="28" spans="2:25" ht="15.75" x14ac:dyDescent="0.25">
      <c r="B28" s="2" t="s">
        <v>6</v>
      </c>
      <c r="C28" s="1">
        <v>12.98</v>
      </c>
      <c r="D28" s="1">
        <v>1.57</v>
      </c>
      <c r="E28" s="4">
        <v>5.8</v>
      </c>
      <c r="F28" s="1">
        <f t="shared" si="7"/>
        <v>20.350000000000001</v>
      </c>
      <c r="G28" s="87">
        <f t="shared" si="8"/>
        <v>2.2611111111111111</v>
      </c>
      <c r="J28" s="52">
        <f>AVERAGE(J27/9)</f>
        <v>6.9366666666666656</v>
      </c>
      <c r="K28" s="52">
        <f>AVERAGE(K27/9)</f>
        <v>6.1511111111111108</v>
      </c>
      <c r="L28" s="52">
        <f t="shared" ref="L28" si="12">AVERAGE(L27/9)</f>
        <v>7.3222222222222229</v>
      </c>
      <c r="M28" s="49">
        <f>SUM(J27:L27)</f>
        <v>183.69</v>
      </c>
      <c r="R28" s="21" t="s">
        <v>99</v>
      </c>
      <c r="S28" s="21">
        <v>4</v>
      </c>
      <c r="T28" s="22">
        <f>T25-T26-T27</f>
        <v>34.217688888888915</v>
      </c>
      <c r="U28" s="22">
        <f t="shared" si="10"/>
        <v>8.5544222222222288</v>
      </c>
      <c r="V28" s="22">
        <f>U28/U$29</f>
        <v>0.91540438813235236</v>
      </c>
      <c r="W28" s="43" t="str">
        <f t="shared" si="11"/>
        <v>tn</v>
      </c>
      <c r="X28" s="21">
        <v>3.01</v>
      </c>
      <c r="Y28" s="21">
        <v>4.7699999999999996</v>
      </c>
    </row>
    <row r="29" spans="2:25" ht="15.75" x14ac:dyDescent="0.25">
      <c r="B29" s="2" t="s">
        <v>7</v>
      </c>
      <c r="C29" s="1">
        <v>9.8699999999999992</v>
      </c>
      <c r="D29" s="1">
        <v>9.15</v>
      </c>
      <c r="E29" s="4">
        <v>7.06</v>
      </c>
      <c r="F29" s="1">
        <f t="shared" si="7"/>
        <v>26.08</v>
      </c>
      <c r="G29" s="87">
        <f t="shared" si="8"/>
        <v>2.8977777777777778</v>
      </c>
      <c r="J29" s="52"/>
      <c r="K29" s="52"/>
      <c r="L29" s="52"/>
      <c r="M29" s="52"/>
      <c r="R29" s="21" t="s">
        <v>96</v>
      </c>
      <c r="S29" s="21">
        <v>16</v>
      </c>
      <c r="T29" s="33">
        <f>T30-T24-T25</f>
        <v>149.51944444444416</v>
      </c>
      <c r="U29" s="22">
        <f>T29/S29</f>
        <v>9.3449652777777601</v>
      </c>
      <c r="V29" s="37"/>
      <c r="W29" s="38"/>
      <c r="X29" s="38"/>
      <c r="Y29" s="38"/>
    </row>
    <row r="30" spans="2:25" ht="15.75" x14ac:dyDescent="0.25">
      <c r="B30" s="2" t="s">
        <v>8</v>
      </c>
      <c r="C30" s="1">
        <v>12.11</v>
      </c>
      <c r="D30" s="1">
        <v>5.13</v>
      </c>
      <c r="E30" s="4">
        <v>6.36</v>
      </c>
      <c r="F30" s="8">
        <f t="shared" si="7"/>
        <v>23.599999999999998</v>
      </c>
      <c r="G30" s="87">
        <f t="shared" si="8"/>
        <v>2.6222222222222218</v>
      </c>
      <c r="R30" s="21" t="s">
        <v>17</v>
      </c>
      <c r="S30" s="21">
        <v>26</v>
      </c>
      <c r="T30" s="22">
        <f>SUMSQ(C24:E32)-S21</f>
        <v>241.52779999999984</v>
      </c>
      <c r="U30" s="37"/>
      <c r="V30" s="37"/>
      <c r="W30" s="38"/>
      <c r="X30" s="38"/>
      <c r="Y30" s="38"/>
    </row>
    <row r="31" spans="2:25" x14ac:dyDescent="0.25">
      <c r="B31" s="2" t="s">
        <v>10</v>
      </c>
      <c r="C31" s="1">
        <v>5.28</v>
      </c>
      <c r="D31" s="1">
        <v>1.57</v>
      </c>
      <c r="E31" s="4">
        <v>4.38</v>
      </c>
      <c r="F31" s="1">
        <f t="shared" si="7"/>
        <v>11.23</v>
      </c>
      <c r="G31" s="87">
        <f t="shared" si="8"/>
        <v>1.2477777777777779</v>
      </c>
    </row>
    <row r="32" spans="2:25" x14ac:dyDescent="0.25">
      <c r="B32" s="5" t="s">
        <v>9</v>
      </c>
      <c r="C32" s="6">
        <v>1.34</v>
      </c>
      <c r="D32" s="6">
        <v>5.55</v>
      </c>
      <c r="E32" s="7">
        <v>9.98</v>
      </c>
      <c r="F32" s="1">
        <f t="shared" si="7"/>
        <v>16.87</v>
      </c>
      <c r="G32" s="87">
        <f t="shared" si="8"/>
        <v>1.8744444444444446</v>
      </c>
    </row>
    <row r="33" spans="2:25" x14ac:dyDescent="0.25">
      <c r="B33" s="1" t="s">
        <v>17</v>
      </c>
      <c r="C33" s="1">
        <f>SUM(C24:C32)</f>
        <v>73.890000000000015</v>
      </c>
      <c r="D33" s="1">
        <f>SUM(D24:D32)</f>
        <v>48.949999999999996</v>
      </c>
      <c r="E33" s="1">
        <f>SUM(E24:E32)</f>
        <v>60.850000000000009</v>
      </c>
      <c r="F33" s="1">
        <f>SUM(C33:E33)</f>
        <v>183.69</v>
      </c>
    </row>
    <row r="34" spans="2:25" x14ac:dyDescent="0.25">
      <c r="C34" s="87">
        <f>C33/9</f>
        <v>8.2100000000000009</v>
      </c>
      <c r="D34" s="87">
        <f t="shared" ref="D34:E34" si="13">D33/9</f>
        <v>5.4388888888888882</v>
      </c>
      <c r="E34" s="87">
        <f t="shared" si="13"/>
        <v>6.761111111111112</v>
      </c>
    </row>
    <row r="37" spans="2:25" x14ac:dyDescent="0.25">
      <c r="B37" t="s">
        <v>19</v>
      </c>
      <c r="I37" s="29" t="s">
        <v>76</v>
      </c>
      <c r="J37" s="29"/>
      <c r="S37" s="47">
        <f>M43^2/(3*3*3)</f>
        <v>5820.9138370370356</v>
      </c>
    </row>
    <row r="38" spans="2:25" ht="15.75" x14ac:dyDescent="0.25">
      <c r="I38" s="101" t="s">
        <v>77</v>
      </c>
      <c r="J38" s="101" t="s">
        <v>78</v>
      </c>
      <c r="K38" s="101"/>
      <c r="L38" s="101"/>
      <c r="M38" s="101" t="s">
        <v>17</v>
      </c>
      <c r="R38" s="36" t="s">
        <v>87</v>
      </c>
      <c r="S38" s="36"/>
      <c r="T38" s="36"/>
      <c r="U38" s="36"/>
      <c r="V38" s="36"/>
      <c r="W38" s="36"/>
      <c r="X38" s="36"/>
      <c r="Y38" s="36"/>
    </row>
    <row r="39" spans="2:25" ht="15.75" x14ac:dyDescent="0.25">
      <c r="B39" s="1" t="s">
        <v>1</v>
      </c>
      <c r="C39" s="1" t="s">
        <v>14</v>
      </c>
      <c r="D39" s="1" t="s">
        <v>15</v>
      </c>
      <c r="E39" s="3" t="s">
        <v>16</v>
      </c>
      <c r="F39" s="1" t="s">
        <v>17</v>
      </c>
      <c r="I39" s="101"/>
      <c r="J39" s="31" t="s">
        <v>79</v>
      </c>
      <c r="K39" s="31" t="s">
        <v>80</v>
      </c>
      <c r="L39" s="31" t="s">
        <v>81</v>
      </c>
      <c r="M39" s="101"/>
      <c r="R39" s="21" t="s">
        <v>88</v>
      </c>
      <c r="S39" s="21" t="s">
        <v>89</v>
      </c>
      <c r="T39" s="21" t="s">
        <v>90</v>
      </c>
      <c r="U39" s="21" t="s">
        <v>91</v>
      </c>
      <c r="V39" s="21" t="s">
        <v>92</v>
      </c>
      <c r="W39" s="21"/>
      <c r="X39" s="21" t="s">
        <v>93</v>
      </c>
      <c r="Y39" s="21" t="s">
        <v>94</v>
      </c>
    </row>
    <row r="40" spans="2:25" ht="15.75" x14ac:dyDescent="0.25">
      <c r="B40" s="2" t="s">
        <v>2</v>
      </c>
      <c r="C40" s="1">
        <v>14.86</v>
      </c>
      <c r="D40" s="1">
        <v>17.690000000000001</v>
      </c>
      <c r="E40" s="4">
        <v>32.96</v>
      </c>
      <c r="F40" s="8">
        <f>SUM(C40:E40)</f>
        <v>65.509999999999991</v>
      </c>
      <c r="G40" s="87">
        <f>F40/9</f>
        <v>7.2788888888888881</v>
      </c>
      <c r="I40" s="31" t="s">
        <v>82</v>
      </c>
      <c r="J40" s="48">
        <f>F40</f>
        <v>65.509999999999991</v>
      </c>
      <c r="K40" s="48">
        <f>F41</f>
        <v>26.85</v>
      </c>
      <c r="L40" s="48">
        <f>F42</f>
        <v>19.149999999999999</v>
      </c>
      <c r="M40" s="49">
        <f>SUM(J40:L40)</f>
        <v>111.50999999999999</v>
      </c>
      <c r="N40">
        <f>AVERAGE(M40/9)</f>
        <v>12.389999999999999</v>
      </c>
      <c r="R40" s="21" t="s">
        <v>95</v>
      </c>
      <c r="S40" s="21">
        <v>2</v>
      </c>
      <c r="T40" s="22">
        <f>SUMSQ(C49:E49)/9-S37</f>
        <v>4.7901629629632225</v>
      </c>
      <c r="U40" s="22">
        <f>T40/S40</f>
        <v>2.3950814814816113</v>
      </c>
      <c r="V40" s="22">
        <f>U40/S$37</f>
        <v>4.1146142144250617E-4</v>
      </c>
      <c r="W40" s="43" t="str">
        <f>IF(V40&lt;X40,"tn",IF(V40&lt;Y40,"*","**"))</f>
        <v>tn</v>
      </c>
      <c r="X40" s="21">
        <v>3.63</v>
      </c>
      <c r="Y40" s="21">
        <v>6.23</v>
      </c>
    </row>
    <row r="41" spans="2:25" ht="15.75" x14ac:dyDescent="0.25">
      <c r="B41" s="2" t="s">
        <v>3</v>
      </c>
      <c r="C41" s="1">
        <v>16.260000000000002</v>
      </c>
      <c r="D41" s="8">
        <v>5.3</v>
      </c>
      <c r="E41" s="4">
        <v>5.29</v>
      </c>
      <c r="F41" s="8">
        <f t="shared" ref="F41:F48" si="14">SUM(C41:E41)</f>
        <v>26.85</v>
      </c>
      <c r="G41" s="87">
        <f>F41/9</f>
        <v>2.9833333333333334</v>
      </c>
      <c r="I41" s="31" t="s">
        <v>83</v>
      </c>
      <c r="J41" s="50">
        <f>F43</f>
        <v>29.689999999999998</v>
      </c>
      <c r="K41" s="48">
        <f>F44</f>
        <v>58.41</v>
      </c>
      <c r="L41" s="48">
        <f>F45</f>
        <v>62.9</v>
      </c>
      <c r="M41" s="49">
        <f>SUM(J41:L41)</f>
        <v>151</v>
      </c>
      <c r="N41">
        <f t="shared" ref="N41:N42" si="15">AVERAGE(M41/9)</f>
        <v>16.777777777777779</v>
      </c>
      <c r="R41" s="21" t="s">
        <v>1</v>
      </c>
      <c r="S41" s="21">
        <v>8</v>
      </c>
      <c r="T41" s="22">
        <f>SUMSQ(F40:F48)/3-S37</f>
        <v>917.55689629629887</v>
      </c>
      <c r="U41" s="22">
        <f t="shared" ref="U41:U44" si="16">T41/S41</f>
        <v>114.69461203703736</v>
      </c>
      <c r="V41" s="22">
        <f t="shared" ref="V41:V44" si="17">U41/S$37</f>
        <v>1.9703884174897747E-2</v>
      </c>
      <c r="W41" s="43" t="str">
        <f>IF(V41&lt;X41,"tn",IF(V41&lt;Y41,"*","**"))</f>
        <v>tn</v>
      </c>
      <c r="X41" s="21">
        <v>2.59</v>
      </c>
      <c r="Y41" s="21">
        <v>3.89</v>
      </c>
    </row>
    <row r="42" spans="2:25" ht="15.75" x14ac:dyDescent="0.25">
      <c r="B42" s="2" t="s">
        <v>4</v>
      </c>
      <c r="C42" s="1">
        <v>6.79</v>
      </c>
      <c r="D42" s="8">
        <v>4.2300000000000004</v>
      </c>
      <c r="E42" s="4">
        <v>8.1300000000000008</v>
      </c>
      <c r="F42" s="8">
        <f t="shared" si="14"/>
        <v>19.149999999999999</v>
      </c>
      <c r="G42" s="87">
        <f t="shared" ref="G42:G48" si="18">F42/9</f>
        <v>2.1277777777777778</v>
      </c>
      <c r="I42" s="31" t="s">
        <v>84</v>
      </c>
      <c r="J42" s="50">
        <f>F46</f>
        <v>54.89</v>
      </c>
      <c r="K42" s="48">
        <f>F47</f>
        <v>54.519999999999996</v>
      </c>
      <c r="L42" s="48">
        <f>F48</f>
        <v>24.52</v>
      </c>
      <c r="M42" s="49">
        <f>SUM(J42:L42)</f>
        <v>133.93</v>
      </c>
      <c r="N42">
        <f t="shared" si="15"/>
        <v>14.881111111111112</v>
      </c>
      <c r="R42" s="21" t="s">
        <v>77</v>
      </c>
      <c r="S42" s="21">
        <v>2</v>
      </c>
      <c r="T42" s="22">
        <f>SUMSQ(M40:M42)/9-S37</f>
        <v>87.166718518520611</v>
      </c>
      <c r="U42" s="22">
        <f t="shared" si="16"/>
        <v>43.583359259260305</v>
      </c>
      <c r="V42" s="22">
        <f t="shared" si="17"/>
        <v>7.4873740583394598E-3</v>
      </c>
      <c r="W42" s="43" t="str">
        <f>IF(V42&lt;X42,"tn",IF(V42&lt;Y42,"*","**"))</f>
        <v>tn</v>
      </c>
      <c r="X42" s="21">
        <v>3.63</v>
      </c>
      <c r="Y42" s="21">
        <v>6.23</v>
      </c>
    </row>
    <row r="43" spans="2:25" ht="15.75" x14ac:dyDescent="0.25">
      <c r="B43" s="2" t="s">
        <v>5</v>
      </c>
      <c r="C43" s="1">
        <v>4.63</v>
      </c>
      <c r="D43" s="1">
        <v>19.55</v>
      </c>
      <c r="E43" s="4">
        <v>5.51</v>
      </c>
      <c r="F43" s="8">
        <f t="shared" si="14"/>
        <v>29.689999999999998</v>
      </c>
      <c r="G43" s="87">
        <f t="shared" si="18"/>
        <v>3.2988888888888885</v>
      </c>
      <c r="I43" s="31" t="s">
        <v>17</v>
      </c>
      <c r="J43" s="51">
        <f>SUM(J40:J42)</f>
        <v>150.08999999999997</v>
      </c>
      <c r="K43" s="51">
        <f>SUM(K40:K42)</f>
        <v>139.77999999999997</v>
      </c>
      <c r="L43" s="51">
        <f>SUM(L40:L42)</f>
        <v>106.57</v>
      </c>
      <c r="M43" s="49">
        <f>SUM(J43:L43)</f>
        <v>396.43999999999994</v>
      </c>
      <c r="R43" s="21" t="s">
        <v>78</v>
      </c>
      <c r="S43" s="21">
        <v>2</v>
      </c>
      <c r="T43" s="22">
        <f>SUMSQ(J43:L43)/9-S37</f>
        <v>114.93298518518441</v>
      </c>
      <c r="U43" s="22">
        <f t="shared" si="16"/>
        <v>57.466492592592203</v>
      </c>
      <c r="V43" s="22">
        <f t="shared" si="17"/>
        <v>9.8724176652379078E-3</v>
      </c>
      <c r="W43" s="43" t="str">
        <f t="shared" ref="W43:W44" si="19">IF(V43&lt;X43,"tn",IF(V43&lt;Y43,"*","**"))</f>
        <v>tn</v>
      </c>
      <c r="X43" s="21">
        <v>3.63</v>
      </c>
      <c r="Y43" s="21">
        <v>6.23</v>
      </c>
    </row>
    <row r="44" spans="2:25" ht="15.75" x14ac:dyDescent="0.25">
      <c r="B44" s="2" t="s">
        <v>6</v>
      </c>
      <c r="C44" s="1">
        <v>16.309999999999999</v>
      </c>
      <c r="D44" s="1">
        <v>18.079999999999998</v>
      </c>
      <c r="E44" s="4">
        <v>24.02</v>
      </c>
      <c r="F44" s="8">
        <f t="shared" si="14"/>
        <v>58.41</v>
      </c>
      <c r="G44" s="87">
        <f t="shared" si="18"/>
        <v>6.4899999999999993</v>
      </c>
      <c r="J44" s="52">
        <f>AVERAGE(J43/9)</f>
        <v>16.676666666666662</v>
      </c>
      <c r="K44" s="52">
        <f>AVERAGE(K43/9)</f>
        <v>15.531111111111109</v>
      </c>
      <c r="L44" s="52">
        <f t="shared" ref="L44" si="20">AVERAGE(L43/9)</f>
        <v>11.841111111111111</v>
      </c>
      <c r="M44" s="49">
        <f>SUM(J43:L43)</f>
        <v>396.43999999999994</v>
      </c>
      <c r="R44" s="21" t="s">
        <v>99</v>
      </c>
      <c r="S44" s="21">
        <v>4</v>
      </c>
      <c r="T44" s="22">
        <f>T41-T42-T43</f>
        <v>715.45719259259386</v>
      </c>
      <c r="U44" s="22">
        <f t="shared" si="16"/>
        <v>178.86429814814846</v>
      </c>
      <c r="V44" s="22">
        <f t="shared" si="17"/>
        <v>3.0727872488006808E-2</v>
      </c>
      <c r="W44" s="43" t="str">
        <f t="shared" si="19"/>
        <v>tn</v>
      </c>
      <c r="X44" s="21">
        <v>3.01</v>
      </c>
      <c r="Y44" s="21">
        <v>4.7699999999999996</v>
      </c>
    </row>
    <row r="45" spans="2:25" ht="15.75" x14ac:dyDescent="0.25">
      <c r="B45" s="2" t="s">
        <v>7</v>
      </c>
      <c r="C45" s="1">
        <v>17.91</v>
      </c>
      <c r="D45" s="1">
        <v>40.61</v>
      </c>
      <c r="E45" s="4">
        <v>4.38</v>
      </c>
      <c r="F45" s="8">
        <f t="shared" si="14"/>
        <v>62.9</v>
      </c>
      <c r="G45" s="87">
        <f t="shared" si="18"/>
        <v>6.9888888888888889</v>
      </c>
      <c r="J45" s="52"/>
      <c r="K45" s="52"/>
      <c r="L45" s="52"/>
      <c r="M45" s="52"/>
      <c r="R45" s="21" t="s">
        <v>96</v>
      </c>
      <c r="S45" s="21">
        <v>16</v>
      </c>
      <c r="T45" s="33">
        <f>T46-T40-T41</f>
        <v>2035.2411037036991</v>
      </c>
      <c r="U45" s="22">
        <f>T45/S45</f>
        <v>127.20256898148119</v>
      </c>
      <c r="V45" s="37"/>
      <c r="W45" s="38"/>
      <c r="X45" s="38"/>
      <c r="Y45" s="38"/>
    </row>
    <row r="46" spans="2:25" ht="15.75" x14ac:dyDescent="0.25">
      <c r="B46" s="2" t="s">
        <v>8</v>
      </c>
      <c r="C46" s="1">
        <v>15.59</v>
      </c>
      <c r="D46" s="1">
        <v>4.0199999999999996</v>
      </c>
      <c r="E46" s="4">
        <v>35.28</v>
      </c>
      <c r="F46" s="8">
        <f t="shared" si="14"/>
        <v>54.89</v>
      </c>
      <c r="G46" s="87">
        <f t="shared" si="18"/>
        <v>6.0988888888888892</v>
      </c>
      <c r="R46" s="21" t="s">
        <v>17</v>
      </c>
      <c r="S46" s="21">
        <v>26</v>
      </c>
      <c r="T46" s="22">
        <f>SUMSQ(B40:E48)-S37</f>
        <v>2957.5881629629612</v>
      </c>
      <c r="U46" s="37"/>
      <c r="V46" s="37"/>
      <c r="W46" s="38"/>
      <c r="X46" s="38"/>
      <c r="Y46" s="38"/>
    </row>
    <row r="47" spans="2:25" x14ac:dyDescent="0.25">
      <c r="B47" s="2" t="s">
        <v>10</v>
      </c>
      <c r="C47" s="1">
        <v>29.79</v>
      </c>
      <c r="D47" s="1">
        <v>21.61</v>
      </c>
      <c r="E47" s="4">
        <v>3.12</v>
      </c>
      <c r="F47" s="8">
        <f t="shared" si="14"/>
        <v>54.519999999999996</v>
      </c>
      <c r="G47" s="87">
        <f t="shared" si="18"/>
        <v>6.057777777777777</v>
      </c>
    </row>
    <row r="48" spans="2:25" x14ac:dyDescent="0.25">
      <c r="B48" s="5" t="s">
        <v>9</v>
      </c>
      <c r="C48" s="6">
        <v>13.02</v>
      </c>
      <c r="D48" s="6">
        <v>3.39</v>
      </c>
      <c r="E48" s="7">
        <v>8.11</v>
      </c>
      <c r="F48" s="8">
        <f t="shared" si="14"/>
        <v>24.52</v>
      </c>
      <c r="G48" s="87">
        <f t="shared" si="18"/>
        <v>2.7244444444444444</v>
      </c>
    </row>
    <row r="49" spans="2:6" x14ac:dyDescent="0.25">
      <c r="B49" s="1" t="s">
        <v>17</v>
      </c>
      <c r="C49" s="1">
        <f>SUM(C40:C48)</f>
        <v>135.16000000000003</v>
      </c>
      <c r="D49" s="1">
        <f>SUM(D40:D48)</f>
        <v>134.47999999999996</v>
      </c>
      <c r="E49" s="1">
        <f>SUM(E40:E48)</f>
        <v>126.8</v>
      </c>
      <c r="F49" s="8">
        <f>SUM(C49:E49)</f>
        <v>396.44</v>
      </c>
    </row>
  </sheetData>
  <mergeCells count="6">
    <mergeCell ref="I38:I39"/>
    <mergeCell ref="J38:L38"/>
    <mergeCell ref="M38:M39"/>
    <mergeCell ref="I22:I23"/>
    <mergeCell ref="J22:L22"/>
    <mergeCell ref="M22:M23"/>
  </mergeCells>
  <pageMargins left="0.7" right="0.7" top="0.75" bottom="0.75" header="0.3" footer="0.3"/>
  <pageSetup paperSize="9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3:AM115"/>
  <sheetViews>
    <sheetView topLeftCell="T70" zoomScale="79" zoomScaleNormal="70" workbookViewId="0">
      <selection activeCell="O23" sqref="O23"/>
    </sheetView>
  </sheetViews>
  <sheetFormatPr defaultRowHeight="15" x14ac:dyDescent="0.25"/>
  <cols>
    <col min="30" max="30" width="2.85546875" customWidth="1"/>
    <col min="31" max="31" width="18" customWidth="1"/>
    <col min="32" max="32" width="13.85546875" customWidth="1"/>
    <col min="33" max="33" width="14.85546875" bestFit="1" customWidth="1"/>
    <col min="34" max="34" width="16.42578125" bestFit="1" customWidth="1"/>
    <col min="35" max="35" width="16.5703125" customWidth="1"/>
    <col min="36" max="36" width="24.85546875" customWidth="1"/>
    <col min="37" max="37" width="19.5703125" customWidth="1"/>
    <col min="38" max="38" width="14.42578125" bestFit="1" customWidth="1"/>
    <col min="39" max="39" width="14.7109375" bestFit="1" customWidth="1"/>
  </cols>
  <sheetData>
    <row r="3" spans="2:39" x14ac:dyDescent="0.25">
      <c r="B3" t="s">
        <v>34</v>
      </c>
    </row>
    <row r="4" spans="2:39" x14ac:dyDescent="0.25">
      <c r="C4" t="s">
        <v>2</v>
      </c>
      <c r="D4" t="s">
        <v>3</v>
      </c>
      <c r="E4" t="s">
        <v>4</v>
      </c>
      <c r="F4" t="s">
        <v>5</v>
      </c>
      <c r="G4" t="s">
        <v>6</v>
      </c>
      <c r="H4" t="s">
        <v>7</v>
      </c>
      <c r="I4" t="s">
        <v>8</v>
      </c>
      <c r="J4" t="s">
        <v>10</v>
      </c>
      <c r="K4" t="s">
        <v>9</v>
      </c>
    </row>
    <row r="5" spans="2:39" x14ac:dyDescent="0.25">
      <c r="B5" s="115" t="s">
        <v>35</v>
      </c>
      <c r="C5" s="116" t="s">
        <v>36</v>
      </c>
      <c r="D5" s="116"/>
      <c r="E5" s="116"/>
      <c r="F5" s="116"/>
      <c r="G5" s="116"/>
      <c r="H5" s="116"/>
      <c r="I5" s="116"/>
      <c r="J5" s="116"/>
      <c r="K5" s="116"/>
      <c r="N5" s="110" t="s">
        <v>35</v>
      </c>
      <c r="O5" s="112" t="s">
        <v>36</v>
      </c>
      <c r="P5" s="113"/>
      <c r="Q5" s="113"/>
      <c r="R5" s="113"/>
      <c r="S5" s="113"/>
      <c r="T5" s="113"/>
      <c r="U5" s="113"/>
      <c r="V5" s="113"/>
      <c r="W5" s="114"/>
    </row>
    <row r="6" spans="2:39" ht="15.75" x14ac:dyDescent="0.25">
      <c r="B6" s="115"/>
      <c r="C6" s="19">
        <v>102</v>
      </c>
      <c r="D6" s="19">
        <v>113</v>
      </c>
      <c r="E6" s="19">
        <v>124</v>
      </c>
      <c r="F6" s="19">
        <v>135</v>
      </c>
      <c r="G6" s="19">
        <v>146</v>
      </c>
      <c r="H6" s="19">
        <v>107</v>
      </c>
      <c r="I6" s="19">
        <v>108</v>
      </c>
      <c r="J6" s="19">
        <v>129</v>
      </c>
      <c r="K6" s="19">
        <v>100</v>
      </c>
      <c r="N6" s="111"/>
      <c r="O6" s="19">
        <v>102</v>
      </c>
      <c r="P6" s="19">
        <v>113</v>
      </c>
      <c r="Q6" s="19">
        <v>124</v>
      </c>
      <c r="R6" s="19">
        <v>135</v>
      </c>
      <c r="S6" s="19">
        <v>146</v>
      </c>
      <c r="T6" s="19">
        <v>107</v>
      </c>
      <c r="U6" s="19">
        <v>108</v>
      </c>
      <c r="V6" s="19">
        <v>129</v>
      </c>
      <c r="W6" s="19">
        <v>100</v>
      </c>
      <c r="AE6" s="55" t="s">
        <v>105</v>
      </c>
      <c r="AF6">
        <f>(12/((30*9)*(9+1))*SUMSQ(O37:W37)-3*(30)*(9+1))</f>
        <v>10.655555555555566</v>
      </c>
      <c r="AI6" s="44" t="s">
        <v>1</v>
      </c>
      <c r="AJ6" s="44" t="s">
        <v>103</v>
      </c>
      <c r="AK6" s="44" t="s">
        <v>106</v>
      </c>
      <c r="AM6" t="s">
        <v>107</v>
      </c>
    </row>
    <row r="7" spans="2:39" ht="15.75" x14ac:dyDescent="0.25">
      <c r="B7" s="19">
        <v>1</v>
      </c>
      <c r="C7" s="1">
        <v>3</v>
      </c>
      <c r="D7" s="1">
        <v>3</v>
      </c>
      <c r="E7" s="1">
        <v>4</v>
      </c>
      <c r="F7" s="1">
        <v>3</v>
      </c>
      <c r="G7" s="1">
        <v>3</v>
      </c>
      <c r="H7" s="1">
        <v>3</v>
      </c>
      <c r="I7" s="1">
        <v>3</v>
      </c>
      <c r="J7" s="1">
        <v>2</v>
      </c>
      <c r="K7" s="1">
        <v>3</v>
      </c>
      <c r="N7" s="19">
        <v>1</v>
      </c>
      <c r="O7" s="1">
        <v>5</v>
      </c>
      <c r="P7" s="1">
        <v>5</v>
      </c>
      <c r="Q7" s="1">
        <v>9</v>
      </c>
      <c r="R7" s="1">
        <v>5</v>
      </c>
      <c r="S7" s="1">
        <v>5</v>
      </c>
      <c r="T7" s="1">
        <v>5</v>
      </c>
      <c r="U7" s="1">
        <v>5</v>
      </c>
      <c r="V7" s="1">
        <v>1</v>
      </c>
      <c r="W7" s="1">
        <v>5</v>
      </c>
      <c r="Y7">
        <f>SUM(O7:W7)</f>
        <v>45</v>
      </c>
      <c r="AE7" s="55" t="s">
        <v>108</v>
      </c>
      <c r="AF7">
        <f>_xlfn.CHISQ.INV.RT(0.05,8)</f>
        <v>15.507313055865453</v>
      </c>
      <c r="AI7" s="57" t="s">
        <v>2</v>
      </c>
      <c r="AJ7" s="59">
        <f>AVERAGE(C7:C36)</f>
        <v>3.0333333333333332</v>
      </c>
      <c r="AK7" s="59">
        <f>SUM(O7:O36)</f>
        <v>132</v>
      </c>
      <c r="AM7" t="s">
        <v>109</v>
      </c>
    </row>
    <row r="8" spans="2:39" ht="15.75" x14ac:dyDescent="0.25">
      <c r="B8" s="19">
        <v>2</v>
      </c>
      <c r="C8" s="1">
        <v>4</v>
      </c>
      <c r="D8" s="1">
        <v>4</v>
      </c>
      <c r="E8" s="1">
        <v>4</v>
      </c>
      <c r="F8" s="1">
        <v>4</v>
      </c>
      <c r="G8" s="1">
        <v>4</v>
      </c>
      <c r="H8" s="1">
        <v>4</v>
      </c>
      <c r="I8" s="1">
        <v>4</v>
      </c>
      <c r="J8" s="1">
        <v>4</v>
      </c>
      <c r="K8" s="1">
        <v>4</v>
      </c>
      <c r="N8" s="19">
        <v>2</v>
      </c>
      <c r="O8" s="1">
        <v>5</v>
      </c>
      <c r="P8" s="1">
        <v>5</v>
      </c>
      <c r="Q8" s="1">
        <v>5</v>
      </c>
      <c r="R8" s="1">
        <v>5</v>
      </c>
      <c r="S8" s="1">
        <v>5</v>
      </c>
      <c r="T8" s="1">
        <v>5</v>
      </c>
      <c r="U8" s="1">
        <v>5</v>
      </c>
      <c r="V8" s="1">
        <v>5</v>
      </c>
      <c r="W8" s="1">
        <v>5</v>
      </c>
      <c r="Y8">
        <f t="shared" ref="Y8:Y36" si="0">SUM(O8:W8)</f>
        <v>45</v>
      </c>
      <c r="AE8" t="s">
        <v>110</v>
      </c>
      <c r="AF8" t="s">
        <v>113</v>
      </c>
      <c r="AI8" s="57" t="s">
        <v>3</v>
      </c>
      <c r="AJ8" s="59">
        <f>AVERAGE(D7:D36)</f>
        <v>3.4</v>
      </c>
      <c r="AK8" s="59">
        <f>SUM(P7:P36)</f>
        <v>157</v>
      </c>
    </row>
    <row r="9" spans="2:39" ht="15.75" x14ac:dyDescent="0.25">
      <c r="B9" s="19">
        <v>3</v>
      </c>
      <c r="C9" s="1">
        <v>4</v>
      </c>
      <c r="D9" s="1">
        <v>3</v>
      </c>
      <c r="E9" s="1">
        <v>3</v>
      </c>
      <c r="F9" s="1">
        <v>4</v>
      </c>
      <c r="G9" s="1">
        <v>2</v>
      </c>
      <c r="H9" s="1">
        <v>3</v>
      </c>
      <c r="I9" s="1">
        <v>4</v>
      </c>
      <c r="J9" s="1">
        <v>5</v>
      </c>
      <c r="K9" s="1">
        <v>4</v>
      </c>
      <c r="N9" s="19">
        <v>3</v>
      </c>
      <c r="O9" s="1">
        <v>7.5</v>
      </c>
      <c r="P9" s="1">
        <v>3.5</v>
      </c>
      <c r="Q9" s="1">
        <v>3.5</v>
      </c>
      <c r="R9" s="1">
        <v>7.5</v>
      </c>
      <c r="S9" s="1">
        <v>1</v>
      </c>
      <c r="T9" s="1">
        <v>3.5</v>
      </c>
      <c r="U9" s="1">
        <v>7.5</v>
      </c>
      <c r="V9" s="1">
        <v>3.5</v>
      </c>
      <c r="W9" s="1">
        <v>7.5</v>
      </c>
      <c r="Y9">
        <f t="shared" si="0"/>
        <v>45</v>
      </c>
      <c r="AE9" t="s">
        <v>111</v>
      </c>
      <c r="AF9" t="s">
        <v>114</v>
      </c>
      <c r="AG9">
        <v>15.51</v>
      </c>
      <c r="AI9" s="57" t="s">
        <v>4</v>
      </c>
      <c r="AJ9" s="59">
        <f>AVERAGE(E7:E36)</f>
        <v>3.1333333333333333</v>
      </c>
      <c r="AK9" s="59">
        <f>SUM(Q7:Q36)</f>
        <v>147.5</v>
      </c>
    </row>
    <row r="10" spans="2:39" ht="15.75" x14ac:dyDescent="0.25">
      <c r="B10" s="19">
        <v>4</v>
      </c>
      <c r="C10" s="1">
        <v>4</v>
      </c>
      <c r="D10" s="1">
        <v>3</v>
      </c>
      <c r="E10" s="1">
        <v>4</v>
      </c>
      <c r="F10" s="1">
        <v>3</v>
      </c>
      <c r="G10" s="1">
        <v>5</v>
      </c>
      <c r="H10" s="1">
        <v>3</v>
      </c>
      <c r="I10" s="1">
        <v>4</v>
      </c>
      <c r="J10" s="1">
        <v>3</v>
      </c>
      <c r="K10" s="1">
        <v>4</v>
      </c>
      <c r="N10" s="19">
        <v>4</v>
      </c>
      <c r="O10" s="1">
        <v>6.5</v>
      </c>
      <c r="P10" s="1">
        <v>2.5</v>
      </c>
      <c r="Q10" s="1">
        <v>6.5</v>
      </c>
      <c r="R10" s="1">
        <v>2.5</v>
      </c>
      <c r="S10" s="1">
        <v>9</v>
      </c>
      <c r="T10" s="1">
        <v>2.5</v>
      </c>
      <c r="U10" s="1">
        <v>6.5</v>
      </c>
      <c r="V10" s="1">
        <v>2.5</v>
      </c>
      <c r="W10" s="1">
        <v>6.5</v>
      </c>
      <c r="Y10">
        <f t="shared" si="0"/>
        <v>45</v>
      </c>
      <c r="AI10" s="57" t="s">
        <v>5</v>
      </c>
      <c r="AJ10" s="59">
        <f>AVERAGE(F7:F36)</f>
        <v>3.4333333333333331</v>
      </c>
      <c r="AK10" s="59">
        <f>SUM(R7:R36)</f>
        <v>170</v>
      </c>
    </row>
    <row r="11" spans="2:39" ht="15.75" x14ac:dyDescent="0.25">
      <c r="B11" s="19">
        <v>5</v>
      </c>
      <c r="C11" s="1">
        <v>4</v>
      </c>
      <c r="D11" s="1">
        <v>4</v>
      </c>
      <c r="E11" s="1">
        <v>4</v>
      </c>
      <c r="F11" s="1">
        <v>4</v>
      </c>
      <c r="G11" s="1">
        <v>3</v>
      </c>
      <c r="H11" s="1">
        <v>4</v>
      </c>
      <c r="I11" s="1">
        <v>3</v>
      </c>
      <c r="J11" s="1">
        <v>4</v>
      </c>
      <c r="K11" s="1">
        <v>4</v>
      </c>
      <c r="N11" s="19">
        <v>5</v>
      </c>
      <c r="O11" s="1">
        <v>6</v>
      </c>
      <c r="P11" s="1">
        <v>6</v>
      </c>
      <c r="Q11" s="1">
        <v>6</v>
      </c>
      <c r="R11" s="1">
        <v>6</v>
      </c>
      <c r="S11" s="1">
        <v>1.5</v>
      </c>
      <c r="T11" s="1">
        <v>6</v>
      </c>
      <c r="U11" s="1">
        <v>1.5</v>
      </c>
      <c r="V11" s="1">
        <v>6</v>
      </c>
      <c r="W11" s="1">
        <v>6</v>
      </c>
      <c r="Y11">
        <f t="shared" si="0"/>
        <v>45</v>
      </c>
      <c r="AI11" s="57" t="s">
        <v>6</v>
      </c>
      <c r="AJ11" s="59">
        <f>AVERAGE(G7:G36)</f>
        <v>3.2666666666666666</v>
      </c>
      <c r="AK11" s="59">
        <f>SUM(S7:S36)</f>
        <v>151</v>
      </c>
    </row>
    <row r="12" spans="2:39" ht="15.75" x14ac:dyDescent="0.25">
      <c r="B12" s="19">
        <v>6</v>
      </c>
      <c r="C12" s="1">
        <v>3</v>
      </c>
      <c r="D12" s="1">
        <v>4</v>
      </c>
      <c r="E12" s="1">
        <v>4</v>
      </c>
      <c r="F12" s="1">
        <v>3</v>
      </c>
      <c r="G12" s="1">
        <v>4</v>
      </c>
      <c r="H12" s="1">
        <v>2</v>
      </c>
      <c r="I12" s="1">
        <v>4</v>
      </c>
      <c r="J12" s="1">
        <v>5</v>
      </c>
      <c r="K12" s="1">
        <v>3</v>
      </c>
      <c r="N12" s="19">
        <v>6</v>
      </c>
      <c r="O12" s="1">
        <v>3</v>
      </c>
      <c r="P12" s="1">
        <v>6.5</v>
      </c>
      <c r="Q12" s="1">
        <v>6.5</v>
      </c>
      <c r="R12" s="1">
        <v>3</v>
      </c>
      <c r="S12" s="1">
        <v>6.5</v>
      </c>
      <c r="T12" s="1">
        <v>1</v>
      </c>
      <c r="U12" s="1">
        <v>6.5</v>
      </c>
      <c r="V12" s="1">
        <v>9</v>
      </c>
      <c r="W12" s="1">
        <v>3</v>
      </c>
      <c r="Y12">
        <f t="shared" si="0"/>
        <v>45</v>
      </c>
      <c r="AI12" s="57" t="s">
        <v>7</v>
      </c>
      <c r="AJ12" s="59">
        <f>AVERAGE(H7:H36)</f>
        <v>3.5333333333333332</v>
      </c>
      <c r="AK12" s="59">
        <f>SUM(T7:T36)</f>
        <v>166</v>
      </c>
    </row>
    <row r="13" spans="2:39" ht="15.75" x14ac:dyDescent="0.25">
      <c r="B13" s="19">
        <v>7</v>
      </c>
      <c r="C13" s="1">
        <v>4</v>
      </c>
      <c r="D13" s="1">
        <v>3</v>
      </c>
      <c r="E13" s="1">
        <v>2</v>
      </c>
      <c r="F13" s="1">
        <v>3</v>
      </c>
      <c r="G13" s="1">
        <v>4</v>
      </c>
      <c r="H13" s="1">
        <v>3</v>
      </c>
      <c r="I13" s="1">
        <v>3</v>
      </c>
      <c r="J13" s="1">
        <v>3</v>
      </c>
      <c r="K13" s="1">
        <v>3</v>
      </c>
      <c r="N13" s="19">
        <v>7</v>
      </c>
      <c r="O13" s="1">
        <v>8.5</v>
      </c>
      <c r="P13" s="1">
        <v>4.5</v>
      </c>
      <c r="Q13" s="1">
        <v>1</v>
      </c>
      <c r="R13" s="1">
        <v>4.5</v>
      </c>
      <c r="S13" s="1">
        <v>8.5</v>
      </c>
      <c r="T13" s="1">
        <v>4.5</v>
      </c>
      <c r="U13" s="1">
        <v>4.5</v>
      </c>
      <c r="V13" s="1">
        <v>4.5</v>
      </c>
      <c r="W13" s="1">
        <v>4.5</v>
      </c>
      <c r="Y13">
        <f t="shared" si="0"/>
        <v>45</v>
      </c>
      <c r="AI13" s="57" t="s">
        <v>8</v>
      </c>
      <c r="AJ13" s="59">
        <f>AVERAGE(I7:I36)</f>
        <v>3.1</v>
      </c>
      <c r="AK13" s="59">
        <f>SUM(U7:U36)</f>
        <v>143</v>
      </c>
    </row>
    <row r="14" spans="2:39" ht="15.75" x14ac:dyDescent="0.25">
      <c r="B14" s="19">
        <v>8</v>
      </c>
      <c r="C14" s="1">
        <v>3</v>
      </c>
      <c r="D14" s="1">
        <v>3</v>
      </c>
      <c r="E14" s="1">
        <v>3</v>
      </c>
      <c r="F14" s="1">
        <v>4</v>
      </c>
      <c r="G14" s="1">
        <v>4</v>
      </c>
      <c r="H14" s="1">
        <v>3</v>
      </c>
      <c r="I14" s="1">
        <v>3</v>
      </c>
      <c r="J14" s="1">
        <v>3</v>
      </c>
      <c r="K14" s="1">
        <v>2</v>
      </c>
      <c r="N14" s="19">
        <v>8</v>
      </c>
      <c r="O14" s="1">
        <v>4.5</v>
      </c>
      <c r="P14" s="1">
        <v>4.5</v>
      </c>
      <c r="Q14" s="1">
        <v>4.5</v>
      </c>
      <c r="R14" s="1">
        <v>8.5</v>
      </c>
      <c r="S14" s="1">
        <v>8.5</v>
      </c>
      <c r="T14" s="1">
        <v>4.5</v>
      </c>
      <c r="U14" s="1">
        <v>4.5</v>
      </c>
      <c r="V14" s="1">
        <v>4.5</v>
      </c>
      <c r="W14" s="1">
        <v>1</v>
      </c>
      <c r="Y14">
        <f t="shared" si="0"/>
        <v>45</v>
      </c>
      <c r="AI14" s="58" t="s">
        <v>10</v>
      </c>
      <c r="AJ14" s="59">
        <f>AVERAGE(J7:J36)</f>
        <v>3.5</v>
      </c>
      <c r="AK14" s="59">
        <f>SUM(V7:V36)</f>
        <v>166</v>
      </c>
    </row>
    <row r="15" spans="2:39" ht="15.75" x14ac:dyDescent="0.25">
      <c r="B15" s="19">
        <v>9</v>
      </c>
      <c r="C15" s="1">
        <v>2</v>
      </c>
      <c r="D15" s="1">
        <v>2</v>
      </c>
      <c r="E15" s="1">
        <v>2</v>
      </c>
      <c r="F15" s="1">
        <v>2</v>
      </c>
      <c r="G15" s="1">
        <v>2</v>
      </c>
      <c r="H15" s="1">
        <v>2</v>
      </c>
      <c r="I15" s="1">
        <v>2</v>
      </c>
      <c r="J15" s="1">
        <v>2</v>
      </c>
      <c r="K15" s="1">
        <v>2</v>
      </c>
      <c r="N15" s="19">
        <v>9</v>
      </c>
      <c r="O15" s="1">
        <v>5</v>
      </c>
      <c r="P15" s="1">
        <v>5</v>
      </c>
      <c r="Q15" s="1">
        <v>5</v>
      </c>
      <c r="R15" s="1">
        <v>5</v>
      </c>
      <c r="S15" s="1">
        <v>5</v>
      </c>
      <c r="T15" s="1">
        <v>5</v>
      </c>
      <c r="U15" s="1">
        <v>5</v>
      </c>
      <c r="V15" s="1">
        <v>5</v>
      </c>
      <c r="W15" s="1">
        <v>5</v>
      </c>
      <c r="Y15">
        <f t="shared" si="0"/>
        <v>45</v>
      </c>
      <c r="AI15" s="57" t="s">
        <v>9</v>
      </c>
      <c r="AJ15" s="59">
        <f>AVERAGE(K7:K36)</f>
        <v>2.8333333333333335</v>
      </c>
      <c r="AK15" s="59">
        <f>SUM(W7:W36)</f>
        <v>117.5</v>
      </c>
    </row>
    <row r="16" spans="2:39" ht="15.75" x14ac:dyDescent="0.25">
      <c r="B16" s="19">
        <v>10</v>
      </c>
      <c r="C16" s="1">
        <v>2</v>
      </c>
      <c r="D16" s="1">
        <v>3</v>
      </c>
      <c r="E16" s="1">
        <v>3</v>
      </c>
      <c r="F16" s="1">
        <v>3</v>
      </c>
      <c r="G16" s="1">
        <v>3</v>
      </c>
      <c r="H16" s="1">
        <v>3</v>
      </c>
      <c r="I16" s="1">
        <v>3</v>
      </c>
      <c r="J16" s="1">
        <v>3</v>
      </c>
      <c r="K16" s="1">
        <v>3</v>
      </c>
      <c r="N16" s="19">
        <v>10</v>
      </c>
      <c r="O16" s="1">
        <v>1</v>
      </c>
      <c r="P16" s="1">
        <v>5.5</v>
      </c>
      <c r="Q16" s="1">
        <v>5.5</v>
      </c>
      <c r="R16" s="1">
        <v>5.5</v>
      </c>
      <c r="S16" s="1">
        <v>5.5</v>
      </c>
      <c r="T16" s="1">
        <v>5.5</v>
      </c>
      <c r="U16" s="1">
        <v>5.5</v>
      </c>
      <c r="V16" s="1">
        <v>5.5</v>
      </c>
      <c r="W16" s="1">
        <v>5.5</v>
      </c>
      <c r="Y16">
        <f t="shared" si="0"/>
        <v>45</v>
      </c>
      <c r="AI16" s="44" t="s">
        <v>112</v>
      </c>
      <c r="AJ16" s="109">
        <f>1.645*SQRT((30*9*(9+1)/6))</f>
        <v>34.895719651556121</v>
      </c>
      <c r="AK16" s="109"/>
    </row>
    <row r="17" spans="2:35" x14ac:dyDescent="0.25">
      <c r="B17" s="19">
        <v>11</v>
      </c>
      <c r="C17" s="1">
        <v>2</v>
      </c>
      <c r="D17" s="1">
        <v>4</v>
      </c>
      <c r="E17" s="1">
        <v>5</v>
      </c>
      <c r="F17" s="1">
        <v>4</v>
      </c>
      <c r="G17" s="1">
        <v>3</v>
      </c>
      <c r="H17" s="1">
        <v>5</v>
      </c>
      <c r="I17" s="1">
        <v>4</v>
      </c>
      <c r="J17" s="1">
        <v>5</v>
      </c>
      <c r="K17" s="1">
        <v>4</v>
      </c>
      <c r="N17" s="19">
        <v>11</v>
      </c>
      <c r="O17" s="1">
        <v>1</v>
      </c>
      <c r="P17" s="1">
        <v>4.5</v>
      </c>
      <c r="Q17" s="1">
        <v>8</v>
      </c>
      <c r="R17" s="1">
        <v>4.5</v>
      </c>
      <c r="S17" s="1">
        <v>2</v>
      </c>
      <c r="T17" s="1">
        <v>8</v>
      </c>
      <c r="U17" s="1">
        <v>4.5</v>
      </c>
      <c r="V17" s="1">
        <v>8</v>
      </c>
      <c r="W17" s="1">
        <v>4.5</v>
      </c>
      <c r="Y17">
        <f t="shared" si="0"/>
        <v>45</v>
      </c>
    </row>
    <row r="18" spans="2:35" x14ac:dyDescent="0.25">
      <c r="B18" s="19">
        <v>12</v>
      </c>
      <c r="C18" s="1">
        <v>1</v>
      </c>
      <c r="D18" s="1">
        <v>1</v>
      </c>
      <c r="E18" s="1">
        <v>1</v>
      </c>
      <c r="F18" s="1">
        <v>1</v>
      </c>
      <c r="G18" s="1">
        <v>1</v>
      </c>
      <c r="H18" s="1">
        <v>1</v>
      </c>
      <c r="I18" s="1">
        <v>1</v>
      </c>
      <c r="J18" s="1">
        <v>1</v>
      </c>
      <c r="K18" s="1">
        <v>1</v>
      </c>
      <c r="N18" s="19">
        <v>12</v>
      </c>
      <c r="O18" s="1">
        <v>5</v>
      </c>
      <c r="P18" s="1">
        <v>5</v>
      </c>
      <c r="Q18" s="1">
        <v>5</v>
      </c>
      <c r="R18" s="1">
        <v>5</v>
      </c>
      <c r="S18" s="1">
        <v>5</v>
      </c>
      <c r="T18" s="1">
        <v>5</v>
      </c>
      <c r="U18" s="1">
        <v>5</v>
      </c>
      <c r="V18" s="1">
        <v>5</v>
      </c>
      <c r="W18" s="1">
        <v>5</v>
      </c>
      <c r="Y18">
        <f t="shared" si="0"/>
        <v>45</v>
      </c>
      <c r="AF18" s="60"/>
      <c r="AG18" s="33"/>
      <c r="AH18" s="33"/>
      <c r="AI18" s="56"/>
    </row>
    <row r="19" spans="2:35" x14ac:dyDescent="0.25">
      <c r="B19" s="19">
        <v>13</v>
      </c>
      <c r="C19" s="1">
        <v>5</v>
      </c>
      <c r="D19" s="1">
        <v>3</v>
      </c>
      <c r="E19" s="1">
        <v>2</v>
      </c>
      <c r="F19" s="1">
        <v>5</v>
      </c>
      <c r="G19" s="1">
        <v>5</v>
      </c>
      <c r="H19" s="1">
        <v>5</v>
      </c>
      <c r="I19" s="1">
        <v>5</v>
      </c>
      <c r="J19" s="1">
        <v>4</v>
      </c>
      <c r="K19" s="1">
        <v>2</v>
      </c>
      <c r="N19" s="19">
        <v>13</v>
      </c>
      <c r="O19" s="1">
        <v>7</v>
      </c>
      <c r="P19" s="1">
        <v>3</v>
      </c>
      <c r="Q19" s="1">
        <v>1.5</v>
      </c>
      <c r="R19" s="1">
        <v>7</v>
      </c>
      <c r="S19" s="1">
        <v>7</v>
      </c>
      <c r="T19" s="1">
        <v>7</v>
      </c>
      <c r="U19" s="1">
        <v>7</v>
      </c>
      <c r="V19" s="1">
        <v>4</v>
      </c>
      <c r="W19" s="1">
        <v>1.5</v>
      </c>
      <c r="Y19">
        <f t="shared" si="0"/>
        <v>45</v>
      </c>
      <c r="AF19" s="60"/>
      <c r="AG19" s="33"/>
      <c r="AH19" s="33"/>
      <c r="AI19" s="56"/>
    </row>
    <row r="20" spans="2:35" x14ac:dyDescent="0.25">
      <c r="B20" s="19">
        <v>14</v>
      </c>
      <c r="C20" s="1">
        <v>5</v>
      </c>
      <c r="D20" s="1">
        <v>3</v>
      </c>
      <c r="E20" s="1">
        <v>3</v>
      </c>
      <c r="F20" s="1">
        <v>5</v>
      </c>
      <c r="G20" s="1">
        <v>4</v>
      </c>
      <c r="H20" s="1">
        <v>4</v>
      </c>
      <c r="I20" s="1">
        <v>4</v>
      </c>
      <c r="J20" s="1">
        <v>2</v>
      </c>
      <c r="K20" s="1">
        <v>2</v>
      </c>
      <c r="N20" s="19">
        <v>14</v>
      </c>
      <c r="O20" s="1">
        <v>8.5</v>
      </c>
      <c r="P20" s="1">
        <v>3.5</v>
      </c>
      <c r="Q20" s="1">
        <v>3.5</v>
      </c>
      <c r="R20" s="1">
        <v>8.5</v>
      </c>
      <c r="S20" s="1">
        <v>6</v>
      </c>
      <c r="T20" s="1">
        <v>6</v>
      </c>
      <c r="U20" s="1">
        <v>6</v>
      </c>
      <c r="V20" s="1">
        <v>1.5</v>
      </c>
      <c r="W20" s="1">
        <v>1.5</v>
      </c>
      <c r="Y20">
        <f t="shared" si="0"/>
        <v>45</v>
      </c>
      <c r="AF20" s="60"/>
      <c r="AG20" s="33"/>
      <c r="AH20" s="33"/>
      <c r="AI20" s="56"/>
    </row>
    <row r="21" spans="2:35" x14ac:dyDescent="0.25">
      <c r="B21" s="19">
        <v>15</v>
      </c>
      <c r="C21" s="1">
        <v>3</v>
      </c>
      <c r="D21" s="1">
        <v>3</v>
      </c>
      <c r="E21" s="1">
        <v>4</v>
      </c>
      <c r="F21" s="1">
        <v>3</v>
      </c>
      <c r="G21" s="1">
        <v>4</v>
      </c>
      <c r="H21" s="1">
        <v>4</v>
      </c>
      <c r="I21" s="1">
        <v>2</v>
      </c>
      <c r="J21" s="1">
        <v>4</v>
      </c>
      <c r="K21" s="1">
        <v>2</v>
      </c>
      <c r="N21" s="19">
        <v>15</v>
      </c>
      <c r="O21" s="1">
        <v>4</v>
      </c>
      <c r="P21" s="1">
        <v>4</v>
      </c>
      <c r="Q21" s="1">
        <v>7.5</v>
      </c>
      <c r="R21" s="1">
        <v>4</v>
      </c>
      <c r="S21" s="1">
        <v>7.5</v>
      </c>
      <c r="T21" s="1">
        <v>7.5</v>
      </c>
      <c r="U21" s="1">
        <v>1.5</v>
      </c>
      <c r="V21" s="1">
        <v>7.5</v>
      </c>
      <c r="W21" s="1">
        <v>1.5</v>
      </c>
      <c r="Y21">
        <f t="shared" si="0"/>
        <v>45</v>
      </c>
      <c r="AF21" s="60"/>
      <c r="AG21" s="33"/>
      <c r="AH21" s="33"/>
      <c r="AI21" s="56"/>
    </row>
    <row r="22" spans="2:35" x14ac:dyDescent="0.25">
      <c r="B22" s="19">
        <v>16</v>
      </c>
      <c r="C22" s="1">
        <v>1</v>
      </c>
      <c r="D22" s="1">
        <v>3</v>
      </c>
      <c r="E22" s="1">
        <v>3</v>
      </c>
      <c r="F22" s="1">
        <v>4</v>
      </c>
      <c r="G22" s="1">
        <v>1</v>
      </c>
      <c r="H22" s="1">
        <v>3</v>
      </c>
      <c r="I22" s="1">
        <v>1</v>
      </c>
      <c r="J22" s="1">
        <v>3</v>
      </c>
      <c r="K22" s="1">
        <v>3</v>
      </c>
      <c r="N22" s="19">
        <v>16</v>
      </c>
      <c r="O22" s="1">
        <v>2</v>
      </c>
      <c r="P22" s="1">
        <v>6</v>
      </c>
      <c r="Q22" s="1">
        <v>6</v>
      </c>
      <c r="R22" s="1">
        <v>9</v>
      </c>
      <c r="S22" s="1">
        <v>2</v>
      </c>
      <c r="T22" s="1">
        <v>6</v>
      </c>
      <c r="U22" s="1">
        <v>2</v>
      </c>
      <c r="V22" s="1">
        <v>6</v>
      </c>
      <c r="W22" s="1">
        <v>6</v>
      </c>
      <c r="Y22">
        <f t="shared" si="0"/>
        <v>45</v>
      </c>
      <c r="AF22" s="60"/>
      <c r="AG22" s="33"/>
      <c r="AH22" s="33"/>
      <c r="AI22" s="56"/>
    </row>
    <row r="23" spans="2:35" x14ac:dyDescent="0.25">
      <c r="B23" s="19">
        <v>17</v>
      </c>
      <c r="C23" s="1">
        <v>2</v>
      </c>
      <c r="D23" s="1">
        <v>5</v>
      </c>
      <c r="E23" s="1">
        <v>3</v>
      </c>
      <c r="F23" s="1">
        <v>3</v>
      </c>
      <c r="G23" s="1">
        <v>2</v>
      </c>
      <c r="H23" s="1">
        <v>5</v>
      </c>
      <c r="I23" s="1">
        <v>4</v>
      </c>
      <c r="J23" s="1">
        <v>3</v>
      </c>
      <c r="K23" s="1">
        <v>3</v>
      </c>
      <c r="N23" s="19">
        <v>17</v>
      </c>
      <c r="O23" s="1">
        <v>1.5</v>
      </c>
      <c r="P23" s="1">
        <v>8.5</v>
      </c>
      <c r="Q23" s="1">
        <v>4.5</v>
      </c>
      <c r="R23" s="1">
        <v>4.5</v>
      </c>
      <c r="S23" s="1">
        <v>1.5</v>
      </c>
      <c r="T23" s="1">
        <v>8.5</v>
      </c>
      <c r="U23" s="1">
        <v>7</v>
      </c>
      <c r="V23" s="1">
        <v>4.5</v>
      </c>
      <c r="W23" s="1">
        <v>4.5</v>
      </c>
      <c r="Y23">
        <f t="shared" si="0"/>
        <v>45</v>
      </c>
      <c r="AF23" s="60"/>
      <c r="AG23" s="33"/>
      <c r="AH23" s="33"/>
      <c r="AI23" s="56"/>
    </row>
    <row r="24" spans="2:35" x14ac:dyDescent="0.25">
      <c r="B24" s="19">
        <v>18</v>
      </c>
      <c r="C24" s="1">
        <v>3</v>
      </c>
      <c r="D24" s="1">
        <v>3</v>
      </c>
      <c r="E24" s="1">
        <v>2</v>
      </c>
      <c r="F24" s="1">
        <v>4</v>
      </c>
      <c r="G24" s="1">
        <v>3</v>
      </c>
      <c r="H24" s="1">
        <v>4</v>
      </c>
      <c r="I24" s="1">
        <v>4</v>
      </c>
      <c r="J24" s="1">
        <v>4</v>
      </c>
      <c r="K24" s="1">
        <v>3</v>
      </c>
      <c r="N24" s="19">
        <v>18</v>
      </c>
      <c r="O24" s="1">
        <v>3.5</v>
      </c>
      <c r="P24" s="1">
        <v>3.5</v>
      </c>
      <c r="Q24" s="1">
        <v>1</v>
      </c>
      <c r="R24" s="1">
        <v>7</v>
      </c>
      <c r="S24" s="1">
        <v>3.5</v>
      </c>
      <c r="T24" s="1">
        <v>7</v>
      </c>
      <c r="U24" s="1">
        <v>7</v>
      </c>
      <c r="V24" s="1">
        <v>9</v>
      </c>
      <c r="W24" s="1">
        <v>3.5</v>
      </c>
      <c r="Y24">
        <f t="shared" si="0"/>
        <v>45</v>
      </c>
      <c r="AF24" s="60"/>
      <c r="AG24" s="33"/>
      <c r="AH24" s="33"/>
      <c r="AI24" s="56"/>
    </row>
    <row r="25" spans="2:35" x14ac:dyDescent="0.25">
      <c r="B25" s="19">
        <v>19</v>
      </c>
      <c r="C25" s="1">
        <v>2</v>
      </c>
      <c r="D25" s="1">
        <v>4</v>
      </c>
      <c r="E25" s="1">
        <v>3</v>
      </c>
      <c r="F25" s="1">
        <v>4</v>
      </c>
      <c r="G25" s="1">
        <v>4</v>
      </c>
      <c r="H25" s="1">
        <v>2</v>
      </c>
      <c r="I25" s="1">
        <v>3</v>
      </c>
      <c r="J25" s="1">
        <v>5</v>
      </c>
      <c r="K25" s="1">
        <v>2</v>
      </c>
      <c r="N25" s="19">
        <v>19</v>
      </c>
      <c r="O25" s="1">
        <v>2</v>
      </c>
      <c r="P25" s="1">
        <v>7</v>
      </c>
      <c r="Q25" s="1">
        <v>4.5</v>
      </c>
      <c r="R25" s="1">
        <v>7</v>
      </c>
      <c r="S25" s="1">
        <v>7</v>
      </c>
      <c r="T25" s="1">
        <v>2</v>
      </c>
      <c r="U25" s="1">
        <v>4.5</v>
      </c>
      <c r="V25" s="1">
        <v>9</v>
      </c>
      <c r="W25" s="1">
        <v>2</v>
      </c>
      <c r="Y25">
        <f t="shared" si="0"/>
        <v>45</v>
      </c>
      <c r="AF25" s="60"/>
      <c r="AG25" s="33"/>
      <c r="AH25" s="33"/>
      <c r="AI25" s="56"/>
    </row>
    <row r="26" spans="2:35" x14ac:dyDescent="0.25">
      <c r="B26" s="19">
        <v>20</v>
      </c>
      <c r="C26" s="1">
        <v>4</v>
      </c>
      <c r="D26" s="1">
        <v>3</v>
      </c>
      <c r="E26" s="1">
        <v>3</v>
      </c>
      <c r="F26" s="1">
        <v>4</v>
      </c>
      <c r="G26" s="1">
        <v>3</v>
      </c>
      <c r="H26" s="1">
        <v>2</v>
      </c>
      <c r="I26" s="1">
        <v>2</v>
      </c>
      <c r="J26" s="1">
        <v>4</v>
      </c>
      <c r="K26" s="1">
        <v>4</v>
      </c>
      <c r="N26" s="19">
        <v>20</v>
      </c>
      <c r="O26" s="1">
        <v>7.5</v>
      </c>
      <c r="P26" s="1">
        <v>4</v>
      </c>
      <c r="Q26" s="1">
        <v>4</v>
      </c>
      <c r="R26" s="1">
        <v>7.5</v>
      </c>
      <c r="S26" s="1">
        <v>4</v>
      </c>
      <c r="T26" s="1">
        <v>1.5</v>
      </c>
      <c r="U26" s="1">
        <v>1.5</v>
      </c>
      <c r="V26" s="1">
        <v>7.5</v>
      </c>
      <c r="W26" s="1">
        <v>7.5</v>
      </c>
      <c r="Y26">
        <f t="shared" si="0"/>
        <v>45</v>
      </c>
      <c r="AF26" s="60"/>
      <c r="AG26" s="33"/>
      <c r="AH26" s="33"/>
      <c r="AI26" s="56"/>
    </row>
    <row r="27" spans="2:35" x14ac:dyDescent="0.25">
      <c r="B27" s="19">
        <v>21</v>
      </c>
      <c r="C27" s="1">
        <v>4</v>
      </c>
      <c r="D27" s="1">
        <v>5</v>
      </c>
      <c r="E27" s="1">
        <v>3</v>
      </c>
      <c r="F27" s="1">
        <v>3</v>
      </c>
      <c r="G27" s="1">
        <v>2</v>
      </c>
      <c r="H27" s="1">
        <v>2</v>
      </c>
      <c r="I27" s="1">
        <v>3</v>
      </c>
      <c r="J27" s="1">
        <v>1</v>
      </c>
      <c r="K27" s="1">
        <v>1</v>
      </c>
      <c r="N27" s="19">
        <v>21</v>
      </c>
      <c r="O27" s="1">
        <v>8</v>
      </c>
      <c r="P27" s="1">
        <v>9</v>
      </c>
      <c r="Q27" s="1">
        <v>6</v>
      </c>
      <c r="R27" s="1">
        <v>6</v>
      </c>
      <c r="S27" s="1">
        <v>3.5</v>
      </c>
      <c r="T27" s="1">
        <v>3.5</v>
      </c>
      <c r="U27" s="1">
        <v>6</v>
      </c>
      <c r="V27" s="1">
        <v>1.5</v>
      </c>
      <c r="W27" s="1">
        <v>1.5</v>
      </c>
      <c r="Y27">
        <f t="shared" si="0"/>
        <v>45</v>
      </c>
    </row>
    <row r="28" spans="2:35" x14ac:dyDescent="0.25">
      <c r="B28" s="19">
        <v>22</v>
      </c>
      <c r="C28" s="1">
        <v>4</v>
      </c>
      <c r="D28" s="1">
        <v>4</v>
      </c>
      <c r="E28" s="1">
        <v>2</v>
      </c>
      <c r="F28" s="1">
        <v>5</v>
      </c>
      <c r="G28" s="1">
        <v>4</v>
      </c>
      <c r="H28" s="1">
        <v>4</v>
      </c>
      <c r="I28" s="1">
        <v>2</v>
      </c>
      <c r="J28" s="1">
        <v>5</v>
      </c>
      <c r="K28" s="1">
        <v>2</v>
      </c>
      <c r="N28" s="19">
        <v>22</v>
      </c>
      <c r="O28" s="1">
        <v>1</v>
      </c>
      <c r="P28" s="1">
        <v>6</v>
      </c>
      <c r="Q28" s="1">
        <v>3</v>
      </c>
      <c r="R28" s="1">
        <v>8.5</v>
      </c>
      <c r="S28" s="1">
        <v>6</v>
      </c>
      <c r="T28" s="1">
        <v>6</v>
      </c>
      <c r="U28" s="1">
        <v>3</v>
      </c>
      <c r="V28" s="1">
        <v>8.5</v>
      </c>
      <c r="W28" s="1">
        <v>3</v>
      </c>
      <c r="Y28">
        <f t="shared" si="0"/>
        <v>45</v>
      </c>
    </row>
    <row r="29" spans="2:35" x14ac:dyDescent="0.25">
      <c r="B29" s="19">
        <v>23</v>
      </c>
      <c r="C29" s="1">
        <v>1</v>
      </c>
      <c r="D29" s="1">
        <v>2</v>
      </c>
      <c r="E29" s="1">
        <v>2</v>
      </c>
      <c r="F29" s="1">
        <v>4</v>
      </c>
      <c r="G29" s="1">
        <v>3</v>
      </c>
      <c r="H29" s="1">
        <v>5</v>
      </c>
      <c r="I29" s="1">
        <v>3</v>
      </c>
      <c r="J29" s="1">
        <v>4</v>
      </c>
      <c r="K29" s="1">
        <v>4</v>
      </c>
      <c r="N29" s="19">
        <v>23</v>
      </c>
      <c r="O29" s="1">
        <v>1</v>
      </c>
      <c r="P29" s="1">
        <v>2.5</v>
      </c>
      <c r="Q29" s="1">
        <v>2.5</v>
      </c>
      <c r="R29" s="1">
        <v>7</v>
      </c>
      <c r="S29" s="1">
        <v>4.5</v>
      </c>
      <c r="T29" s="1">
        <v>9</v>
      </c>
      <c r="U29" s="1">
        <v>4.5</v>
      </c>
      <c r="V29" s="1">
        <v>7</v>
      </c>
      <c r="W29" s="1">
        <v>7</v>
      </c>
      <c r="Y29">
        <f t="shared" si="0"/>
        <v>45</v>
      </c>
    </row>
    <row r="30" spans="2:35" x14ac:dyDescent="0.25">
      <c r="B30" s="19">
        <v>24</v>
      </c>
      <c r="C30" s="1">
        <v>2</v>
      </c>
      <c r="D30" s="1">
        <v>5</v>
      </c>
      <c r="E30" s="1">
        <v>4</v>
      </c>
      <c r="F30" s="1">
        <v>3</v>
      </c>
      <c r="G30" s="1">
        <v>4</v>
      </c>
      <c r="H30" s="1">
        <v>3</v>
      </c>
      <c r="I30" s="1">
        <v>4</v>
      </c>
      <c r="J30" s="1">
        <v>4</v>
      </c>
      <c r="K30" s="1">
        <v>3</v>
      </c>
      <c r="N30" s="19">
        <v>24</v>
      </c>
      <c r="O30" s="1">
        <v>1</v>
      </c>
      <c r="P30" s="1">
        <v>9</v>
      </c>
      <c r="Q30" s="1">
        <v>6.5</v>
      </c>
      <c r="R30" s="1">
        <v>3</v>
      </c>
      <c r="S30" s="1">
        <v>6.5</v>
      </c>
      <c r="T30" s="1">
        <v>3</v>
      </c>
      <c r="U30" s="1">
        <v>6.5</v>
      </c>
      <c r="V30" s="1">
        <v>6.5</v>
      </c>
      <c r="W30" s="1">
        <v>3</v>
      </c>
      <c r="Y30">
        <f t="shared" si="0"/>
        <v>45</v>
      </c>
    </row>
    <row r="31" spans="2:35" x14ac:dyDescent="0.25">
      <c r="B31" s="19">
        <v>25</v>
      </c>
      <c r="C31" s="1">
        <v>4</v>
      </c>
      <c r="D31" s="1">
        <v>3</v>
      </c>
      <c r="E31" s="1">
        <v>4</v>
      </c>
      <c r="F31" s="1">
        <v>5</v>
      </c>
      <c r="G31" s="1">
        <v>4</v>
      </c>
      <c r="H31" s="1">
        <v>3</v>
      </c>
      <c r="I31" s="1">
        <v>3</v>
      </c>
      <c r="J31" s="1">
        <v>3</v>
      </c>
      <c r="K31" s="1">
        <v>3</v>
      </c>
      <c r="N31" s="19">
        <v>25</v>
      </c>
      <c r="O31" s="1">
        <v>7</v>
      </c>
      <c r="P31" s="1">
        <v>3</v>
      </c>
      <c r="Q31" s="1">
        <v>7</v>
      </c>
      <c r="R31" s="1">
        <v>9</v>
      </c>
      <c r="S31" s="1">
        <v>7</v>
      </c>
      <c r="T31" s="1">
        <v>3</v>
      </c>
      <c r="U31" s="1">
        <v>3</v>
      </c>
      <c r="V31" s="1">
        <v>3</v>
      </c>
      <c r="W31" s="1">
        <v>3</v>
      </c>
      <c r="Y31">
        <f t="shared" si="0"/>
        <v>45</v>
      </c>
    </row>
    <row r="32" spans="2:35" x14ac:dyDescent="0.25">
      <c r="B32" s="19">
        <v>26</v>
      </c>
      <c r="C32" s="1">
        <v>5</v>
      </c>
      <c r="D32" s="1">
        <v>4</v>
      </c>
      <c r="E32" s="1">
        <v>4</v>
      </c>
      <c r="F32" s="1">
        <v>1</v>
      </c>
      <c r="G32" s="1">
        <v>3</v>
      </c>
      <c r="H32" s="1">
        <v>5</v>
      </c>
      <c r="I32" s="1">
        <v>1</v>
      </c>
      <c r="J32" s="1">
        <v>5</v>
      </c>
      <c r="K32" s="1">
        <v>4</v>
      </c>
      <c r="N32" s="19">
        <v>26</v>
      </c>
      <c r="O32" s="1">
        <v>8</v>
      </c>
      <c r="P32" s="1">
        <v>5</v>
      </c>
      <c r="Q32" s="1">
        <v>5</v>
      </c>
      <c r="R32" s="1">
        <v>1.5</v>
      </c>
      <c r="S32" s="1">
        <v>3</v>
      </c>
      <c r="T32" s="1">
        <v>8</v>
      </c>
      <c r="U32" s="1">
        <v>1.5</v>
      </c>
      <c r="V32" s="1">
        <v>8</v>
      </c>
      <c r="W32" s="1">
        <v>5</v>
      </c>
      <c r="Y32">
        <f t="shared" si="0"/>
        <v>45</v>
      </c>
    </row>
    <row r="33" spans="2:39" x14ac:dyDescent="0.25">
      <c r="B33" s="19">
        <v>27</v>
      </c>
      <c r="C33" s="1">
        <v>1</v>
      </c>
      <c r="D33" s="1">
        <v>2</v>
      </c>
      <c r="E33" s="1">
        <v>3</v>
      </c>
      <c r="F33" s="1">
        <v>1</v>
      </c>
      <c r="G33" s="1">
        <v>3</v>
      </c>
      <c r="H33" s="1">
        <v>5</v>
      </c>
      <c r="I33" s="1">
        <v>4</v>
      </c>
      <c r="J33" s="1">
        <v>3</v>
      </c>
      <c r="K33" s="1">
        <v>4</v>
      </c>
      <c r="N33" s="19">
        <v>27</v>
      </c>
      <c r="O33" s="1">
        <v>1.5</v>
      </c>
      <c r="P33" s="1">
        <v>3.5</v>
      </c>
      <c r="Q33" s="1">
        <v>6</v>
      </c>
      <c r="R33" s="1">
        <v>1.5</v>
      </c>
      <c r="S33" s="1">
        <v>6</v>
      </c>
      <c r="T33" s="1">
        <v>9</v>
      </c>
      <c r="U33" s="1">
        <v>8</v>
      </c>
      <c r="V33" s="1">
        <v>6</v>
      </c>
      <c r="W33" s="1">
        <v>3.5</v>
      </c>
      <c r="Y33">
        <f t="shared" si="0"/>
        <v>45</v>
      </c>
    </row>
    <row r="34" spans="2:39" x14ac:dyDescent="0.25">
      <c r="B34" s="19">
        <v>28</v>
      </c>
      <c r="C34" s="1">
        <v>2</v>
      </c>
      <c r="D34" s="1">
        <v>4</v>
      </c>
      <c r="E34" s="1">
        <v>3</v>
      </c>
      <c r="F34" s="1">
        <v>3</v>
      </c>
      <c r="G34" s="1">
        <v>5</v>
      </c>
      <c r="H34" s="1">
        <v>5</v>
      </c>
      <c r="I34" s="1">
        <v>3</v>
      </c>
      <c r="J34" s="1">
        <v>3</v>
      </c>
      <c r="K34" s="1">
        <v>2</v>
      </c>
      <c r="N34" s="19">
        <v>28</v>
      </c>
      <c r="O34" s="1">
        <v>1.5</v>
      </c>
      <c r="P34" s="1">
        <v>7</v>
      </c>
      <c r="Q34" s="1">
        <v>4.5</v>
      </c>
      <c r="R34" s="1">
        <v>4.5</v>
      </c>
      <c r="S34" s="1">
        <v>8.5</v>
      </c>
      <c r="T34" s="1">
        <v>8.5</v>
      </c>
      <c r="U34" s="1">
        <v>4.5</v>
      </c>
      <c r="V34" s="1">
        <v>4.5</v>
      </c>
      <c r="W34" s="1">
        <v>1.5</v>
      </c>
      <c r="Y34">
        <f t="shared" si="0"/>
        <v>45</v>
      </c>
    </row>
    <row r="35" spans="2:39" x14ac:dyDescent="0.25">
      <c r="B35" s="19">
        <v>29</v>
      </c>
      <c r="C35" s="1">
        <v>3</v>
      </c>
      <c r="D35" s="1">
        <v>5</v>
      </c>
      <c r="E35" s="1">
        <v>3</v>
      </c>
      <c r="F35" s="1">
        <v>4</v>
      </c>
      <c r="G35" s="1">
        <v>3</v>
      </c>
      <c r="H35" s="1">
        <v>5</v>
      </c>
      <c r="I35" s="1">
        <v>4</v>
      </c>
      <c r="J35" s="1">
        <v>4</v>
      </c>
      <c r="K35" s="1">
        <v>3</v>
      </c>
      <c r="N35" s="19">
        <v>29</v>
      </c>
      <c r="O35" s="1">
        <v>2.5</v>
      </c>
      <c r="P35" s="1">
        <v>8.5</v>
      </c>
      <c r="Q35" s="1">
        <v>2.5</v>
      </c>
      <c r="R35" s="1">
        <v>6</v>
      </c>
      <c r="S35" s="1">
        <v>2.5</v>
      </c>
      <c r="T35" s="1">
        <v>8.5</v>
      </c>
      <c r="U35" s="1">
        <v>6</v>
      </c>
      <c r="V35" s="1">
        <v>6</v>
      </c>
      <c r="W35" s="1">
        <v>2.5</v>
      </c>
      <c r="Y35">
        <f t="shared" si="0"/>
        <v>45</v>
      </c>
    </row>
    <row r="36" spans="2:39" x14ac:dyDescent="0.25">
      <c r="B36" s="19">
        <v>30</v>
      </c>
      <c r="C36" s="1">
        <v>4</v>
      </c>
      <c r="D36" s="1">
        <v>4</v>
      </c>
      <c r="E36" s="1">
        <v>4</v>
      </c>
      <c r="F36" s="1">
        <v>4</v>
      </c>
      <c r="G36" s="1">
        <v>3</v>
      </c>
      <c r="H36" s="1">
        <v>4</v>
      </c>
      <c r="I36" s="1">
        <v>3</v>
      </c>
      <c r="J36" s="1">
        <v>4</v>
      </c>
      <c r="K36" s="1">
        <v>1</v>
      </c>
      <c r="N36" s="19">
        <v>30</v>
      </c>
      <c r="O36" s="1">
        <v>6.5</v>
      </c>
      <c r="P36" s="1">
        <v>6.5</v>
      </c>
      <c r="Q36" s="1">
        <v>6.5</v>
      </c>
      <c r="R36" s="1">
        <v>6.5</v>
      </c>
      <c r="S36" s="1">
        <v>2.5</v>
      </c>
      <c r="T36" s="1">
        <v>6.5</v>
      </c>
      <c r="U36" s="1">
        <v>2.5</v>
      </c>
      <c r="V36" s="1">
        <v>6.5</v>
      </c>
      <c r="W36" s="1">
        <v>1</v>
      </c>
      <c r="Y36">
        <f t="shared" si="0"/>
        <v>45</v>
      </c>
    </row>
    <row r="37" spans="2:39" x14ac:dyDescent="0.25">
      <c r="N37" s="1" t="s">
        <v>17</v>
      </c>
      <c r="O37" s="1">
        <f>SUM(O7:O36)</f>
        <v>132</v>
      </c>
      <c r="P37" s="1">
        <f t="shared" ref="P37:W37" si="1">SUM(P7:P36)</f>
        <v>157</v>
      </c>
      <c r="Q37" s="1">
        <f t="shared" si="1"/>
        <v>147.5</v>
      </c>
      <c r="R37" s="1">
        <f t="shared" si="1"/>
        <v>170</v>
      </c>
      <c r="S37" s="1">
        <f t="shared" si="1"/>
        <v>151</v>
      </c>
      <c r="T37" s="1">
        <f t="shared" si="1"/>
        <v>166</v>
      </c>
      <c r="U37" s="1">
        <f t="shared" si="1"/>
        <v>143</v>
      </c>
      <c r="V37" s="1">
        <f t="shared" si="1"/>
        <v>166</v>
      </c>
      <c r="W37" s="1">
        <f t="shared" si="1"/>
        <v>117.5</v>
      </c>
    </row>
    <row r="38" spans="2:39" x14ac:dyDescent="0.25">
      <c r="N38" s="1" t="s">
        <v>103</v>
      </c>
      <c r="O38" s="1">
        <f>AVERAGE(O7:O36)</f>
        <v>4.4000000000000004</v>
      </c>
      <c r="P38" s="1">
        <f t="shared" ref="P38:W38" si="2">AVERAGE(P7:P36)</f>
        <v>5.2333333333333334</v>
      </c>
      <c r="Q38" s="1">
        <f t="shared" si="2"/>
        <v>4.916666666666667</v>
      </c>
      <c r="R38" s="1">
        <f t="shared" si="2"/>
        <v>5.666666666666667</v>
      </c>
      <c r="S38" s="1">
        <f t="shared" si="2"/>
        <v>5.0333333333333332</v>
      </c>
      <c r="T38" s="1">
        <f t="shared" si="2"/>
        <v>5.5333333333333332</v>
      </c>
      <c r="U38" s="1">
        <f t="shared" si="2"/>
        <v>4.7666666666666666</v>
      </c>
      <c r="V38" s="1">
        <f t="shared" si="2"/>
        <v>5.5333333333333332</v>
      </c>
      <c r="W38" s="1">
        <f t="shared" si="2"/>
        <v>3.9166666666666665</v>
      </c>
    </row>
    <row r="39" spans="2:39" x14ac:dyDescent="0.25">
      <c r="N39" s="1" t="s">
        <v>104</v>
      </c>
      <c r="O39" s="1">
        <f>O37^2</f>
        <v>17424</v>
      </c>
      <c r="P39" s="1">
        <f t="shared" ref="P39:W39" si="3">P37^2</f>
        <v>24649</v>
      </c>
      <c r="Q39" s="1">
        <f t="shared" si="3"/>
        <v>21756.25</v>
      </c>
      <c r="R39" s="1">
        <f t="shared" si="3"/>
        <v>28900</v>
      </c>
      <c r="S39" s="1">
        <f t="shared" si="3"/>
        <v>22801</v>
      </c>
      <c r="T39" s="1">
        <f t="shared" si="3"/>
        <v>27556</v>
      </c>
      <c r="U39" s="1">
        <f t="shared" si="3"/>
        <v>20449</v>
      </c>
      <c r="V39" s="1">
        <f t="shared" si="3"/>
        <v>27556</v>
      </c>
      <c r="W39" s="1">
        <f t="shared" si="3"/>
        <v>13806.25</v>
      </c>
    </row>
    <row r="41" spans="2:39" x14ac:dyDescent="0.25">
      <c r="B41" t="s">
        <v>37</v>
      </c>
    </row>
    <row r="43" spans="2:39" ht="15.75" x14ac:dyDescent="0.25">
      <c r="B43" s="115" t="s">
        <v>35</v>
      </c>
      <c r="C43" s="116" t="s">
        <v>36</v>
      </c>
      <c r="D43" s="116"/>
      <c r="E43" s="116"/>
      <c r="F43" s="116"/>
      <c r="G43" s="116"/>
      <c r="H43" s="116"/>
      <c r="I43" s="116"/>
      <c r="J43" s="116"/>
      <c r="K43" s="116"/>
      <c r="N43" s="110" t="s">
        <v>35</v>
      </c>
      <c r="O43" s="112" t="s">
        <v>36</v>
      </c>
      <c r="P43" s="113"/>
      <c r="Q43" s="113"/>
      <c r="R43" s="113"/>
      <c r="S43" s="113"/>
      <c r="T43" s="113"/>
      <c r="U43" s="113"/>
      <c r="V43" s="113"/>
      <c r="W43" s="114"/>
      <c r="AE43" s="55" t="s">
        <v>105</v>
      </c>
      <c r="AF43">
        <f>(12/((30*9)*(9+1))*SUMSQ(O75:W75)-3*(30)*(9+1))</f>
        <v>32.373333333333335</v>
      </c>
      <c r="AI43" s="64" t="s">
        <v>1</v>
      </c>
      <c r="AJ43" s="64" t="s">
        <v>103</v>
      </c>
      <c r="AK43" s="64" t="s">
        <v>106</v>
      </c>
      <c r="AM43" t="s">
        <v>107</v>
      </c>
    </row>
    <row r="44" spans="2:39" ht="15.75" x14ac:dyDescent="0.25">
      <c r="B44" s="115"/>
      <c r="C44" s="19">
        <v>102</v>
      </c>
      <c r="D44" s="19">
        <v>113</v>
      </c>
      <c r="E44" s="19">
        <v>124</v>
      </c>
      <c r="F44" s="19">
        <v>135</v>
      </c>
      <c r="G44" s="19">
        <v>146</v>
      </c>
      <c r="H44" s="19">
        <v>107</v>
      </c>
      <c r="I44" s="19">
        <v>108</v>
      </c>
      <c r="J44" s="19">
        <v>129</v>
      </c>
      <c r="K44" s="19">
        <v>100</v>
      </c>
      <c r="N44" s="111"/>
      <c r="O44" s="19">
        <v>102</v>
      </c>
      <c r="P44" s="19">
        <v>113</v>
      </c>
      <c r="Q44" s="19">
        <v>124</v>
      </c>
      <c r="R44" s="19">
        <v>135</v>
      </c>
      <c r="S44" s="19">
        <v>146</v>
      </c>
      <c r="T44" s="19">
        <v>107</v>
      </c>
      <c r="U44" s="19">
        <v>108</v>
      </c>
      <c r="V44" s="19">
        <v>129</v>
      </c>
      <c r="W44" s="19">
        <v>100</v>
      </c>
      <c r="AE44" s="55" t="s">
        <v>108</v>
      </c>
      <c r="AF44">
        <f>_xlfn.CHISQ.INV.RT(0.05,8)</f>
        <v>15.507313055865453</v>
      </c>
      <c r="AI44" s="57" t="s">
        <v>2</v>
      </c>
      <c r="AJ44" s="61">
        <f>AVERAGE(C45:C74)</f>
        <v>2.6</v>
      </c>
      <c r="AK44" s="61">
        <f>SUM(O45:O74)</f>
        <v>115</v>
      </c>
      <c r="AL44" t="s">
        <v>116</v>
      </c>
      <c r="AM44" t="s">
        <v>109</v>
      </c>
    </row>
    <row r="45" spans="2:39" ht="15.75" x14ac:dyDescent="0.25">
      <c r="B45" s="19">
        <v>1</v>
      </c>
      <c r="C45" s="1">
        <v>2</v>
      </c>
      <c r="D45" s="1">
        <v>4</v>
      </c>
      <c r="E45" s="1">
        <v>4</v>
      </c>
      <c r="F45" s="1">
        <v>3</v>
      </c>
      <c r="G45" s="1">
        <v>3</v>
      </c>
      <c r="H45" s="1">
        <v>3</v>
      </c>
      <c r="I45" s="1">
        <v>2</v>
      </c>
      <c r="J45" s="1">
        <v>4</v>
      </c>
      <c r="K45" s="1">
        <v>4</v>
      </c>
      <c r="N45" s="19">
        <v>1</v>
      </c>
      <c r="O45" s="1">
        <v>1.5</v>
      </c>
      <c r="P45" s="1">
        <v>7.5</v>
      </c>
      <c r="Q45" s="1">
        <v>7.5</v>
      </c>
      <c r="R45" s="1">
        <v>4</v>
      </c>
      <c r="S45" s="1">
        <v>4</v>
      </c>
      <c r="T45" s="1">
        <v>4</v>
      </c>
      <c r="U45" s="1">
        <v>1.5</v>
      </c>
      <c r="V45" s="1">
        <v>7.5</v>
      </c>
      <c r="W45" s="1">
        <v>7.5</v>
      </c>
      <c r="Y45">
        <f>SUM(O45:W45)</f>
        <v>45</v>
      </c>
      <c r="AE45" t="s">
        <v>110</v>
      </c>
      <c r="AF45" t="s">
        <v>115</v>
      </c>
      <c r="AI45" s="57" t="s">
        <v>3</v>
      </c>
      <c r="AJ45" s="61">
        <f>AVERAGE(D45:D74)</f>
        <v>3.9333333333333331</v>
      </c>
      <c r="AK45" s="61">
        <f>SUM(P45:P74)</f>
        <v>204.5</v>
      </c>
      <c r="AL45" t="s">
        <v>120</v>
      </c>
    </row>
    <row r="46" spans="2:39" ht="15.75" x14ac:dyDescent="0.25">
      <c r="B46" s="19">
        <v>2</v>
      </c>
      <c r="C46" s="1">
        <v>4</v>
      </c>
      <c r="D46" s="1">
        <v>4</v>
      </c>
      <c r="E46" s="1">
        <v>4</v>
      </c>
      <c r="F46" s="1">
        <v>4</v>
      </c>
      <c r="G46" s="1">
        <v>4</v>
      </c>
      <c r="H46" s="1">
        <v>4</v>
      </c>
      <c r="I46" s="1">
        <v>4</v>
      </c>
      <c r="J46" s="1">
        <v>4</v>
      </c>
      <c r="K46" s="1">
        <v>4</v>
      </c>
      <c r="N46" s="19">
        <v>2</v>
      </c>
      <c r="O46" s="1">
        <v>5</v>
      </c>
      <c r="P46" s="1">
        <v>5</v>
      </c>
      <c r="Q46" s="1">
        <v>5</v>
      </c>
      <c r="R46" s="1">
        <v>5</v>
      </c>
      <c r="S46" s="1">
        <v>5</v>
      </c>
      <c r="T46" s="1">
        <v>5</v>
      </c>
      <c r="U46" s="1">
        <v>5</v>
      </c>
      <c r="V46" s="1">
        <v>5</v>
      </c>
      <c r="W46" s="1">
        <v>5</v>
      </c>
      <c r="Y46">
        <f t="shared" ref="Y46:Y74" si="4">SUM(O46:W46)</f>
        <v>45</v>
      </c>
      <c r="AE46" t="s">
        <v>111</v>
      </c>
      <c r="AF46" t="s">
        <v>114</v>
      </c>
      <c r="AG46">
        <v>15.51</v>
      </c>
      <c r="AI46" s="57" t="s">
        <v>4</v>
      </c>
      <c r="AJ46" s="61">
        <f>AVERAGE(E45:E74)</f>
        <v>3.4</v>
      </c>
      <c r="AK46" s="61">
        <f>SUM(Q45:Q74)</f>
        <v>171.5</v>
      </c>
      <c r="AL46" t="s">
        <v>119</v>
      </c>
    </row>
    <row r="47" spans="2:39" ht="15.75" x14ac:dyDescent="0.25">
      <c r="B47" s="19">
        <v>3</v>
      </c>
      <c r="C47" s="1">
        <v>3</v>
      </c>
      <c r="D47" s="1">
        <v>5</v>
      </c>
      <c r="E47" s="1">
        <v>3</v>
      </c>
      <c r="F47" s="1">
        <v>4</v>
      </c>
      <c r="G47" s="1">
        <v>4</v>
      </c>
      <c r="H47" s="1">
        <v>3</v>
      </c>
      <c r="I47" s="1">
        <v>4</v>
      </c>
      <c r="J47" s="1">
        <v>5</v>
      </c>
      <c r="K47" s="1">
        <v>4</v>
      </c>
      <c r="N47" s="19">
        <v>3</v>
      </c>
      <c r="O47" s="1">
        <v>2</v>
      </c>
      <c r="P47" s="1">
        <v>8.5</v>
      </c>
      <c r="Q47" s="1">
        <v>2</v>
      </c>
      <c r="R47" s="1">
        <v>5.5</v>
      </c>
      <c r="S47" s="1">
        <v>5.5</v>
      </c>
      <c r="T47" s="1">
        <v>2</v>
      </c>
      <c r="U47" s="1">
        <v>5.5</v>
      </c>
      <c r="V47" s="1">
        <v>8.5</v>
      </c>
      <c r="W47" s="1">
        <v>5.5</v>
      </c>
      <c r="Y47">
        <f t="shared" si="4"/>
        <v>45</v>
      </c>
      <c r="AI47" s="57" t="s">
        <v>5</v>
      </c>
      <c r="AJ47" s="61">
        <f>AVERAGE(F45:F74)</f>
        <v>3</v>
      </c>
      <c r="AK47" s="61">
        <f>SUM(R45:R74)</f>
        <v>144.5</v>
      </c>
      <c r="AL47" t="s">
        <v>118</v>
      </c>
    </row>
    <row r="48" spans="2:39" ht="15.75" x14ac:dyDescent="0.25">
      <c r="B48" s="19">
        <v>4</v>
      </c>
      <c r="C48" s="1">
        <v>3</v>
      </c>
      <c r="D48" s="1">
        <v>4</v>
      </c>
      <c r="E48" s="1">
        <v>4</v>
      </c>
      <c r="F48" s="1">
        <v>4</v>
      </c>
      <c r="G48" s="1">
        <v>3</v>
      </c>
      <c r="H48" s="1">
        <v>5</v>
      </c>
      <c r="I48" s="1">
        <v>5</v>
      </c>
      <c r="J48" s="1">
        <v>5</v>
      </c>
      <c r="K48" s="1">
        <v>5</v>
      </c>
      <c r="N48" s="19">
        <v>4</v>
      </c>
      <c r="O48" s="1">
        <v>1.5</v>
      </c>
      <c r="P48" s="1">
        <v>4</v>
      </c>
      <c r="Q48" s="1">
        <v>4</v>
      </c>
      <c r="R48" s="1">
        <v>4</v>
      </c>
      <c r="S48" s="1">
        <v>1.5</v>
      </c>
      <c r="T48" s="1">
        <v>7.5</v>
      </c>
      <c r="U48" s="1">
        <v>7.5</v>
      </c>
      <c r="V48" s="1">
        <v>7.5</v>
      </c>
      <c r="W48" s="1">
        <v>7.5</v>
      </c>
      <c r="Y48">
        <f t="shared" si="4"/>
        <v>45</v>
      </c>
      <c r="AI48" s="57" t="s">
        <v>6</v>
      </c>
      <c r="AJ48" s="61">
        <f>AVERAGE(G45:G74)</f>
        <v>2.7333333333333334</v>
      </c>
      <c r="AK48" s="61">
        <f>SUM(S45:S74)</f>
        <v>123</v>
      </c>
      <c r="AL48" t="s">
        <v>117</v>
      </c>
    </row>
    <row r="49" spans="2:38" ht="15.75" x14ac:dyDescent="0.25">
      <c r="B49" s="19">
        <v>5</v>
      </c>
      <c r="C49" s="1">
        <v>4</v>
      </c>
      <c r="D49" s="1">
        <v>3</v>
      </c>
      <c r="E49" s="1">
        <v>3</v>
      </c>
      <c r="F49" s="1">
        <v>4</v>
      </c>
      <c r="G49" s="1">
        <v>3</v>
      </c>
      <c r="H49" s="1">
        <v>3</v>
      </c>
      <c r="I49" s="1">
        <v>4</v>
      </c>
      <c r="J49" s="1">
        <v>3</v>
      </c>
      <c r="K49" s="1">
        <v>4</v>
      </c>
      <c r="N49" s="19">
        <v>5</v>
      </c>
      <c r="O49" s="1">
        <v>7.5</v>
      </c>
      <c r="P49" s="1">
        <v>3</v>
      </c>
      <c r="Q49" s="1">
        <v>3</v>
      </c>
      <c r="R49" s="1">
        <v>7.5</v>
      </c>
      <c r="S49" s="1">
        <v>3</v>
      </c>
      <c r="T49" s="1">
        <v>3</v>
      </c>
      <c r="U49" s="1">
        <v>7.5</v>
      </c>
      <c r="V49" s="1">
        <v>3</v>
      </c>
      <c r="W49" s="1">
        <v>7.5</v>
      </c>
      <c r="Y49">
        <f t="shared" si="4"/>
        <v>45</v>
      </c>
      <c r="AI49" s="57" t="s">
        <v>7</v>
      </c>
      <c r="AJ49" s="61">
        <f>AVERAGE(H45:H74)</f>
        <v>2.7666666666666666</v>
      </c>
      <c r="AK49" s="61">
        <f>SUM(T45:T74)</f>
        <v>126</v>
      </c>
      <c r="AL49" t="s">
        <v>117</v>
      </c>
    </row>
    <row r="50" spans="2:38" ht="15.75" x14ac:dyDescent="0.25">
      <c r="B50" s="19">
        <v>6</v>
      </c>
      <c r="C50" s="1">
        <v>4</v>
      </c>
      <c r="D50" s="1">
        <v>3</v>
      </c>
      <c r="E50" s="1">
        <v>4</v>
      </c>
      <c r="F50" s="1">
        <v>2</v>
      </c>
      <c r="G50" s="1">
        <v>5</v>
      </c>
      <c r="H50" s="1">
        <v>3</v>
      </c>
      <c r="I50" s="1">
        <v>3</v>
      </c>
      <c r="J50" s="1">
        <v>3</v>
      </c>
      <c r="K50" s="1">
        <v>3</v>
      </c>
      <c r="N50" s="19">
        <v>6</v>
      </c>
      <c r="O50" s="1">
        <v>7.5</v>
      </c>
      <c r="P50" s="1">
        <v>4.5</v>
      </c>
      <c r="Q50" s="1">
        <v>7.5</v>
      </c>
      <c r="R50" s="1">
        <v>1.5</v>
      </c>
      <c r="S50" s="1">
        <v>9</v>
      </c>
      <c r="T50" s="1">
        <v>4.5</v>
      </c>
      <c r="U50" s="1">
        <v>4.5</v>
      </c>
      <c r="V50" s="1">
        <v>4.5</v>
      </c>
      <c r="W50" s="1">
        <v>1.5</v>
      </c>
      <c r="Y50">
        <f t="shared" si="4"/>
        <v>45</v>
      </c>
      <c r="AI50" s="57" t="s">
        <v>8</v>
      </c>
      <c r="AJ50" s="61">
        <f>AVERAGE(I45:I74)</f>
        <v>2.7</v>
      </c>
      <c r="AK50" s="61">
        <f>SUM(U45:U74)</f>
        <v>127</v>
      </c>
      <c r="AL50" t="s">
        <v>117</v>
      </c>
    </row>
    <row r="51" spans="2:38" ht="15.75" x14ac:dyDescent="0.25">
      <c r="B51" s="19">
        <v>7</v>
      </c>
      <c r="C51" s="1">
        <v>3</v>
      </c>
      <c r="D51" s="1">
        <v>5</v>
      </c>
      <c r="E51" s="1">
        <v>3</v>
      </c>
      <c r="F51" s="1">
        <v>4</v>
      </c>
      <c r="G51" s="1">
        <v>3</v>
      </c>
      <c r="H51" s="1">
        <v>2</v>
      </c>
      <c r="I51" s="1">
        <v>3</v>
      </c>
      <c r="J51" s="1">
        <v>3</v>
      </c>
      <c r="K51" s="1">
        <v>4</v>
      </c>
      <c r="N51" s="19">
        <v>7</v>
      </c>
      <c r="O51" s="1">
        <v>4</v>
      </c>
      <c r="P51" s="1">
        <v>9</v>
      </c>
      <c r="Q51" s="1">
        <v>4</v>
      </c>
      <c r="R51" s="1">
        <v>7.5</v>
      </c>
      <c r="S51" s="1">
        <v>4</v>
      </c>
      <c r="T51" s="1">
        <v>1</v>
      </c>
      <c r="U51" s="1">
        <v>4</v>
      </c>
      <c r="V51" s="1">
        <v>4</v>
      </c>
      <c r="W51" s="1">
        <v>7.5</v>
      </c>
      <c r="Y51">
        <f t="shared" si="4"/>
        <v>45</v>
      </c>
      <c r="AI51" s="58" t="s">
        <v>10</v>
      </c>
      <c r="AJ51" s="61">
        <f>AVERAGE(J45:J74)</f>
        <v>3.4666666666666668</v>
      </c>
      <c r="AK51" s="61">
        <f>SUM(V45:V74)</f>
        <v>172.5</v>
      </c>
      <c r="AL51" t="s">
        <v>119</v>
      </c>
    </row>
    <row r="52" spans="2:38" ht="15.75" x14ac:dyDescent="0.25">
      <c r="B52" s="19">
        <v>8</v>
      </c>
      <c r="C52" s="1">
        <v>2</v>
      </c>
      <c r="D52" s="1">
        <v>4</v>
      </c>
      <c r="E52" s="1">
        <v>5</v>
      </c>
      <c r="F52" s="1">
        <v>3</v>
      </c>
      <c r="G52" s="1">
        <v>4</v>
      </c>
      <c r="H52" s="1">
        <v>3</v>
      </c>
      <c r="I52" s="1">
        <v>3</v>
      </c>
      <c r="J52" s="1">
        <v>3</v>
      </c>
      <c r="K52" s="1">
        <v>4</v>
      </c>
      <c r="N52" s="19">
        <v>8</v>
      </c>
      <c r="O52" s="1">
        <v>1</v>
      </c>
      <c r="P52" s="1">
        <v>7</v>
      </c>
      <c r="Q52" s="1">
        <v>9</v>
      </c>
      <c r="R52" s="1">
        <v>3.5</v>
      </c>
      <c r="S52" s="1">
        <v>7</v>
      </c>
      <c r="T52" s="1">
        <v>3.5</v>
      </c>
      <c r="U52" s="1">
        <v>3.5</v>
      </c>
      <c r="V52" s="1">
        <v>3.5</v>
      </c>
      <c r="W52" s="1">
        <v>7</v>
      </c>
      <c r="Y52">
        <f t="shared" si="4"/>
        <v>45</v>
      </c>
      <c r="AI52" s="57" t="s">
        <v>9</v>
      </c>
      <c r="AJ52" s="61">
        <f>AVERAGE(K45:K74)</f>
        <v>3.2333333333333334</v>
      </c>
      <c r="AK52" s="61">
        <f>SUM(W45:W74)</f>
        <v>166</v>
      </c>
      <c r="AL52" t="s">
        <v>118</v>
      </c>
    </row>
    <row r="53" spans="2:38" ht="15.75" x14ac:dyDescent="0.25">
      <c r="B53" s="19">
        <v>9</v>
      </c>
      <c r="C53" s="1">
        <v>2</v>
      </c>
      <c r="D53" s="1">
        <v>2</v>
      </c>
      <c r="E53" s="1">
        <v>4</v>
      </c>
      <c r="F53" s="1">
        <v>2</v>
      </c>
      <c r="G53" s="1">
        <v>2</v>
      </c>
      <c r="H53" s="1">
        <v>1</v>
      </c>
      <c r="I53" s="1">
        <v>2</v>
      </c>
      <c r="J53" s="1">
        <v>2</v>
      </c>
      <c r="K53" s="1">
        <v>2</v>
      </c>
      <c r="N53" s="19">
        <v>9</v>
      </c>
      <c r="O53" s="1">
        <v>5</v>
      </c>
      <c r="P53" s="1">
        <v>5</v>
      </c>
      <c r="Q53" s="1">
        <v>9</v>
      </c>
      <c r="R53" s="1">
        <v>5</v>
      </c>
      <c r="S53" s="1">
        <v>5</v>
      </c>
      <c r="T53" s="1">
        <v>1</v>
      </c>
      <c r="U53" s="1">
        <v>5</v>
      </c>
      <c r="V53" s="1">
        <v>5</v>
      </c>
      <c r="W53" s="1">
        <v>5</v>
      </c>
      <c r="Y53">
        <f t="shared" si="4"/>
        <v>45</v>
      </c>
      <c r="AI53" s="64" t="s">
        <v>112</v>
      </c>
      <c r="AJ53" s="61">
        <f>1.645*SQRT((30*9*(9+1)/6))</f>
        <v>34.895719651556121</v>
      </c>
      <c r="AK53" s="61"/>
    </row>
    <row r="54" spans="2:38" x14ac:dyDescent="0.25">
      <c r="B54" s="19">
        <v>10</v>
      </c>
      <c r="C54" s="1">
        <v>3</v>
      </c>
      <c r="D54" s="1">
        <v>3</v>
      </c>
      <c r="E54" s="1">
        <v>3</v>
      </c>
      <c r="F54" s="1">
        <v>4</v>
      </c>
      <c r="G54" s="1">
        <v>3</v>
      </c>
      <c r="H54" s="1">
        <v>3</v>
      </c>
      <c r="I54" s="1">
        <v>3</v>
      </c>
      <c r="J54" s="1">
        <v>3</v>
      </c>
      <c r="K54" s="1">
        <v>4</v>
      </c>
      <c r="N54" s="19">
        <v>10</v>
      </c>
      <c r="O54" s="1">
        <v>4</v>
      </c>
      <c r="P54" s="1">
        <v>4</v>
      </c>
      <c r="Q54" s="1">
        <v>4</v>
      </c>
      <c r="R54" s="1">
        <v>8.5</v>
      </c>
      <c r="S54" s="1">
        <v>4</v>
      </c>
      <c r="T54" s="1">
        <v>4</v>
      </c>
      <c r="U54" s="1">
        <v>4</v>
      </c>
      <c r="V54" s="1">
        <v>4</v>
      </c>
      <c r="W54" s="1">
        <v>8.5</v>
      </c>
      <c r="Y54">
        <f t="shared" si="4"/>
        <v>45</v>
      </c>
    </row>
    <row r="55" spans="2:38" x14ac:dyDescent="0.25">
      <c r="B55" s="19">
        <v>11</v>
      </c>
      <c r="C55" s="1">
        <v>2</v>
      </c>
      <c r="D55" s="1">
        <v>4</v>
      </c>
      <c r="E55" s="1">
        <v>3</v>
      </c>
      <c r="F55" s="1">
        <v>3</v>
      </c>
      <c r="G55" s="1">
        <v>4</v>
      </c>
      <c r="H55" s="1">
        <v>3</v>
      </c>
      <c r="I55" s="1">
        <v>4</v>
      </c>
      <c r="J55" s="1">
        <v>4</v>
      </c>
      <c r="K55" s="1">
        <v>4</v>
      </c>
      <c r="N55" s="19">
        <v>11</v>
      </c>
      <c r="O55" s="1">
        <v>1</v>
      </c>
      <c r="P55" s="1">
        <v>7</v>
      </c>
      <c r="Q55" s="1">
        <v>3</v>
      </c>
      <c r="R55" s="1">
        <v>3</v>
      </c>
      <c r="S55" s="1">
        <v>7</v>
      </c>
      <c r="T55" s="1">
        <v>3</v>
      </c>
      <c r="U55" s="1">
        <v>7</v>
      </c>
      <c r="V55" s="1">
        <v>7</v>
      </c>
      <c r="W55" s="1">
        <v>7</v>
      </c>
      <c r="Y55">
        <f t="shared" si="4"/>
        <v>45</v>
      </c>
      <c r="AE55" s="33"/>
      <c r="AF55" s="33"/>
      <c r="AH55" s="33">
        <v>2.6</v>
      </c>
      <c r="AI55" s="33">
        <v>115</v>
      </c>
      <c r="AJ55" t="s">
        <v>116</v>
      </c>
    </row>
    <row r="56" spans="2:38" x14ac:dyDescent="0.25">
      <c r="B56" s="19">
        <v>12</v>
      </c>
      <c r="C56" s="1">
        <v>3</v>
      </c>
      <c r="D56" s="1">
        <v>2</v>
      </c>
      <c r="E56" s="1">
        <v>3</v>
      </c>
      <c r="F56" s="1">
        <v>2</v>
      </c>
      <c r="G56" s="1">
        <v>2</v>
      </c>
      <c r="H56" s="1">
        <v>2</v>
      </c>
      <c r="I56" s="1">
        <v>2</v>
      </c>
      <c r="J56" s="1">
        <v>2</v>
      </c>
      <c r="K56" s="1">
        <v>2</v>
      </c>
      <c r="N56" s="19">
        <v>12</v>
      </c>
      <c r="O56" s="1">
        <v>8.5</v>
      </c>
      <c r="P56" s="1">
        <v>4</v>
      </c>
      <c r="Q56" s="1">
        <v>8.5</v>
      </c>
      <c r="R56" s="1">
        <v>4</v>
      </c>
      <c r="S56" s="1">
        <v>4</v>
      </c>
      <c r="T56" s="1">
        <v>4</v>
      </c>
      <c r="U56" s="1">
        <v>4</v>
      </c>
      <c r="V56" s="1">
        <v>4</v>
      </c>
      <c r="W56" s="1">
        <v>4</v>
      </c>
      <c r="Y56">
        <f t="shared" si="4"/>
        <v>45</v>
      </c>
      <c r="AE56" s="33"/>
      <c r="AF56" s="33"/>
      <c r="AG56" s="33"/>
      <c r="AH56" s="33">
        <v>2.7333333333333334</v>
      </c>
      <c r="AI56" s="33">
        <v>123</v>
      </c>
      <c r="AJ56" t="s">
        <v>117</v>
      </c>
      <c r="AK56" s="33">
        <f>AI56-AI55</f>
        <v>8</v>
      </c>
    </row>
    <row r="57" spans="2:38" x14ac:dyDescent="0.25">
      <c r="B57" s="19">
        <v>13</v>
      </c>
      <c r="C57" s="1">
        <v>1</v>
      </c>
      <c r="D57" s="1">
        <v>5</v>
      </c>
      <c r="E57" s="1">
        <v>3</v>
      </c>
      <c r="F57" s="1">
        <v>2</v>
      </c>
      <c r="G57" s="1">
        <v>2</v>
      </c>
      <c r="H57" s="1">
        <v>2</v>
      </c>
      <c r="I57" s="1">
        <v>1</v>
      </c>
      <c r="J57" s="1">
        <v>4</v>
      </c>
      <c r="K57" s="1">
        <v>4</v>
      </c>
      <c r="N57" s="19">
        <v>13</v>
      </c>
      <c r="O57" s="1">
        <v>1.5</v>
      </c>
      <c r="P57" s="1">
        <v>9</v>
      </c>
      <c r="Q57" s="1">
        <v>6</v>
      </c>
      <c r="R57" s="1">
        <v>4</v>
      </c>
      <c r="S57" s="1">
        <v>4</v>
      </c>
      <c r="T57" s="1">
        <v>4</v>
      </c>
      <c r="U57" s="1">
        <v>1.5</v>
      </c>
      <c r="V57" s="1">
        <v>7.5</v>
      </c>
      <c r="W57" s="1">
        <v>7.5</v>
      </c>
      <c r="Y57">
        <f t="shared" si="4"/>
        <v>45</v>
      </c>
      <c r="AE57" s="33"/>
      <c r="AF57" s="33"/>
      <c r="AG57" s="33"/>
      <c r="AH57" s="33">
        <v>2.7666666666666666</v>
      </c>
      <c r="AI57" s="33">
        <v>126</v>
      </c>
      <c r="AJ57" t="s">
        <v>117</v>
      </c>
      <c r="AK57" s="33">
        <f>AI57-AI56</f>
        <v>3</v>
      </c>
    </row>
    <row r="58" spans="2:38" x14ac:dyDescent="0.25">
      <c r="B58" s="19">
        <v>14</v>
      </c>
      <c r="C58" s="1">
        <v>1</v>
      </c>
      <c r="D58" s="1">
        <v>5</v>
      </c>
      <c r="E58" s="1">
        <v>3</v>
      </c>
      <c r="F58" s="1">
        <v>5</v>
      </c>
      <c r="G58" s="1">
        <v>4</v>
      </c>
      <c r="H58" s="1">
        <v>1</v>
      </c>
      <c r="I58" s="1">
        <v>2</v>
      </c>
      <c r="J58" s="1">
        <v>3</v>
      </c>
      <c r="K58" s="1">
        <v>2</v>
      </c>
      <c r="N58" s="19">
        <v>14</v>
      </c>
      <c r="O58" s="1">
        <v>1.5</v>
      </c>
      <c r="P58" s="1">
        <v>8.5</v>
      </c>
      <c r="Q58" s="1">
        <v>5.5</v>
      </c>
      <c r="R58" s="1">
        <v>8.5</v>
      </c>
      <c r="S58" s="1">
        <v>7</v>
      </c>
      <c r="T58" s="1">
        <v>1.5</v>
      </c>
      <c r="U58" s="1">
        <v>3.5</v>
      </c>
      <c r="V58" s="1">
        <v>5.5</v>
      </c>
      <c r="W58" s="1">
        <v>3.5</v>
      </c>
      <c r="Y58">
        <f t="shared" si="4"/>
        <v>45</v>
      </c>
      <c r="AE58" s="33"/>
      <c r="AF58" s="33"/>
      <c r="AG58" s="33"/>
      <c r="AH58" s="33">
        <v>2.7</v>
      </c>
      <c r="AI58" s="33">
        <v>127</v>
      </c>
      <c r="AJ58" t="s">
        <v>117</v>
      </c>
      <c r="AK58" s="33">
        <f>AI58-AI57</f>
        <v>1</v>
      </c>
    </row>
    <row r="59" spans="2:38" x14ac:dyDescent="0.25">
      <c r="B59" s="19">
        <v>15</v>
      </c>
      <c r="C59" s="1">
        <v>3</v>
      </c>
      <c r="D59" s="1">
        <v>4</v>
      </c>
      <c r="E59" s="1">
        <v>3</v>
      </c>
      <c r="F59" s="1">
        <v>3</v>
      </c>
      <c r="G59" s="1">
        <v>1</v>
      </c>
      <c r="H59" s="1">
        <v>4</v>
      </c>
      <c r="I59" s="1">
        <v>2</v>
      </c>
      <c r="J59" s="1">
        <v>5</v>
      </c>
      <c r="K59" s="1">
        <v>4</v>
      </c>
      <c r="N59" s="19">
        <v>15</v>
      </c>
      <c r="O59" s="1">
        <v>4</v>
      </c>
      <c r="P59" s="1">
        <v>7</v>
      </c>
      <c r="Q59" s="1">
        <v>4</v>
      </c>
      <c r="R59" s="1">
        <v>4</v>
      </c>
      <c r="S59" s="1">
        <v>1</v>
      </c>
      <c r="T59" s="1">
        <v>7</v>
      </c>
      <c r="U59" s="1">
        <v>2</v>
      </c>
      <c r="V59" s="1">
        <v>9</v>
      </c>
      <c r="W59" s="1">
        <v>7</v>
      </c>
      <c r="Y59">
        <f t="shared" si="4"/>
        <v>45</v>
      </c>
      <c r="AE59" s="33"/>
      <c r="AF59" s="33"/>
      <c r="AG59" s="33"/>
      <c r="AH59" s="33">
        <v>3</v>
      </c>
      <c r="AI59" s="33">
        <v>144.5</v>
      </c>
      <c r="AJ59" t="s">
        <v>118</v>
      </c>
      <c r="AK59" s="33">
        <f t="shared" ref="AK59:AK63" si="5">AI59-AI58</f>
        <v>17.5</v>
      </c>
    </row>
    <row r="60" spans="2:38" x14ac:dyDescent="0.25">
      <c r="B60" s="19">
        <v>16</v>
      </c>
      <c r="C60" s="1">
        <v>1</v>
      </c>
      <c r="D60" s="1">
        <v>5</v>
      </c>
      <c r="E60" s="1">
        <v>4</v>
      </c>
      <c r="F60" s="1">
        <v>3</v>
      </c>
      <c r="G60" s="1">
        <v>1</v>
      </c>
      <c r="H60" s="1">
        <v>1</v>
      </c>
      <c r="I60" s="1">
        <v>2</v>
      </c>
      <c r="J60" s="1">
        <v>3</v>
      </c>
      <c r="K60" s="1">
        <v>3</v>
      </c>
      <c r="N60" s="19">
        <v>16</v>
      </c>
      <c r="O60" s="1">
        <v>2</v>
      </c>
      <c r="P60" s="1">
        <v>9</v>
      </c>
      <c r="Q60" s="1">
        <v>8</v>
      </c>
      <c r="R60" s="1">
        <v>6</v>
      </c>
      <c r="S60" s="1">
        <v>2</v>
      </c>
      <c r="T60" s="1">
        <v>2</v>
      </c>
      <c r="U60" s="1">
        <v>4</v>
      </c>
      <c r="V60" s="1">
        <v>6</v>
      </c>
      <c r="W60" s="1">
        <v>6</v>
      </c>
      <c r="Y60">
        <f t="shared" si="4"/>
        <v>45</v>
      </c>
      <c r="AE60" s="33"/>
      <c r="AF60" s="33"/>
      <c r="AG60" s="33"/>
      <c r="AH60" s="33">
        <v>3.2333333333333334</v>
      </c>
      <c r="AI60" s="33">
        <v>166</v>
      </c>
      <c r="AJ60" t="s">
        <v>118</v>
      </c>
      <c r="AK60" s="33">
        <f t="shared" si="5"/>
        <v>21.5</v>
      </c>
    </row>
    <row r="61" spans="2:38" x14ac:dyDescent="0.25">
      <c r="B61" s="19">
        <v>17</v>
      </c>
      <c r="C61" s="1">
        <v>2</v>
      </c>
      <c r="D61" s="1">
        <v>3</v>
      </c>
      <c r="E61" s="1">
        <v>3</v>
      </c>
      <c r="F61" s="1">
        <v>3</v>
      </c>
      <c r="G61" s="1">
        <v>2</v>
      </c>
      <c r="H61" s="1">
        <v>5</v>
      </c>
      <c r="I61" s="1">
        <v>2</v>
      </c>
      <c r="J61" s="1">
        <v>3</v>
      </c>
      <c r="K61" s="1">
        <v>3</v>
      </c>
      <c r="N61" s="19">
        <v>17</v>
      </c>
      <c r="O61" s="1">
        <v>2</v>
      </c>
      <c r="P61" s="1">
        <v>6</v>
      </c>
      <c r="Q61" s="1">
        <v>6</v>
      </c>
      <c r="R61" s="1">
        <v>6</v>
      </c>
      <c r="S61" s="1">
        <v>2</v>
      </c>
      <c r="T61" s="1">
        <v>9</v>
      </c>
      <c r="U61" s="1">
        <v>2</v>
      </c>
      <c r="V61" s="1">
        <v>6</v>
      </c>
      <c r="W61" s="1">
        <v>6</v>
      </c>
      <c r="Y61">
        <f t="shared" si="4"/>
        <v>45</v>
      </c>
      <c r="AE61" s="33"/>
      <c r="AF61" s="33"/>
      <c r="AG61" s="33"/>
      <c r="AH61" s="33">
        <v>3.4</v>
      </c>
      <c r="AI61" s="33">
        <v>171.5</v>
      </c>
      <c r="AJ61" t="s">
        <v>119</v>
      </c>
      <c r="AK61" s="33">
        <f t="shared" si="5"/>
        <v>5.5</v>
      </c>
    </row>
    <row r="62" spans="2:38" x14ac:dyDescent="0.25">
      <c r="B62" s="19">
        <v>18</v>
      </c>
      <c r="C62" s="1">
        <v>3</v>
      </c>
      <c r="D62" s="1">
        <v>5</v>
      </c>
      <c r="E62" s="1">
        <v>3</v>
      </c>
      <c r="F62" s="1">
        <v>4</v>
      </c>
      <c r="G62" s="1">
        <v>3</v>
      </c>
      <c r="H62" s="1">
        <v>1</v>
      </c>
      <c r="I62" s="1">
        <v>1</v>
      </c>
      <c r="J62" s="1">
        <v>5</v>
      </c>
      <c r="K62" s="1">
        <v>4</v>
      </c>
      <c r="N62" s="19">
        <v>18</v>
      </c>
      <c r="O62" s="1">
        <v>4</v>
      </c>
      <c r="P62" s="1">
        <v>8.5</v>
      </c>
      <c r="Q62" s="1">
        <v>4</v>
      </c>
      <c r="R62" s="1">
        <v>6.5</v>
      </c>
      <c r="S62" s="1">
        <v>4</v>
      </c>
      <c r="T62" s="1">
        <v>1.5</v>
      </c>
      <c r="U62" s="1">
        <v>1.5</v>
      </c>
      <c r="V62" s="1">
        <v>8.5</v>
      </c>
      <c r="W62" s="1">
        <v>6.5</v>
      </c>
      <c r="Y62">
        <f t="shared" si="4"/>
        <v>45</v>
      </c>
      <c r="AE62" s="33"/>
      <c r="AF62" s="33"/>
      <c r="AG62" s="33"/>
      <c r="AH62" s="33">
        <v>3.4666666666666668</v>
      </c>
      <c r="AI62" s="33">
        <v>172.5</v>
      </c>
      <c r="AJ62" t="s">
        <v>119</v>
      </c>
      <c r="AK62" s="33">
        <f t="shared" si="5"/>
        <v>1</v>
      </c>
    </row>
    <row r="63" spans="2:38" x14ac:dyDescent="0.25">
      <c r="B63" s="19">
        <v>19</v>
      </c>
      <c r="C63" s="1">
        <v>4</v>
      </c>
      <c r="D63" s="1">
        <v>4</v>
      </c>
      <c r="E63" s="1">
        <v>4</v>
      </c>
      <c r="F63" s="1">
        <v>3</v>
      </c>
      <c r="G63" s="1">
        <v>2</v>
      </c>
      <c r="H63" s="1">
        <v>2</v>
      </c>
      <c r="I63" s="1">
        <v>1</v>
      </c>
      <c r="J63" s="1">
        <v>4</v>
      </c>
      <c r="K63" s="1">
        <v>2</v>
      </c>
      <c r="N63" s="19">
        <v>19</v>
      </c>
      <c r="O63" s="1">
        <v>7.5</v>
      </c>
      <c r="P63" s="1">
        <v>7.5</v>
      </c>
      <c r="Q63" s="1">
        <v>7.5</v>
      </c>
      <c r="R63" s="1">
        <v>5</v>
      </c>
      <c r="S63" s="1">
        <v>3</v>
      </c>
      <c r="T63" s="1">
        <v>3</v>
      </c>
      <c r="U63" s="1">
        <v>1</v>
      </c>
      <c r="V63" s="1">
        <v>7.5</v>
      </c>
      <c r="W63" s="1">
        <v>3</v>
      </c>
      <c r="Y63">
        <f t="shared" si="4"/>
        <v>45</v>
      </c>
      <c r="AE63" s="33"/>
      <c r="AF63" s="33"/>
      <c r="AG63" s="33"/>
      <c r="AH63" s="33">
        <v>3.9333333333333331</v>
      </c>
      <c r="AI63" s="33">
        <v>204.5</v>
      </c>
      <c r="AJ63" t="s">
        <v>120</v>
      </c>
      <c r="AK63" s="33">
        <f t="shared" si="5"/>
        <v>32</v>
      </c>
    </row>
    <row r="64" spans="2:38" x14ac:dyDescent="0.25">
      <c r="B64" s="19">
        <v>20</v>
      </c>
      <c r="C64" s="1">
        <v>2</v>
      </c>
      <c r="D64" s="1">
        <v>3</v>
      </c>
      <c r="E64" s="1">
        <v>4</v>
      </c>
      <c r="F64" s="1">
        <v>3</v>
      </c>
      <c r="G64" s="1">
        <v>3</v>
      </c>
      <c r="H64" s="1">
        <v>1</v>
      </c>
      <c r="I64" s="1">
        <v>2</v>
      </c>
      <c r="J64" s="1">
        <v>5</v>
      </c>
      <c r="K64" s="1">
        <v>2</v>
      </c>
      <c r="N64" s="19">
        <v>20</v>
      </c>
      <c r="O64" s="1">
        <v>3</v>
      </c>
      <c r="P64" s="1">
        <v>6</v>
      </c>
      <c r="Q64" s="1">
        <v>8</v>
      </c>
      <c r="R64" s="1">
        <v>6</v>
      </c>
      <c r="S64" s="1">
        <v>6</v>
      </c>
      <c r="T64" s="1">
        <v>1</v>
      </c>
      <c r="U64" s="1">
        <v>3</v>
      </c>
      <c r="V64" s="1">
        <v>9</v>
      </c>
      <c r="W64" s="1">
        <v>3</v>
      </c>
      <c r="Y64">
        <f t="shared" si="4"/>
        <v>45</v>
      </c>
      <c r="AG64" s="33"/>
      <c r="AH64" s="33"/>
    </row>
    <row r="65" spans="2:39" x14ac:dyDescent="0.25">
      <c r="B65" s="19">
        <v>21</v>
      </c>
      <c r="C65" s="1">
        <v>3</v>
      </c>
      <c r="D65" s="1">
        <v>5</v>
      </c>
      <c r="E65" s="1">
        <v>4</v>
      </c>
      <c r="F65" s="1">
        <v>2</v>
      </c>
      <c r="G65" s="1">
        <v>2</v>
      </c>
      <c r="H65" s="1">
        <v>1</v>
      </c>
      <c r="I65" s="1">
        <v>3</v>
      </c>
      <c r="J65" s="1">
        <v>1</v>
      </c>
      <c r="K65" s="1">
        <v>3</v>
      </c>
      <c r="N65" s="19">
        <v>21</v>
      </c>
      <c r="O65" s="1">
        <v>6</v>
      </c>
      <c r="P65" s="1">
        <v>9</v>
      </c>
      <c r="Q65" s="1">
        <v>8</v>
      </c>
      <c r="R65" s="1">
        <v>3.5</v>
      </c>
      <c r="S65" s="1">
        <v>3.5</v>
      </c>
      <c r="T65" s="1">
        <v>1.5</v>
      </c>
      <c r="U65" s="1">
        <v>6</v>
      </c>
      <c r="V65" s="1">
        <v>1.5</v>
      </c>
      <c r="W65" s="1">
        <v>6</v>
      </c>
      <c r="Y65">
        <f t="shared" si="4"/>
        <v>45</v>
      </c>
      <c r="AE65" s="33"/>
      <c r="AF65" s="33"/>
      <c r="AG65" s="33"/>
      <c r="AH65" s="33"/>
      <c r="AI65" s="33"/>
      <c r="AJ65" s="33"/>
      <c r="AK65" s="33"/>
      <c r="AL65" s="33"/>
      <c r="AM65" s="33"/>
    </row>
    <row r="66" spans="2:39" x14ac:dyDescent="0.25">
      <c r="B66" s="19">
        <v>22</v>
      </c>
      <c r="C66" s="1">
        <v>2</v>
      </c>
      <c r="D66" s="1">
        <v>3</v>
      </c>
      <c r="E66" s="1">
        <v>2</v>
      </c>
      <c r="F66" s="1">
        <v>2</v>
      </c>
      <c r="G66" s="1">
        <v>3</v>
      </c>
      <c r="H66" s="1">
        <v>2</v>
      </c>
      <c r="I66" s="1">
        <v>2</v>
      </c>
      <c r="J66" s="1">
        <v>5</v>
      </c>
      <c r="K66" s="1">
        <v>2</v>
      </c>
      <c r="N66" s="19">
        <v>22</v>
      </c>
      <c r="O66" s="1">
        <v>3.5</v>
      </c>
      <c r="P66" s="1">
        <v>7.5</v>
      </c>
      <c r="Q66" s="1">
        <v>3.5</v>
      </c>
      <c r="R66" s="1">
        <v>3.5</v>
      </c>
      <c r="S66" s="1">
        <v>7.5</v>
      </c>
      <c r="T66" s="1">
        <v>3.5</v>
      </c>
      <c r="U66" s="1">
        <v>3.5</v>
      </c>
      <c r="V66" s="1">
        <v>9</v>
      </c>
      <c r="W66" s="1">
        <v>3.5</v>
      </c>
      <c r="Y66">
        <f t="shared" si="4"/>
        <v>45</v>
      </c>
    </row>
    <row r="67" spans="2:39" x14ac:dyDescent="0.25">
      <c r="B67" s="19">
        <v>23</v>
      </c>
      <c r="C67" s="1">
        <v>1</v>
      </c>
      <c r="D67" s="1">
        <v>5</v>
      </c>
      <c r="E67" s="1">
        <v>3</v>
      </c>
      <c r="F67" s="1">
        <v>2</v>
      </c>
      <c r="G67" s="1">
        <v>3</v>
      </c>
      <c r="H67" s="1">
        <v>5</v>
      </c>
      <c r="I67" s="1">
        <v>3</v>
      </c>
      <c r="J67" s="1">
        <v>4</v>
      </c>
      <c r="K67" s="1">
        <v>4</v>
      </c>
      <c r="N67" s="19">
        <v>23</v>
      </c>
      <c r="O67" s="1">
        <v>1</v>
      </c>
      <c r="P67" s="1">
        <v>8.5</v>
      </c>
      <c r="Q67" s="1">
        <v>4</v>
      </c>
      <c r="R67" s="1">
        <v>2</v>
      </c>
      <c r="S67" s="1">
        <v>4</v>
      </c>
      <c r="T67" s="1">
        <v>8.5</v>
      </c>
      <c r="U67" s="1">
        <v>4</v>
      </c>
      <c r="V67" s="1">
        <v>6.5</v>
      </c>
      <c r="W67" s="1">
        <v>6.5</v>
      </c>
      <c r="Y67">
        <f t="shared" si="4"/>
        <v>45</v>
      </c>
    </row>
    <row r="68" spans="2:39" x14ac:dyDescent="0.25">
      <c r="B68" s="19">
        <v>24</v>
      </c>
      <c r="C68" s="1">
        <v>2</v>
      </c>
      <c r="D68" s="1">
        <v>5</v>
      </c>
      <c r="E68" s="1">
        <v>3</v>
      </c>
      <c r="F68" s="1">
        <v>2</v>
      </c>
      <c r="G68" s="1">
        <v>2</v>
      </c>
      <c r="H68" s="1">
        <v>3</v>
      </c>
      <c r="I68" s="1">
        <v>3</v>
      </c>
      <c r="J68" s="1">
        <v>2</v>
      </c>
      <c r="K68" s="1">
        <v>5</v>
      </c>
      <c r="N68" s="19">
        <v>24</v>
      </c>
      <c r="O68" s="1">
        <v>2.5</v>
      </c>
      <c r="P68" s="1">
        <v>8.5</v>
      </c>
      <c r="Q68" s="1">
        <v>6</v>
      </c>
      <c r="R68" s="1">
        <v>2.5</v>
      </c>
      <c r="S68" s="1">
        <v>2.5</v>
      </c>
      <c r="T68" s="1">
        <v>6</v>
      </c>
      <c r="U68" s="1">
        <v>6</v>
      </c>
      <c r="V68" s="1">
        <v>2.5</v>
      </c>
      <c r="W68" s="1">
        <v>8.5</v>
      </c>
      <c r="Y68">
        <f t="shared" si="4"/>
        <v>45</v>
      </c>
    </row>
    <row r="69" spans="2:39" x14ac:dyDescent="0.25">
      <c r="B69" s="19">
        <v>25</v>
      </c>
      <c r="C69" s="1">
        <v>4</v>
      </c>
      <c r="D69" s="1">
        <v>4</v>
      </c>
      <c r="E69" s="1">
        <v>3</v>
      </c>
      <c r="F69" s="1">
        <v>4</v>
      </c>
      <c r="G69" s="1">
        <v>3</v>
      </c>
      <c r="H69" s="1">
        <v>5</v>
      </c>
      <c r="I69" s="1">
        <v>4</v>
      </c>
      <c r="J69" s="1">
        <v>3</v>
      </c>
      <c r="K69" s="1">
        <v>5</v>
      </c>
      <c r="N69" s="19">
        <v>25</v>
      </c>
      <c r="O69" s="1">
        <v>5.5</v>
      </c>
      <c r="P69" s="1">
        <v>5.5</v>
      </c>
      <c r="Q69" s="1">
        <v>2</v>
      </c>
      <c r="R69" s="1">
        <v>5.5</v>
      </c>
      <c r="S69" s="1">
        <v>2</v>
      </c>
      <c r="T69" s="1">
        <v>8.5</v>
      </c>
      <c r="U69" s="1">
        <v>5.5</v>
      </c>
      <c r="V69" s="1">
        <v>2</v>
      </c>
      <c r="W69" s="1">
        <v>8.5</v>
      </c>
      <c r="Y69">
        <f t="shared" si="4"/>
        <v>45</v>
      </c>
    </row>
    <row r="70" spans="2:39" x14ac:dyDescent="0.25">
      <c r="B70" s="19">
        <v>26</v>
      </c>
      <c r="C70" s="1">
        <v>3</v>
      </c>
      <c r="D70" s="1">
        <v>3</v>
      </c>
      <c r="E70" s="1">
        <v>4</v>
      </c>
      <c r="F70" s="1">
        <v>1</v>
      </c>
      <c r="G70" s="1">
        <v>3</v>
      </c>
      <c r="H70" s="1">
        <v>3</v>
      </c>
      <c r="I70" s="1">
        <v>2</v>
      </c>
      <c r="J70" s="1">
        <v>4</v>
      </c>
      <c r="K70" s="1">
        <v>1</v>
      </c>
      <c r="N70" s="19">
        <v>26</v>
      </c>
      <c r="O70" s="1">
        <v>5.5</v>
      </c>
      <c r="P70" s="1">
        <v>5.5</v>
      </c>
      <c r="Q70" s="1">
        <v>8.5</v>
      </c>
      <c r="R70" s="1">
        <v>1.5</v>
      </c>
      <c r="S70" s="1">
        <v>5.5</v>
      </c>
      <c r="T70" s="1">
        <v>5.5</v>
      </c>
      <c r="U70" s="1">
        <v>3</v>
      </c>
      <c r="V70" s="1">
        <v>8.5</v>
      </c>
      <c r="W70" s="1">
        <v>1.5</v>
      </c>
      <c r="Y70">
        <f t="shared" si="4"/>
        <v>45</v>
      </c>
    </row>
    <row r="71" spans="2:39" x14ac:dyDescent="0.25">
      <c r="B71" s="19">
        <v>27</v>
      </c>
      <c r="C71" s="1">
        <v>2</v>
      </c>
      <c r="D71" s="1">
        <v>3</v>
      </c>
      <c r="E71" s="1">
        <v>3</v>
      </c>
      <c r="F71" s="1">
        <v>1</v>
      </c>
      <c r="G71" s="1">
        <v>2</v>
      </c>
      <c r="H71" s="1">
        <v>5</v>
      </c>
      <c r="I71" s="1">
        <v>4</v>
      </c>
      <c r="J71" s="1">
        <v>3</v>
      </c>
      <c r="K71" s="1">
        <v>3</v>
      </c>
      <c r="N71" s="19">
        <v>27</v>
      </c>
      <c r="O71" s="1">
        <v>2.5</v>
      </c>
      <c r="P71" s="1">
        <v>5.5</v>
      </c>
      <c r="Q71" s="1">
        <v>5.5</v>
      </c>
      <c r="R71" s="1">
        <v>1</v>
      </c>
      <c r="S71" s="1">
        <v>2.5</v>
      </c>
      <c r="T71" s="1">
        <v>9</v>
      </c>
      <c r="U71" s="1">
        <v>8</v>
      </c>
      <c r="V71" s="1">
        <v>5.5</v>
      </c>
      <c r="W71" s="1">
        <v>5.5</v>
      </c>
      <c r="Y71">
        <f t="shared" si="4"/>
        <v>45</v>
      </c>
    </row>
    <row r="72" spans="2:39" x14ac:dyDescent="0.25">
      <c r="B72" s="19">
        <v>28</v>
      </c>
      <c r="C72" s="1">
        <v>2</v>
      </c>
      <c r="D72" s="1">
        <v>4</v>
      </c>
      <c r="E72" s="1">
        <v>4</v>
      </c>
      <c r="F72" s="1">
        <v>2</v>
      </c>
      <c r="G72" s="1">
        <v>1</v>
      </c>
      <c r="H72" s="1">
        <v>2</v>
      </c>
      <c r="I72" s="1">
        <v>3</v>
      </c>
      <c r="J72" s="1">
        <v>2</v>
      </c>
      <c r="K72" s="1">
        <v>2</v>
      </c>
      <c r="N72" s="19">
        <v>28</v>
      </c>
      <c r="O72" s="1">
        <v>4</v>
      </c>
      <c r="P72" s="1">
        <v>8.5</v>
      </c>
      <c r="Q72" s="1">
        <v>8.5</v>
      </c>
      <c r="R72" s="1">
        <v>4</v>
      </c>
      <c r="S72" s="1">
        <v>1</v>
      </c>
      <c r="T72" s="1">
        <v>4</v>
      </c>
      <c r="U72" s="1">
        <v>7</v>
      </c>
      <c r="V72" s="1">
        <v>4</v>
      </c>
      <c r="W72" s="1">
        <v>4</v>
      </c>
      <c r="Y72">
        <f t="shared" si="4"/>
        <v>45</v>
      </c>
    </row>
    <row r="73" spans="2:39" x14ac:dyDescent="0.25">
      <c r="B73" s="19">
        <v>29</v>
      </c>
      <c r="C73" s="1">
        <v>4</v>
      </c>
      <c r="D73" s="1">
        <v>5</v>
      </c>
      <c r="E73" s="1">
        <v>2</v>
      </c>
      <c r="F73" s="1">
        <v>4</v>
      </c>
      <c r="G73" s="1">
        <v>2</v>
      </c>
      <c r="H73" s="1">
        <v>1</v>
      </c>
      <c r="I73" s="1">
        <v>2</v>
      </c>
      <c r="J73" s="1">
        <v>4</v>
      </c>
      <c r="K73" s="1">
        <v>3</v>
      </c>
      <c r="N73" s="19">
        <v>29</v>
      </c>
      <c r="O73" s="1">
        <v>7</v>
      </c>
      <c r="P73" s="1">
        <v>9</v>
      </c>
      <c r="Q73" s="1">
        <v>3</v>
      </c>
      <c r="R73" s="1">
        <v>7</v>
      </c>
      <c r="S73" s="1">
        <v>3</v>
      </c>
      <c r="T73" s="1">
        <v>1</v>
      </c>
      <c r="U73" s="1">
        <v>3</v>
      </c>
      <c r="V73" s="1">
        <v>7</v>
      </c>
      <c r="W73" s="1">
        <v>5</v>
      </c>
      <c r="Y73">
        <f t="shared" si="4"/>
        <v>45</v>
      </c>
    </row>
    <row r="74" spans="2:39" x14ac:dyDescent="0.25">
      <c r="B74" s="19">
        <v>30</v>
      </c>
      <c r="C74" s="1">
        <v>3</v>
      </c>
      <c r="D74" s="1">
        <v>4</v>
      </c>
      <c r="E74" s="1">
        <v>4</v>
      </c>
      <c r="F74" s="1">
        <v>5</v>
      </c>
      <c r="G74" s="1">
        <v>3</v>
      </c>
      <c r="H74" s="1">
        <v>4</v>
      </c>
      <c r="I74" s="1">
        <v>3</v>
      </c>
      <c r="J74" s="1">
        <v>3</v>
      </c>
      <c r="K74" s="1">
        <v>1</v>
      </c>
      <c r="N74" s="19">
        <v>30</v>
      </c>
      <c r="O74" s="1">
        <v>3.5</v>
      </c>
      <c r="P74" s="1">
        <v>7</v>
      </c>
      <c r="Q74" s="1">
        <v>7</v>
      </c>
      <c r="R74" s="1">
        <v>9</v>
      </c>
      <c r="S74" s="1">
        <v>3.5</v>
      </c>
      <c r="T74" s="1">
        <v>7</v>
      </c>
      <c r="U74" s="1">
        <v>3.5</v>
      </c>
      <c r="V74" s="1">
        <v>3.5</v>
      </c>
      <c r="W74" s="1">
        <v>1</v>
      </c>
      <c r="Y74">
        <f t="shared" si="4"/>
        <v>45</v>
      </c>
    </row>
    <row r="75" spans="2:39" x14ac:dyDescent="0.25">
      <c r="N75" s="1" t="s">
        <v>17</v>
      </c>
      <c r="O75" s="1">
        <f>SUM(O45:O74)</f>
        <v>115</v>
      </c>
      <c r="P75" s="1">
        <f>SUM(P45:P74)</f>
        <v>204.5</v>
      </c>
      <c r="Q75" s="1">
        <f t="shared" ref="Q75:W75" si="6">SUM(Q45:Q74)</f>
        <v>171.5</v>
      </c>
      <c r="R75" s="1">
        <f t="shared" si="6"/>
        <v>144.5</v>
      </c>
      <c r="S75" s="1">
        <f t="shared" si="6"/>
        <v>123</v>
      </c>
      <c r="T75" s="1">
        <f t="shared" si="6"/>
        <v>126</v>
      </c>
      <c r="U75" s="1">
        <f t="shared" si="6"/>
        <v>127</v>
      </c>
      <c r="V75" s="1">
        <f t="shared" si="6"/>
        <v>172.5</v>
      </c>
      <c r="W75" s="1">
        <f t="shared" si="6"/>
        <v>166</v>
      </c>
    </row>
    <row r="76" spans="2:39" x14ac:dyDescent="0.25">
      <c r="N76" s="1" t="s">
        <v>103</v>
      </c>
      <c r="O76" s="1">
        <f>AVERAGE(O45:O74)</f>
        <v>3.8333333333333335</v>
      </c>
      <c r="P76" s="1">
        <f t="shared" ref="P76:W76" si="7">AVERAGE(P45:P74)</f>
        <v>6.8166666666666664</v>
      </c>
      <c r="Q76" s="1">
        <f t="shared" si="7"/>
        <v>5.7166666666666668</v>
      </c>
      <c r="R76" s="1">
        <f t="shared" si="7"/>
        <v>4.8166666666666664</v>
      </c>
      <c r="S76" s="1">
        <f t="shared" si="7"/>
        <v>4.0999999999999996</v>
      </c>
      <c r="T76" s="1">
        <f t="shared" si="7"/>
        <v>4.2</v>
      </c>
      <c r="U76" s="1">
        <f t="shared" si="7"/>
        <v>4.2333333333333334</v>
      </c>
      <c r="V76" s="1">
        <f t="shared" si="7"/>
        <v>5.75</v>
      </c>
      <c r="W76" s="1">
        <f t="shared" si="7"/>
        <v>5.5333333333333332</v>
      </c>
    </row>
    <row r="77" spans="2:39" x14ac:dyDescent="0.25">
      <c r="N77" s="1" t="s">
        <v>104</v>
      </c>
      <c r="O77" s="1">
        <f>O75^2</f>
        <v>13225</v>
      </c>
      <c r="P77" s="1">
        <f t="shared" ref="P77:W77" si="8">P75^2</f>
        <v>41820.25</v>
      </c>
      <c r="Q77" s="1">
        <f t="shared" si="8"/>
        <v>29412.25</v>
      </c>
      <c r="R77" s="1">
        <f t="shared" si="8"/>
        <v>20880.25</v>
      </c>
      <c r="S77" s="1">
        <f t="shared" si="8"/>
        <v>15129</v>
      </c>
      <c r="T77" s="1">
        <f t="shared" si="8"/>
        <v>15876</v>
      </c>
      <c r="U77" s="1">
        <f t="shared" si="8"/>
        <v>16129</v>
      </c>
      <c r="V77" s="1">
        <f t="shared" si="8"/>
        <v>29756.25</v>
      </c>
      <c r="W77" s="1">
        <f t="shared" si="8"/>
        <v>27556</v>
      </c>
    </row>
    <row r="79" spans="2:39" x14ac:dyDescent="0.25">
      <c r="B79" t="s">
        <v>38</v>
      </c>
    </row>
    <row r="81" spans="2:39" ht="15.75" x14ac:dyDescent="0.25">
      <c r="B81" s="62" t="s">
        <v>35</v>
      </c>
      <c r="C81" s="63" t="s">
        <v>36</v>
      </c>
      <c r="D81" s="63"/>
      <c r="E81" s="63"/>
      <c r="F81" s="63"/>
      <c r="G81" s="63"/>
      <c r="H81" s="63"/>
      <c r="I81" s="63"/>
      <c r="J81" s="63"/>
      <c r="K81" s="63"/>
      <c r="N81" s="110" t="s">
        <v>35</v>
      </c>
      <c r="O81" s="112" t="s">
        <v>36</v>
      </c>
      <c r="P81" s="113"/>
      <c r="Q81" s="113"/>
      <c r="R81" s="113"/>
      <c r="S81" s="113"/>
      <c r="T81" s="113"/>
      <c r="U81" s="113"/>
      <c r="V81" s="113"/>
      <c r="W81" s="114"/>
      <c r="AE81" s="55" t="s">
        <v>105</v>
      </c>
      <c r="AF81">
        <f>(12/((30*9)*(9+1))*SUMSQ(O113:W113)-3*(30)*(9+1))</f>
        <v>40.168888888888887</v>
      </c>
      <c r="AI81" s="64" t="s">
        <v>1</v>
      </c>
      <c r="AJ81" s="64" t="s">
        <v>103</v>
      </c>
      <c r="AK81" s="64" t="s">
        <v>106</v>
      </c>
      <c r="AM81" t="s">
        <v>107</v>
      </c>
    </row>
    <row r="82" spans="2:39" ht="15.75" x14ac:dyDescent="0.25">
      <c r="B82" s="62"/>
      <c r="C82" s="69">
        <v>102</v>
      </c>
      <c r="D82" s="69">
        <v>113</v>
      </c>
      <c r="E82" s="69">
        <v>124</v>
      </c>
      <c r="F82" s="69">
        <v>135</v>
      </c>
      <c r="G82" s="69">
        <v>146</v>
      </c>
      <c r="H82" s="69">
        <v>107</v>
      </c>
      <c r="I82" s="69">
        <v>108</v>
      </c>
      <c r="J82" s="69">
        <v>129</v>
      </c>
      <c r="K82" s="69">
        <v>100</v>
      </c>
      <c r="N82" s="111"/>
      <c r="O82" s="19">
        <v>102</v>
      </c>
      <c r="P82" s="19">
        <v>113</v>
      </c>
      <c r="Q82" s="19">
        <v>124</v>
      </c>
      <c r="R82" s="19">
        <v>135</v>
      </c>
      <c r="S82" s="19">
        <v>146</v>
      </c>
      <c r="T82" s="19">
        <v>107</v>
      </c>
      <c r="U82" s="19">
        <v>108</v>
      </c>
      <c r="V82" s="19">
        <v>129</v>
      </c>
      <c r="W82" s="19">
        <v>100</v>
      </c>
      <c r="AE82" s="55" t="s">
        <v>108</v>
      </c>
      <c r="AF82">
        <f>_xlfn.CHISQ.INV.RT(0.05,8)</f>
        <v>15.507313055865453</v>
      </c>
      <c r="AI82" s="57" t="s">
        <v>2</v>
      </c>
      <c r="AJ82" s="61">
        <f>AVERAGE(C83:C112)</f>
        <v>2.2999999999999998</v>
      </c>
      <c r="AK82" s="61">
        <f>SUM(O83:O112)</f>
        <v>108</v>
      </c>
      <c r="AL82" t="s">
        <v>116</v>
      </c>
      <c r="AM82" t="s">
        <v>109</v>
      </c>
    </row>
    <row r="83" spans="2:39" ht="15.75" x14ac:dyDescent="0.25">
      <c r="B83" s="69">
        <v>1</v>
      </c>
      <c r="C83" s="67">
        <v>2</v>
      </c>
      <c r="D83" s="67">
        <v>3</v>
      </c>
      <c r="E83" s="67">
        <v>4</v>
      </c>
      <c r="F83" s="67">
        <v>4</v>
      </c>
      <c r="G83" s="67">
        <v>4</v>
      </c>
      <c r="H83" s="67">
        <v>2</v>
      </c>
      <c r="I83" s="67">
        <v>4</v>
      </c>
      <c r="J83" s="67">
        <v>2</v>
      </c>
      <c r="K83" s="67">
        <v>5</v>
      </c>
      <c r="N83" s="19">
        <v>1</v>
      </c>
      <c r="O83" s="1">
        <v>2</v>
      </c>
      <c r="P83" s="1">
        <v>4</v>
      </c>
      <c r="Q83" s="1">
        <v>6.5</v>
      </c>
      <c r="R83" s="1">
        <v>6.5</v>
      </c>
      <c r="S83" s="1">
        <v>6.5</v>
      </c>
      <c r="T83" s="1">
        <v>2</v>
      </c>
      <c r="U83" s="1">
        <v>6.5</v>
      </c>
      <c r="V83" s="1">
        <v>2</v>
      </c>
      <c r="W83" s="1">
        <v>9</v>
      </c>
      <c r="Y83">
        <f>SUM(O83:W83)</f>
        <v>45</v>
      </c>
      <c r="AE83" t="s">
        <v>110</v>
      </c>
      <c r="AF83" t="s">
        <v>115</v>
      </c>
      <c r="AI83" s="57" t="s">
        <v>3</v>
      </c>
      <c r="AJ83" s="61">
        <f>AVERAGE(D83:D112)</f>
        <v>3.4</v>
      </c>
      <c r="AK83" s="61">
        <f>SUM(P83:P112)</f>
        <v>175.5</v>
      </c>
      <c r="AL83" t="s">
        <v>118</v>
      </c>
    </row>
    <row r="84" spans="2:39" ht="15.75" x14ac:dyDescent="0.25">
      <c r="B84" s="69">
        <v>2</v>
      </c>
      <c r="C84" s="67">
        <v>4</v>
      </c>
      <c r="D84" s="67">
        <v>5</v>
      </c>
      <c r="E84" s="67">
        <v>5</v>
      </c>
      <c r="F84" s="67">
        <v>4</v>
      </c>
      <c r="G84" s="67">
        <v>4</v>
      </c>
      <c r="H84" s="67">
        <v>3</v>
      </c>
      <c r="I84" s="67">
        <v>2</v>
      </c>
      <c r="J84" s="67">
        <v>2</v>
      </c>
      <c r="K84" s="67">
        <v>2</v>
      </c>
      <c r="N84" s="19">
        <v>2</v>
      </c>
      <c r="O84" s="1">
        <v>6</v>
      </c>
      <c r="P84" s="1">
        <v>8.5</v>
      </c>
      <c r="Q84" s="1">
        <v>8.5</v>
      </c>
      <c r="R84" s="1">
        <v>6</v>
      </c>
      <c r="S84" s="1">
        <v>6</v>
      </c>
      <c r="T84" s="1">
        <v>4</v>
      </c>
      <c r="U84" s="1">
        <v>2</v>
      </c>
      <c r="V84" s="1">
        <v>2</v>
      </c>
      <c r="W84" s="1">
        <v>2</v>
      </c>
      <c r="Y84">
        <f t="shared" ref="Y84:Y112" si="9">SUM(O84:W84)</f>
        <v>45</v>
      </c>
      <c r="AE84" t="s">
        <v>111</v>
      </c>
      <c r="AF84" t="s">
        <v>114</v>
      </c>
      <c r="AG84">
        <v>15.51</v>
      </c>
      <c r="AI84" s="57" t="s">
        <v>4</v>
      </c>
      <c r="AJ84" s="61">
        <f>AVERAGE(E83:E112)</f>
        <v>3.1666666666666665</v>
      </c>
      <c r="AK84" s="61">
        <f>SUM(Q83:Q112)</f>
        <v>165.5</v>
      </c>
      <c r="AL84" t="s">
        <v>117</v>
      </c>
    </row>
    <row r="85" spans="2:39" ht="15.75" x14ac:dyDescent="0.25">
      <c r="B85" s="69">
        <v>3</v>
      </c>
      <c r="C85" s="67">
        <v>3</v>
      </c>
      <c r="D85" s="67">
        <v>3</v>
      </c>
      <c r="E85" s="67">
        <v>2</v>
      </c>
      <c r="F85" s="67">
        <v>3</v>
      </c>
      <c r="G85" s="67">
        <v>2</v>
      </c>
      <c r="H85" s="67">
        <v>2</v>
      </c>
      <c r="I85" s="67">
        <v>2</v>
      </c>
      <c r="J85" s="67">
        <v>2</v>
      </c>
      <c r="K85" s="67">
        <v>2</v>
      </c>
      <c r="N85" s="19">
        <v>3</v>
      </c>
      <c r="O85" s="1">
        <v>8</v>
      </c>
      <c r="P85" s="1">
        <v>8</v>
      </c>
      <c r="Q85" s="1">
        <v>3.5</v>
      </c>
      <c r="R85" s="1">
        <v>8</v>
      </c>
      <c r="S85" s="1">
        <v>3.5</v>
      </c>
      <c r="T85" s="1">
        <v>3.5</v>
      </c>
      <c r="U85" s="1">
        <v>3.5</v>
      </c>
      <c r="V85" s="1">
        <v>3.5</v>
      </c>
      <c r="W85" s="1">
        <v>3.5</v>
      </c>
      <c r="Y85">
        <f t="shared" si="9"/>
        <v>45</v>
      </c>
      <c r="AI85" s="57" t="s">
        <v>5</v>
      </c>
      <c r="AJ85" s="61">
        <f>AVERAGE(F83:F112)</f>
        <v>3.5666666666666669</v>
      </c>
      <c r="AK85" s="61">
        <f>SUM(R83:R112)</f>
        <v>190</v>
      </c>
      <c r="AL85" t="s">
        <v>119</v>
      </c>
    </row>
    <row r="86" spans="2:39" ht="15.75" x14ac:dyDescent="0.25">
      <c r="B86" s="69">
        <v>4</v>
      </c>
      <c r="C86" s="67">
        <v>4</v>
      </c>
      <c r="D86" s="67">
        <v>5</v>
      </c>
      <c r="E86" s="67">
        <v>5</v>
      </c>
      <c r="F86" s="67">
        <v>5</v>
      </c>
      <c r="G86" s="67">
        <v>5</v>
      </c>
      <c r="H86" s="67">
        <v>5</v>
      </c>
      <c r="I86" s="67">
        <v>5</v>
      </c>
      <c r="J86" s="67">
        <v>3</v>
      </c>
      <c r="K86" s="67">
        <v>4</v>
      </c>
      <c r="N86" s="19">
        <v>4</v>
      </c>
      <c r="O86" s="1">
        <v>2.5</v>
      </c>
      <c r="P86" s="1">
        <v>6.5</v>
      </c>
      <c r="Q86" s="1">
        <v>6.5</v>
      </c>
      <c r="R86" s="1">
        <v>6.5</v>
      </c>
      <c r="S86" s="1">
        <v>6.5</v>
      </c>
      <c r="T86" s="1">
        <v>6.5</v>
      </c>
      <c r="U86" s="1">
        <v>6.5</v>
      </c>
      <c r="V86" s="1">
        <v>1</v>
      </c>
      <c r="W86" s="1">
        <v>2.5</v>
      </c>
      <c r="Y86">
        <f t="shared" si="9"/>
        <v>45</v>
      </c>
      <c r="AI86" s="57" t="s">
        <v>6</v>
      </c>
      <c r="AJ86" s="61">
        <f>AVERAGE(G83:G112)</f>
        <v>3.4666666666666668</v>
      </c>
      <c r="AK86" s="61">
        <f>SUM(S83:S112)</f>
        <v>176</v>
      </c>
      <c r="AL86" t="s">
        <v>118</v>
      </c>
    </row>
    <row r="87" spans="2:39" ht="15.75" x14ac:dyDescent="0.25">
      <c r="B87" s="69">
        <v>5</v>
      </c>
      <c r="C87" s="67">
        <v>4</v>
      </c>
      <c r="D87" s="67">
        <v>4</v>
      </c>
      <c r="E87" s="67">
        <v>3</v>
      </c>
      <c r="F87" s="67">
        <v>3</v>
      </c>
      <c r="G87" s="67">
        <v>3</v>
      </c>
      <c r="H87" s="67">
        <v>3</v>
      </c>
      <c r="I87" s="67">
        <v>3</v>
      </c>
      <c r="J87" s="67">
        <v>3</v>
      </c>
      <c r="K87" s="67">
        <v>3</v>
      </c>
      <c r="N87" s="19">
        <v>5</v>
      </c>
      <c r="O87" s="1">
        <v>8.5</v>
      </c>
      <c r="P87" s="1">
        <v>8.5</v>
      </c>
      <c r="Q87" s="1">
        <v>4</v>
      </c>
      <c r="R87" s="1">
        <v>4</v>
      </c>
      <c r="S87" s="1">
        <v>4</v>
      </c>
      <c r="T87" s="1">
        <v>4</v>
      </c>
      <c r="U87" s="1">
        <v>4</v>
      </c>
      <c r="V87" s="1">
        <v>4</v>
      </c>
      <c r="W87" s="1">
        <v>4</v>
      </c>
      <c r="Y87">
        <f t="shared" si="9"/>
        <v>45</v>
      </c>
      <c r="AI87" s="57" t="s">
        <v>7</v>
      </c>
      <c r="AJ87" s="61">
        <f>AVERAGE(H83:H112)</f>
        <v>3.4333333333333331</v>
      </c>
      <c r="AK87" s="61">
        <f>SUM(T83:T112)</f>
        <v>174</v>
      </c>
      <c r="AL87" t="s">
        <v>118</v>
      </c>
    </row>
    <row r="88" spans="2:39" ht="15.75" x14ac:dyDescent="0.25">
      <c r="B88" s="69">
        <v>6</v>
      </c>
      <c r="C88" s="67">
        <v>3</v>
      </c>
      <c r="D88" s="67">
        <v>2</v>
      </c>
      <c r="E88" s="67">
        <v>3</v>
      </c>
      <c r="F88" s="67">
        <v>3</v>
      </c>
      <c r="G88" s="67">
        <v>2</v>
      </c>
      <c r="H88" s="67">
        <v>5</v>
      </c>
      <c r="I88" s="67">
        <v>2</v>
      </c>
      <c r="J88" s="67">
        <v>2</v>
      </c>
      <c r="K88" s="67">
        <v>3</v>
      </c>
      <c r="N88" s="19">
        <v>6</v>
      </c>
      <c r="O88" s="1">
        <v>6.5</v>
      </c>
      <c r="P88" s="1">
        <v>2.5</v>
      </c>
      <c r="Q88" s="1">
        <v>6.5</v>
      </c>
      <c r="R88" s="1">
        <v>6.5</v>
      </c>
      <c r="S88" s="1">
        <v>2.5</v>
      </c>
      <c r="T88" s="1">
        <v>9</v>
      </c>
      <c r="U88" s="1">
        <v>2.5</v>
      </c>
      <c r="V88" s="1">
        <v>2.5</v>
      </c>
      <c r="W88" s="1">
        <v>6.5</v>
      </c>
      <c r="Y88">
        <f t="shared" si="9"/>
        <v>45</v>
      </c>
      <c r="AI88" s="57" t="s">
        <v>8</v>
      </c>
      <c r="AJ88" s="61">
        <f>AVERAGE(I83:I112)</f>
        <v>2.3333333333333335</v>
      </c>
      <c r="AK88" s="61">
        <f>SUM(U83:U112)</f>
        <v>111</v>
      </c>
      <c r="AL88" t="s">
        <v>116</v>
      </c>
    </row>
    <row r="89" spans="2:39" ht="15.75" x14ac:dyDescent="0.25">
      <c r="B89" s="69">
        <v>7</v>
      </c>
      <c r="C89" s="67">
        <v>1</v>
      </c>
      <c r="D89" s="67">
        <v>3</v>
      </c>
      <c r="E89" s="67">
        <v>2</v>
      </c>
      <c r="F89" s="67">
        <v>3</v>
      </c>
      <c r="G89" s="67">
        <v>3</v>
      </c>
      <c r="H89" s="67">
        <v>2</v>
      </c>
      <c r="I89" s="67">
        <v>1</v>
      </c>
      <c r="J89" s="67">
        <v>4</v>
      </c>
      <c r="K89" s="67">
        <v>4</v>
      </c>
      <c r="N89" s="19">
        <v>7</v>
      </c>
      <c r="O89" s="1">
        <v>1.5</v>
      </c>
      <c r="P89" s="1">
        <v>6</v>
      </c>
      <c r="Q89" s="1">
        <v>3.5</v>
      </c>
      <c r="R89" s="1">
        <v>6</v>
      </c>
      <c r="S89" s="1">
        <v>6</v>
      </c>
      <c r="T89" s="1">
        <v>3.5</v>
      </c>
      <c r="U89" s="1">
        <v>1.5</v>
      </c>
      <c r="V89" s="1">
        <v>8.5</v>
      </c>
      <c r="W89" s="1">
        <v>8.5</v>
      </c>
      <c r="Y89">
        <f t="shared" si="9"/>
        <v>45</v>
      </c>
      <c r="AI89" s="58" t="s">
        <v>10</v>
      </c>
      <c r="AJ89" s="61">
        <f>AVERAGE(J83:J112)</f>
        <v>2.9</v>
      </c>
      <c r="AK89" s="61">
        <f>SUM(V83:V112)</f>
        <v>144.5</v>
      </c>
      <c r="AL89" t="s">
        <v>117</v>
      </c>
    </row>
    <row r="90" spans="2:39" ht="15.75" x14ac:dyDescent="0.25">
      <c r="B90" s="69">
        <v>8</v>
      </c>
      <c r="C90" s="67">
        <v>3</v>
      </c>
      <c r="D90" s="67">
        <v>4</v>
      </c>
      <c r="E90" s="67">
        <v>5</v>
      </c>
      <c r="F90" s="67">
        <v>5</v>
      </c>
      <c r="G90" s="67">
        <v>5</v>
      </c>
      <c r="H90" s="67">
        <v>4</v>
      </c>
      <c r="I90" s="67">
        <v>3</v>
      </c>
      <c r="J90" s="67">
        <v>4</v>
      </c>
      <c r="K90" s="67">
        <v>3</v>
      </c>
      <c r="N90" s="19">
        <v>8</v>
      </c>
      <c r="O90" s="1">
        <v>1.5</v>
      </c>
      <c r="P90" s="1">
        <v>4</v>
      </c>
      <c r="Q90" s="1">
        <v>7.5</v>
      </c>
      <c r="R90" s="1">
        <v>7.5</v>
      </c>
      <c r="S90" s="1">
        <v>7.5</v>
      </c>
      <c r="T90" s="1">
        <v>4</v>
      </c>
      <c r="U90" s="1">
        <v>7.5</v>
      </c>
      <c r="V90" s="1">
        <v>4</v>
      </c>
      <c r="W90" s="1">
        <v>1.5</v>
      </c>
      <c r="Y90">
        <f t="shared" si="9"/>
        <v>45</v>
      </c>
      <c r="AI90" s="57" t="s">
        <v>9</v>
      </c>
      <c r="AJ90" s="61">
        <f>AVERAGE(K83:K112)</f>
        <v>2.2000000000000002</v>
      </c>
      <c r="AK90" s="61">
        <f>SUM(W83:W112)</f>
        <v>105.5</v>
      </c>
      <c r="AL90" t="s">
        <v>116</v>
      </c>
    </row>
    <row r="91" spans="2:39" ht="15.75" x14ac:dyDescent="0.25">
      <c r="B91" s="69">
        <v>9</v>
      </c>
      <c r="C91" s="67">
        <v>5</v>
      </c>
      <c r="D91" s="67">
        <v>5</v>
      </c>
      <c r="E91" s="67">
        <v>2</v>
      </c>
      <c r="F91" s="67">
        <v>1</v>
      </c>
      <c r="G91" s="67">
        <v>1</v>
      </c>
      <c r="H91" s="67">
        <v>1</v>
      </c>
      <c r="I91" s="67">
        <v>1</v>
      </c>
      <c r="J91" s="67">
        <v>2</v>
      </c>
      <c r="K91" s="67">
        <v>2</v>
      </c>
      <c r="N91" s="19">
        <v>9</v>
      </c>
      <c r="O91" s="1">
        <v>8.5</v>
      </c>
      <c r="P91" s="1">
        <v>8.5</v>
      </c>
      <c r="Q91" s="1">
        <v>6</v>
      </c>
      <c r="R91" s="1">
        <v>2.5</v>
      </c>
      <c r="S91" s="1">
        <v>2.5</v>
      </c>
      <c r="T91" s="1">
        <v>2.5</v>
      </c>
      <c r="U91" s="1">
        <v>2.5</v>
      </c>
      <c r="V91" s="1">
        <v>6</v>
      </c>
      <c r="W91" s="1">
        <v>6</v>
      </c>
      <c r="Y91">
        <f t="shared" si="9"/>
        <v>45</v>
      </c>
      <c r="AI91" s="64" t="s">
        <v>112</v>
      </c>
      <c r="AJ91" s="61">
        <f>1.645*SQRT((30*9*(9+1)/6))</f>
        <v>34.895719651556121</v>
      </c>
      <c r="AK91" s="61"/>
    </row>
    <row r="92" spans="2:39" x14ac:dyDescent="0.25">
      <c r="B92" s="69">
        <v>10</v>
      </c>
      <c r="C92" s="67">
        <v>3</v>
      </c>
      <c r="D92" s="67">
        <v>3</v>
      </c>
      <c r="E92" s="67">
        <v>2</v>
      </c>
      <c r="F92" s="67">
        <v>2</v>
      </c>
      <c r="G92" s="67">
        <v>4</v>
      </c>
      <c r="H92" s="67">
        <v>2</v>
      </c>
      <c r="I92" s="67">
        <v>3</v>
      </c>
      <c r="J92" s="67">
        <v>4</v>
      </c>
      <c r="K92" s="67">
        <v>3</v>
      </c>
      <c r="N92" s="19">
        <v>10</v>
      </c>
      <c r="O92" s="1">
        <v>5.5</v>
      </c>
      <c r="P92" s="1">
        <v>5.5</v>
      </c>
      <c r="Q92" s="1">
        <v>2</v>
      </c>
      <c r="R92" s="1">
        <v>2</v>
      </c>
      <c r="S92" s="1">
        <v>8.5</v>
      </c>
      <c r="T92" s="1">
        <v>2</v>
      </c>
      <c r="U92" s="1">
        <v>5.5</v>
      </c>
      <c r="V92" s="1">
        <v>8.5</v>
      </c>
      <c r="W92" s="1">
        <v>5.5</v>
      </c>
      <c r="Y92">
        <f t="shared" si="9"/>
        <v>45</v>
      </c>
    </row>
    <row r="93" spans="2:39" x14ac:dyDescent="0.25">
      <c r="B93" s="69">
        <v>11</v>
      </c>
      <c r="C93" s="67">
        <v>2</v>
      </c>
      <c r="D93" s="67">
        <v>5</v>
      </c>
      <c r="E93" s="67">
        <v>3</v>
      </c>
      <c r="F93" s="67">
        <v>5</v>
      </c>
      <c r="G93" s="67">
        <v>3</v>
      </c>
      <c r="H93" s="67">
        <v>3</v>
      </c>
      <c r="I93" s="67">
        <v>3</v>
      </c>
      <c r="J93" s="67">
        <v>2</v>
      </c>
      <c r="K93" s="67">
        <v>3</v>
      </c>
      <c r="N93" s="19">
        <v>11</v>
      </c>
      <c r="O93" s="1">
        <v>1.5</v>
      </c>
      <c r="P93" s="1">
        <v>8.5</v>
      </c>
      <c r="Q93" s="1">
        <v>5</v>
      </c>
      <c r="R93" s="1">
        <v>8.5</v>
      </c>
      <c r="S93" s="1">
        <v>5</v>
      </c>
      <c r="T93" s="1">
        <v>5</v>
      </c>
      <c r="U93" s="1">
        <v>5</v>
      </c>
      <c r="V93" s="1">
        <v>1.5</v>
      </c>
      <c r="W93" s="1">
        <v>5</v>
      </c>
      <c r="Y93">
        <f t="shared" si="9"/>
        <v>45</v>
      </c>
      <c r="AH93" s="33">
        <v>2.2000000000000002</v>
      </c>
      <c r="AI93" s="33">
        <v>105.5</v>
      </c>
      <c r="AJ93" t="s">
        <v>116</v>
      </c>
      <c r="AK93" s="33"/>
    </row>
    <row r="94" spans="2:39" x14ac:dyDescent="0.25">
      <c r="B94" s="69">
        <v>12</v>
      </c>
      <c r="C94" s="67">
        <v>2</v>
      </c>
      <c r="D94" s="67">
        <v>1</v>
      </c>
      <c r="E94" s="67">
        <v>2</v>
      </c>
      <c r="F94" s="67">
        <v>1</v>
      </c>
      <c r="G94" s="67">
        <v>1</v>
      </c>
      <c r="H94" s="67">
        <v>1</v>
      </c>
      <c r="I94" s="67">
        <v>1</v>
      </c>
      <c r="J94" s="67">
        <v>1</v>
      </c>
      <c r="K94" s="67">
        <v>1</v>
      </c>
      <c r="N94" s="19">
        <v>12</v>
      </c>
      <c r="O94" s="1">
        <v>8.5</v>
      </c>
      <c r="P94" s="1">
        <v>4</v>
      </c>
      <c r="Q94" s="1">
        <v>8.5</v>
      </c>
      <c r="R94" s="1">
        <v>4</v>
      </c>
      <c r="S94" s="1">
        <v>4</v>
      </c>
      <c r="T94" s="1">
        <v>4</v>
      </c>
      <c r="U94" s="1">
        <v>4</v>
      </c>
      <c r="V94" s="1">
        <v>4</v>
      </c>
      <c r="W94" s="1">
        <v>4</v>
      </c>
      <c r="Y94">
        <f t="shared" si="9"/>
        <v>45</v>
      </c>
      <c r="AH94" s="33">
        <v>2.2999999999999998</v>
      </c>
      <c r="AI94" s="33">
        <v>108</v>
      </c>
      <c r="AJ94" t="s">
        <v>116</v>
      </c>
      <c r="AK94" s="33">
        <f>AI94-AI93</f>
        <v>2.5</v>
      </c>
    </row>
    <row r="95" spans="2:39" x14ac:dyDescent="0.25">
      <c r="B95" s="69">
        <v>13</v>
      </c>
      <c r="C95" s="67">
        <v>4</v>
      </c>
      <c r="D95" s="67">
        <v>4</v>
      </c>
      <c r="E95" s="67">
        <v>4</v>
      </c>
      <c r="F95" s="67">
        <v>5</v>
      </c>
      <c r="G95" s="67">
        <v>4</v>
      </c>
      <c r="H95" s="67">
        <v>5</v>
      </c>
      <c r="I95" s="67">
        <v>2</v>
      </c>
      <c r="J95" s="67">
        <v>2</v>
      </c>
      <c r="K95" s="67">
        <v>1</v>
      </c>
      <c r="N95" s="19">
        <v>13</v>
      </c>
      <c r="O95" s="1">
        <v>5.5</v>
      </c>
      <c r="P95" s="1">
        <v>5.5</v>
      </c>
      <c r="Q95" s="1">
        <v>5.5</v>
      </c>
      <c r="R95" s="1">
        <v>8.5</v>
      </c>
      <c r="S95" s="1">
        <v>5.5</v>
      </c>
      <c r="T95" s="1">
        <v>8.5</v>
      </c>
      <c r="U95" s="1">
        <v>2.5</v>
      </c>
      <c r="V95" s="1">
        <v>2.5</v>
      </c>
      <c r="W95" s="1">
        <v>1</v>
      </c>
      <c r="Y95">
        <f t="shared" si="9"/>
        <v>45</v>
      </c>
      <c r="AH95" s="33">
        <v>2.3333333333333335</v>
      </c>
      <c r="AI95" s="33">
        <v>111</v>
      </c>
      <c r="AJ95" t="s">
        <v>116</v>
      </c>
      <c r="AK95" s="33">
        <f t="shared" ref="AK95:AK100" si="10">AI95-AI94</f>
        <v>3</v>
      </c>
    </row>
    <row r="96" spans="2:39" x14ac:dyDescent="0.25">
      <c r="B96" s="69">
        <v>14</v>
      </c>
      <c r="C96" s="67">
        <v>1</v>
      </c>
      <c r="D96" s="67">
        <v>3</v>
      </c>
      <c r="E96" s="67">
        <v>2</v>
      </c>
      <c r="F96" s="67">
        <v>5</v>
      </c>
      <c r="G96" s="67">
        <v>3</v>
      </c>
      <c r="H96" s="67">
        <v>3</v>
      </c>
      <c r="I96" s="67">
        <v>2</v>
      </c>
      <c r="J96" s="67">
        <v>4</v>
      </c>
      <c r="K96" s="67">
        <v>2</v>
      </c>
      <c r="N96" s="19">
        <v>14</v>
      </c>
      <c r="O96" s="1">
        <v>1</v>
      </c>
      <c r="P96" s="1">
        <v>6</v>
      </c>
      <c r="Q96" s="1">
        <v>3</v>
      </c>
      <c r="R96" s="1">
        <v>9</v>
      </c>
      <c r="S96" s="1">
        <v>6</v>
      </c>
      <c r="T96" s="1">
        <v>6</v>
      </c>
      <c r="U96" s="1">
        <v>3</v>
      </c>
      <c r="V96" s="1">
        <v>8</v>
      </c>
      <c r="W96" s="1">
        <v>3</v>
      </c>
      <c r="Y96">
        <f t="shared" si="9"/>
        <v>45</v>
      </c>
      <c r="AH96" s="33">
        <v>2.9</v>
      </c>
      <c r="AI96" s="33">
        <v>144.5</v>
      </c>
      <c r="AJ96" t="s">
        <v>117</v>
      </c>
      <c r="AK96" s="33">
        <f t="shared" si="10"/>
        <v>33.5</v>
      </c>
    </row>
    <row r="97" spans="2:37" x14ac:dyDescent="0.25">
      <c r="B97" s="69">
        <v>15</v>
      </c>
      <c r="C97" s="67">
        <v>2</v>
      </c>
      <c r="D97" s="67">
        <v>2</v>
      </c>
      <c r="E97" s="67">
        <v>3</v>
      </c>
      <c r="F97" s="67">
        <v>5</v>
      </c>
      <c r="G97" s="67">
        <v>4</v>
      </c>
      <c r="H97" s="67">
        <v>4</v>
      </c>
      <c r="I97" s="67">
        <v>2</v>
      </c>
      <c r="J97" s="67">
        <v>3</v>
      </c>
      <c r="K97" s="67">
        <v>1</v>
      </c>
      <c r="N97" s="19">
        <v>15</v>
      </c>
      <c r="O97" s="1">
        <v>5</v>
      </c>
      <c r="P97" s="1">
        <v>2.5</v>
      </c>
      <c r="Q97" s="1">
        <v>5</v>
      </c>
      <c r="R97" s="1">
        <v>9</v>
      </c>
      <c r="S97" s="1">
        <v>7.5</v>
      </c>
      <c r="T97" s="1">
        <v>7.5</v>
      </c>
      <c r="U97" s="1">
        <v>2.5</v>
      </c>
      <c r="V97" s="1">
        <v>5</v>
      </c>
      <c r="W97" s="1">
        <v>1</v>
      </c>
      <c r="Y97">
        <f t="shared" si="9"/>
        <v>45</v>
      </c>
      <c r="AH97" s="33">
        <v>3.1666666666666665</v>
      </c>
      <c r="AI97" s="33">
        <v>165.5</v>
      </c>
      <c r="AJ97" t="s">
        <v>117</v>
      </c>
      <c r="AK97" s="33">
        <f t="shared" si="10"/>
        <v>21</v>
      </c>
    </row>
    <row r="98" spans="2:37" x14ac:dyDescent="0.25">
      <c r="B98" s="69">
        <v>16</v>
      </c>
      <c r="C98" s="67">
        <v>1</v>
      </c>
      <c r="D98" s="67">
        <v>2</v>
      </c>
      <c r="E98" s="67">
        <v>4</v>
      </c>
      <c r="F98" s="67">
        <v>3</v>
      </c>
      <c r="G98" s="67">
        <v>3</v>
      </c>
      <c r="H98" s="67">
        <v>5</v>
      </c>
      <c r="I98" s="67">
        <v>1</v>
      </c>
      <c r="J98" s="67">
        <v>2</v>
      </c>
      <c r="K98" s="67">
        <v>2</v>
      </c>
      <c r="N98" s="19">
        <v>16</v>
      </c>
      <c r="O98" s="1">
        <v>1.5</v>
      </c>
      <c r="P98" s="1">
        <v>4</v>
      </c>
      <c r="Q98" s="1">
        <v>8</v>
      </c>
      <c r="R98" s="1">
        <v>6.5</v>
      </c>
      <c r="S98" s="1">
        <v>6.5</v>
      </c>
      <c r="T98" s="1">
        <v>9</v>
      </c>
      <c r="U98" s="1">
        <v>1.5</v>
      </c>
      <c r="V98" s="1">
        <v>4</v>
      </c>
      <c r="W98" s="1">
        <v>4</v>
      </c>
      <c r="Y98">
        <f t="shared" si="9"/>
        <v>45</v>
      </c>
      <c r="AH98" s="33">
        <v>3.4333333333333331</v>
      </c>
      <c r="AI98" s="33">
        <v>174</v>
      </c>
      <c r="AJ98" t="s">
        <v>118</v>
      </c>
      <c r="AK98" s="33">
        <f t="shared" si="10"/>
        <v>8.5</v>
      </c>
    </row>
    <row r="99" spans="2:37" x14ac:dyDescent="0.25">
      <c r="B99" s="69">
        <v>17</v>
      </c>
      <c r="C99" s="67">
        <v>3</v>
      </c>
      <c r="D99" s="67">
        <v>3</v>
      </c>
      <c r="E99" s="67">
        <v>3</v>
      </c>
      <c r="F99" s="67">
        <v>3</v>
      </c>
      <c r="G99" s="67">
        <v>3</v>
      </c>
      <c r="H99" s="67">
        <v>5</v>
      </c>
      <c r="I99" s="67">
        <v>5</v>
      </c>
      <c r="J99" s="67">
        <v>4</v>
      </c>
      <c r="K99" s="67">
        <v>3</v>
      </c>
      <c r="N99" s="19">
        <v>17</v>
      </c>
      <c r="O99" s="1">
        <v>3.5</v>
      </c>
      <c r="P99" s="1">
        <v>3.5</v>
      </c>
      <c r="Q99" s="1">
        <v>3.5</v>
      </c>
      <c r="R99" s="1">
        <v>3.5</v>
      </c>
      <c r="S99" s="1">
        <v>3.5</v>
      </c>
      <c r="T99" s="1">
        <v>8.5</v>
      </c>
      <c r="U99" s="1">
        <v>8.5</v>
      </c>
      <c r="V99" s="1">
        <v>7</v>
      </c>
      <c r="W99" s="1">
        <v>3.5</v>
      </c>
      <c r="Y99">
        <f t="shared" si="9"/>
        <v>45</v>
      </c>
      <c r="AH99" s="33">
        <v>3.4</v>
      </c>
      <c r="AI99" s="33">
        <v>175.5</v>
      </c>
      <c r="AJ99" t="s">
        <v>118</v>
      </c>
      <c r="AK99" s="33">
        <f t="shared" si="10"/>
        <v>1.5</v>
      </c>
    </row>
    <row r="100" spans="2:37" x14ac:dyDescent="0.25">
      <c r="B100" s="69">
        <v>18</v>
      </c>
      <c r="C100" s="67">
        <v>2</v>
      </c>
      <c r="D100" s="67">
        <v>3</v>
      </c>
      <c r="E100" s="67">
        <v>3</v>
      </c>
      <c r="F100" s="67">
        <v>4</v>
      </c>
      <c r="G100" s="67">
        <v>3</v>
      </c>
      <c r="H100" s="67">
        <v>2</v>
      </c>
      <c r="I100" s="67">
        <v>2</v>
      </c>
      <c r="J100" s="67">
        <v>5</v>
      </c>
      <c r="K100" s="67">
        <v>1</v>
      </c>
      <c r="N100" s="19">
        <v>18</v>
      </c>
      <c r="O100" s="1">
        <v>3</v>
      </c>
      <c r="P100" s="1">
        <v>6</v>
      </c>
      <c r="Q100" s="1">
        <v>6</v>
      </c>
      <c r="R100" s="1">
        <v>8.5</v>
      </c>
      <c r="S100" s="1">
        <v>6</v>
      </c>
      <c r="T100" s="1">
        <v>3</v>
      </c>
      <c r="U100" s="1">
        <v>3</v>
      </c>
      <c r="V100" s="1">
        <v>8.5</v>
      </c>
      <c r="W100" s="1">
        <v>1</v>
      </c>
      <c r="Y100">
        <f t="shared" si="9"/>
        <v>45</v>
      </c>
      <c r="AH100" s="33">
        <v>3.4666666666666668</v>
      </c>
      <c r="AI100" s="33">
        <v>176</v>
      </c>
      <c r="AJ100" t="s">
        <v>118</v>
      </c>
      <c r="AK100" s="33">
        <f t="shared" si="10"/>
        <v>0.5</v>
      </c>
    </row>
    <row r="101" spans="2:37" x14ac:dyDescent="0.25">
      <c r="B101" s="69">
        <v>19</v>
      </c>
      <c r="C101" s="67">
        <v>2</v>
      </c>
      <c r="D101" s="67">
        <v>4</v>
      </c>
      <c r="E101" s="67">
        <v>3</v>
      </c>
      <c r="F101" s="67">
        <v>5</v>
      </c>
      <c r="G101" s="67">
        <v>4</v>
      </c>
      <c r="H101" s="67">
        <v>2</v>
      </c>
      <c r="I101" s="67">
        <v>3</v>
      </c>
      <c r="J101" s="67">
        <v>2</v>
      </c>
      <c r="K101" s="67">
        <v>1</v>
      </c>
      <c r="N101" s="19">
        <v>19</v>
      </c>
      <c r="O101" s="1">
        <v>3</v>
      </c>
      <c r="P101" s="1">
        <v>7.5</v>
      </c>
      <c r="Q101" s="1">
        <v>5.5</v>
      </c>
      <c r="R101" s="1">
        <v>9</v>
      </c>
      <c r="S101" s="1">
        <v>7.5</v>
      </c>
      <c r="T101" s="1">
        <v>3</v>
      </c>
      <c r="U101" s="1">
        <v>5.5</v>
      </c>
      <c r="V101" s="1">
        <v>3</v>
      </c>
      <c r="W101" s="1">
        <v>1</v>
      </c>
      <c r="Y101">
        <f t="shared" si="9"/>
        <v>45</v>
      </c>
      <c r="AH101" s="33">
        <v>3.5666666666666669</v>
      </c>
      <c r="AI101" s="33">
        <v>190</v>
      </c>
      <c r="AJ101" t="s">
        <v>119</v>
      </c>
      <c r="AK101" s="33">
        <f>AI101-AI100</f>
        <v>14</v>
      </c>
    </row>
    <row r="102" spans="2:37" x14ac:dyDescent="0.25">
      <c r="B102" s="69">
        <v>20</v>
      </c>
      <c r="C102" s="67">
        <v>2</v>
      </c>
      <c r="D102" s="67">
        <v>3</v>
      </c>
      <c r="E102" s="67">
        <v>3</v>
      </c>
      <c r="F102" s="67">
        <v>3</v>
      </c>
      <c r="G102" s="67">
        <v>4</v>
      </c>
      <c r="H102" s="67">
        <v>5</v>
      </c>
      <c r="I102" s="67">
        <v>3</v>
      </c>
      <c r="J102" s="67">
        <v>5</v>
      </c>
      <c r="K102" s="67">
        <v>2</v>
      </c>
      <c r="N102" s="19">
        <v>20</v>
      </c>
      <c r="O102" s="1">
        <v>1.5</v>
      </c>
      <c r="P102" s="1">
        <v>4.5</v>
      </c>
      <c r="Q102" s="1">
        <v>4.5</v>
      </c>
      <c r="R102" s="1">
        <v>4.5</v>
      </c>
      <c r="S102" s="1">
        <v>7</v>
      </c>
      <c r="T102" s="1">
        <v>8.5</v>
      </c>
      <c r="U102" s="1">
        <v>4.5</v>
      </c>
      <c r="V102" s="1">
        <v>8.5</v>
      </c>
      <c r="W102" s="1">
        <v>1.5</v>
      </c>
      <c r="Y102">
        <f t="shared" si="9"/>
        <v>45</v>
      </c>
    </row>
    <row r="103" spans="2:37" x14ac:dyDescent="0.25">
      <c r="B103" s="69">
        <v>21</v>
      </c>
      <c r="C103" s="67">
        <v>2</v>
      </c>
      <c r="D103" s="67">
        <v>5</v>
      </c>
      <c r="E103" s="67">
        <v>4</v>
      </c>
      <c r="F103" s="67">
        <v>2</v>
      </c>
      <c r="G103" s="67">
        <v>4</v>
      </c>
      <c r="H103" s="67">
        <v>4</v>
      </c>
      <c r="I103" s="67">
        <v>4</v>
      </c>
      <c r="J103" s="67">
        <v>1</v>
      </c>
      <c r="K103" s="67">
        <v>1</v>
      </c>
      <c r="N103" s="19">
        <v>21</v>
      </c>
      <c r="O103" s="1">
        <v>3.5</v>
      </c>
      <c r="P103" s="1">
        <v>9</v>
      </c>
      <c r="Q103" s="1">
        <v>6.5</v>
      </c>
      <c r="R103" s="1">
        <v>3.5</v>
      </c>
      <c r="S103" s="1">
        <v>6.5</v>
      </c>
      <c r="T103" s="1">
        <v>6.5</v>
      </c>
      <c r="U103" s="1">
        <v>6.5</v>
      </c>
      <c r="V103" s="1">
        <v>1.5</v>
      </c>
      <c r="W103" s="1">
        <v>1.5</v>
      </c>
      <c r="Y103">
        <f t="shared" si="9"/>
        <v>45</v>
      </c>
    </row>
    <row r="104" spans="2:37" x14ac:dyDescent="0.25">
      <c r="B104" s="69">
        <v>22</v>
      </c>
      <c r="C104" s="67">
        <v>2</v>
      </c>
      <c r="D104" s="67">
        <v>2</v>
      </c>
      <c r="E104" s="67">
        <v>2</v>
      </c>
      <c r="F104" s="67">
        <v>5</v>
      </c>
      <c r="G104" s="67">
        <v>3</v>
      </c>
      <c r="H104" s="67">
        <v>3</v>
      </c>
      <c r="I104" s="67">
        <v>1</v>
      </c>
      <c r="J104" s="67">
        <v>5</v>
      </c>
      <c r="K104" s="67">
        <v>2</v>
      </c>
      <c r="N104" s="19">
        <v>22</v>
      </c>
      <c r="O104" s="1">
        <v>3.5</v>
      </c>
      <c r="P104" s="1">
        <v>3.5</v>
      </c>
      <c r="Q104" s="1">
        <v>3.5</v>
      </c>
      <c r="R104" s="1">
        <v>8.5</v>
      </c>
      <c r="S104" s="1">
        <v>6.5</v>
      </c>
      <c r="T104" s="1">
        <v>6.5</v>
      </c>
      <c r="U104" s="1">
        <v>1</v>
      </c>
      <c r="V104" s="1">
        <v>8.5</v>
      </c>
      <c r="W104" s="1">
        <v>3.5</v>
      </c>
      <c r="Y104">
        <f t="shared" si="9"/>
        <v>45</v>
      </c>
    </row>
    <row r="105" spans="2:37" x14ac:dyDescent="0.25">
      <c r="B105" s="69">
        <v>23</v>
      </c>
      <c r="C105" s="67">
        <v>1</v>
      </c>
      <c r="D105" s="67">
        <v>2</v>
      </c>
      <c r="E105" s="67">
        <v>4</v>
      </c>
      <c r="F105" s="67">
        <v>4</v>
      </c>
      <c r="G105" s="67">
        <v>5</v>
      </c>
      <c r="H105" s="67">
        <v>4</v>
      </c>
      <c r="I105" s="67">
        <v>1</v>
      </c>
      <c r="J105" s="67">
        <v>2</v>
      </c>
      <c r="K105" s="67">
        <v>2</v>
      </c>
      <c r="N105" s="19">
        <v>23</v>
      </c>
      <c r="O105" s="1">
        <v>1.5</v>
      </c>
      <c r="P105" s="1">
        <v>4</v>
      </c>
      <c r="Q105" s="1">
        <v>7</v>
      </c>
      <c r="R105" s="1">
        <v>7</v>
      </c>
      <c r="S105" s="1">
        <v>9</v>
      </c>
      <c r="T105" s="1">
        <v>7</v>
      </c>
      <c r="U105" s="1">
        <v>1.5</v>
      </c>
      <c r="V105" s="1">
        <v>4</v>
      </c>
      <c r="W105" s="1">
        <v>4</v>
      </c>
      <c r="Y105">
        <f t="shared" si="9"/>
        <v>45</v>
      </c>
    </row>
    <row r="106" spans="2:37" x14ac:dyDescent="0.25">
      <c r="B106" s="69">
        <v>24</v>
      </c>
      <c r="C106" s="67">
        <v>1</v>
      </c>
      <c r="D106" s="67">
        <v>5</v>
      </c>
      <c r="E106" s="67">
        <v>3</v>
      </c>
      <c r="F106" s="67">
        <v>3</v>
      </c>
      <c r="G106" s="67">
        <v>4</v>
      </c>
      <c r="H106" s="67">
        <v>3</v>
      </c>
      <c r="I106" s="67">
        <v>1</v>
      </c>
      <c r="J106" s="67">
        <v>2</v>
      </c>
      <c r="K106" s="67">
        <v>1</v>
      </c>
      <c r="N106" s="19">
        <v>24</v>
      </c>
      <c r="O106" s="1">
        <v>2</v>
      </c>
      <c r="P106" s="1">
        <v>9</v>
      </c>
      <c r="Q106" s="1">
        <v>6</v>
      </c>
      <c r="R106" s="1">
        <v>6</v>
      </c>
      <c r="S106" s="1">
        <v>8</v>
      </c>
      <c r="T106" s="1">
        <v>6</v>
      </c>
      <c r="U106" s="1">
        <v>2</v>
      </c>
      <c r="V106" s="1">
        <v>4</v>
      </c>
      <c r="W106" s="1">
        <v>2</v>
      </c>
      <c r="Y106">
        <f t="shared" si="9"/>
        <v>45</v>
      </c>
    </row>
    <row r="107" spans="2:37" x14ac:dyDescent="0.25">
      <c r="B107" s="69">
        <v>25</v>
      </c>
      <c r="C107" s="67">
        <v>1</v>
      </c>
      <c r="D107" s="67">
        <v>4</v>
      </c>
      <c r="E107" s="67">
        <v>2</v>
      </c>
      <c r="F107" s="67">
        <v>4</v>
      </c>
      <c r="G107" s="67">
        <v>3</v>
      </c>
      <c r="H107" s="67">
        <v>5</v>
      </c>
      <c r="I107" s="67">
        <v>2</v>
      </c>
      <c r="J107" s="67">
        <v>2</v>
      </c>
      <c r="K107" s="67">
        <v>3</v>
      </c>
      <c r="N107" s="19">
        <v>25</v>
      </c>
      <c r="O107" s="1">
        <v>1</v>
      </c>
      <c r="P107" s="1">
        <v>7.5</v>
      </c>
      <c r="Q107" s="1">
        <v>3</v>
      </c>
      <c r="R107" s="1">
        <v>7.5</v>
      </c>
      <c r="S107" s="1">
        <v>5.5</v>
      </c>
      <c r="T107" s="1">
        <v>9</v>
      </c>
      <c r="U107" s="1">
        <v>3</v>
      </c>
      <c r="V107" s="1">
        <v>3</v>
      </c>
      <c r="W107" s="1">
        <v>5.5</v>
      </c>
      <c r="Y107">
        <f t="shared" si="9"/>
        <v>45</v>
      </c>
    </row>
    <row r="108" spans="2:37" x14ac:dyDescent="0.25">
      <c r="B108" s="69">
        <v>26</v>
      </c>
      <c r="C108" s="67">
        <v>1</v>
      </c>
      <c r="D108" s="67">
        <v>3</v>
      </c>
      <c r="E108" s="67">
        <v>4</v>
      </c>
      <c r="F108" s="67">
        <v>1</v>
      </c>
      <c r="G108" s="67">
        <v>5</v>
      </c>
      <c r="H108" s="67">
        <v>3</v>
      </c>
      <c r="I108" s="67">
        <v>1</v>
      </c>
      <c r="J108" s="67">
        <v>3</v>
      </c>
      <c r="K108" s="67">
        <v>1</v>
      </c>
      <c r="N108" s="19">
        <v>26</v>
      </c>
      <c r="O108" s="1">
        <v>2.5</v>
      </c>
      <c r="P108" s="1">
        <v>6</v>
      </c>
      <c r="Q108" s="1">
        <v>8</v>
      </c>
      <c r="R108" s="1">
        <v>2.5</v>
      </c>
      <c r="S108" s="1">
        <v>9</v>
      </c>
      <c r="T108" s="1">
        <v>6</v>
      </c>
      <c r="U108" s="1">
        <v>2.5</v>
      </c>
      <c r="V108" s="1">
        <v>6</v>
      </c>
      <c r="W108" s="1">
        <v>2.5</v>
      </c>
      <c r="Y108">
        <f t="shared" si="9"/>
        <v>45</v>
      </c>
    </row>
    <row r="109" spans="2:37" x14ac:dyDescent="0.25">
      <c r="B109" s="69">
        <v>27</v>
      </c>
      <c r="C109" s="67">
        <v>2</v>
      </c>
      <c r="D109" s="67">
        <v>2</v>
      </c>
      <c r="E109" s="67">
        <v>3</v>
      </c>
      <c r="F109" s="67">
        <v>3</v>
      </c>
      <c r="G109" s="67">
        <v>4</v>
      </c>
      <c r="H109" s="67">
        <v>5</v>
      </c>
      <c r="I109" s="67">
        <v>2</v>
      </c>
      <c r="J109" s="67">
        <v>3</v>
      </c>
      <c r="K109" s="67">
        <v>3</v>
      </c>
      <c r="N109" s="19">
        <v>27</v>
      </c>
      <c r="O109" s="1">
        <v>2.5</v>
      </c>
      <c r="P109" s="1">
        <v>2.5</v>
      </c>
      <c r="Q109" s="1">
        <v>6.5</v>
      </c>
      <c r="R109" s="1">
        <v>6.5</v>
      </c>
      <c r="S109" s="1">
        <v>2.5</v>
      </c>
      <c r="T109" s="1">
        <v>9</v>
      </c>
      <c r="U109" s="1">
        <v>2.5</v>
      </c>
      <c r="V109" s="1">
        <v>6.5</v>
      </c>
      <c r="W109" s="1">
        <v>6.5</v>
      </c>
      <c r="Y109">
        <f t="shared" si="9"/>
        <v>45</v>
      </c>
    </row>
    <row r="110" spans="2:37" x14ac:dyDescent="0.25">
      <c r="B110" s="69">
        <v>28</v>
      </c>
      <c r="C110" s="67">
        <v>2</v>
      </c>
      <c r="D110" s="67">
        <v>4</v>
      </c>
      <c r="E110" s="67">
        <v>4</v>
      </c>
      <c r="F110" s="67">
        <v>4</v>
      </c>
      <c r="G110" s="67">
        <v>4</v>
      </c>
      <c r="H110" s="67">
        <v>2</v>
      </c>
      <c r="I110" s="67">
        <v>3</v>
      </c>
      <c r="J110" s="67">
        <v>4</v>
      </c>
      <c r="K110" s="67">
        <v>1</v>
      </c>
      <c r="N110" s="19">
        <v>28</v>
      </c>
      <c r="O110" s="1">
        <v>2.5</v>
      </c>
      <c r="P110" s="1">
        <v>7</v>
      </c>
      <c r="Q110" s="1">
        <v>7</v>
      </c>
      <c r="R110" s="1">
        <v>7</v>
      </c>
      <c r="S110" s="1">
        <v>7</v>
      </c>
      <c r="T110" s="1">
        <v>2.5</v>
      </c>
      <c r="U110" s="1">
        <v>4</v>
      </c>
      <c r="V110" s="1">
        <v>7</v>
      </c>
      <c r="W110" s="1">
        <v>1</v>
      </c>
      <c r="Y110">
        <f t="shared" si="9"/>
        <v>45</v>
      </c>
    </row>
    <row r="111" spans="2:37" x14ac:dyDescent="0.25">
      <c r="B111" s="69">
        <v>29</v>
      </c>
      <c r="C111" s="67">
        <v>1</v>
      </c>
      <c r="D111" s="67">
        <v>4</v>
      </c>
      <c r="E111" s="67">
        <v>2</v>
      </c>
      <c r="F111" s="67">
        <v>4</v>
      </c>
      <c r="G111" s="67">
        <v>4</v>
      </c>
      <c r="H111" s="67">
        <v>5</v>
      </c>
      <c r="I111" s="67">
        <v>2</v>
      </c>
      <c r="J111" s="67">
        <v>4</v>
      </c>
      <c r="K111" s="67">
        <v>3</v>
      </c>
      <c r="N111" s="19">
        <v>29</v>
      </c>
      <c r="O111" s="1">
        <v>1</v>
      </c>
      <c r="P111" s="1">
        <v>6.5</v>
      </c>
      <c r="Q111" s="1">
        <v>2.5</v>
      </c>
      <c r="R111" s="1">
        <v>6.5</v>
      </c>
      <c r="S111" s="1">
        <v>6.5</v>
      </c>
      <c r="T111" s="1">
        <v>9</v>
      </c>
      <c r="U111" s="1">
        <v>2.5</v>
      </c>
      <c r="V111" s="1">
        <v>6.5</v>
      </c>
      <c r="W111" s="1">
        <v>4</v>
      </c>
      <c r="Y111">
        <f t="shared" si="9"/>
        <v>45</v>
      </c>
    </row>
    <row r="112" spans="2:37" x14ac:dyDescent="0.25">
      <c r="B112" s="69">
        <v>30</v>
      </c>
      <c r="C112" s="67">
        <v>3</v>
      </c>
      <c r="D112" s="67">
        <v>4</v>
      </c>
      <c r="E112" s="67">
        <v>4</v>
      </c>
      <c r="F112" s="67">
        <v>5</v>
      </c>
      <c r="G112" s="67">
        <v>3</v>
      </c>
      <c r="H112" s="67">
        <v>5</v>
      </c>
      <c r="I112" s="67">
        <v>3</v>
      </c>
      <c r="J112" s="67">
        <v>3</v>
      </c>
      <c r="K112" s="67">
        <v>1</v>
      </c>
      <c r="N112" s="19">
        <v>30</v>
      </c>
      <c r="O112" s="1">
        <v>3.5</v>
      </c>
      <c r="P112" s="1">
        <v>6.5</v>
      </c>
      <c r="Q112" s="1">
        <v>6.5</v>
      </c>
      <c r="R112" s="1">
        <v>8.5</v>
      </c>
      <c r="S112" s="1">
        <v>3.5</v>
      </c>
      <c r="T112" s="1">
        <v>8.5</v>
      </c>
      <c r="U112" s="1">
        <v>3.5</v>
      </c>
      <c r="V112" s="1">
        <v>3.5</v>
      </c>
      <c r="W112" s="1">
        <v>1</v>
      </c>
      <c r="Y112">
        <f t="shared" si="9"/>
        <v>45</v>
      </c>
    </row>
    <row r="113" spans="14:23" x14ac:dyDescent="0.25">
      <c r="N113" s="1" t="s">
        <v>17</v>
      </c>
      <c r="O113" s="1">
        <f>SUM(O83:O112)</f>
        <v>108</v>
      </c>
      <c r="P113" s="1">
        <f t="shared" ref="P113:W113" si="11">SUM(P83:P112)</f>
        <v>175.5</v>
      </c>
      <c r="Q113" s="1">
        <f t="shared" si="11"/>
        <v>165.5</v>
      </c>
      <c r="R113" s="1">
        <f t="shared" si="11"/>
        <v>190</v>
      </c>
      <c r="S113" s="1">
        <f t="shared" si="11"/>
        <v>176</v>
      </c>
      <c r="T113" s="1">
        <f t="shared" si="11"/>
        <v>174</v>
      </c>
      <c r="U113" s="1">
        <f t="shared" si="11"/>
        <v>111</v>
      </c>
      <c r="V113" s="1">
        <f t="shared" si="11"/>
        <v>144.5</v>
      </c>
      <c r="W113" s="1">
        <f t="shared" si="11"/>
        <v>105.5</v>
      </c>
    </row>
    <row r="114" spans="14:23" x14ac:dyDescent="0.25">
      <c r="N114" s="1" t="s">
        <v>103</v>
      </c>
      <c r="O114" s="1">
        <f>AVERAGE(O83:O112)</f>
        <v>3.6</v>
      </c>
      <c r="P114" s="1">
        <f t="shared" ref="P114:W114" si="12">AVERAGE(P83:P112)</f>
        <v>5.85</v>
      </c>
      <c r="Q114" s="1">
        <f t="shared" si="12"/>
        <v>5.5166666666666666</v>
      </c>
      <c r="R114" s="1">
        <f t="shared" si="12"/>
        <v>6.333333333333333</v>
      </c>
      <c r="S114" s="1">
        <f t="shared" si="12"/>
        <v>5.8666666666666663</v>
      </c>
      <c r="T114" s="1">
        <f t="shared" si="12"/>
        <v>5.8</v>
      </c>
      <c r="U114" s="1">
        <f t="shared" si="12"/>
        <v>3.7</v>
      </c>
      <c r="V114" s="1">
        <f t="shared" si="12"/>
        <v>4.8166666666666664</v>
      </c>
      <c r="W114" s="1">
        <f t="shared" si="12"/>
        <v>3.5166666666666666</v>
      </c>
    </row>
    <row r="115" spans="14:23" x14ac:dyDescent="0.25">
      <c r="N115" s="1" t="s">
        <v>104</v>
      </c>
      <c r="O115" s="1">
        <f>O113^2</f>
        <v>11664</v>
      </c>
      <c r="P115" s="1">
        <f t="shared" ref="P115:W115" si="13">P113^2</f>
        <v>30800.25</v>
      </c>
      <c r="Q115" s="1">
        <f t="shared" si="13"/>
        <v>27390.25</v>
      </c>
      <c r="R115" s="1">
        <f t="shared" si="13"/>
        <v>36100</v>
      </c>
      <c r="S115" s="1">
        <f t="shared" si="13"/>
        <v>30976</v>
      </c>
      <c r="T115" s="1">
        <f t="shared" si="13"/>
        <v>30276</v>
      </c>
      <c r="U115" s="1">
        <f t="shared" si="13"/>
        <v>12321</v>
      </c>
      <c r="V115" s="1">
        <f t="shared" si="13"/>
        <v>20880.25</v>
      </c>
      <c r="W115" s="1">
        <f t="shared" si="13"/>
        <v>11130.25</v>
      </c>
    </row>
  </sheetData>
  <sortState ref="AH55:AI63">
    <sortCondition ref="AI55"/>
  </sortState>
  <mergeCells count="11">
    <mergeCell ref="N81:N82"/>
    <mergeCell ref="O81:W81"/>
    <mergeCell ref="B5:B6"/>
    <mergeCell ref="C5:K5"/>
    <mergeCell ref="B43:B44"/>
    <mergeCell ref="C43:K43"/>
    <mergeCell ref="AJ16:AK16"/>
    <mergeCell ref="N5:N6"/>
    <mergeCell ref="O5:W5"/>
    <mergeCell ref="N43:N44"/>
    <mergeCell ref="O43:W43"/>
  </mergeCells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B4:AQ34"/>
  <sheetViews>
    <sheetView tabSelected="1" topLeftCell="B1" zoomScale="76" workbookViewId="0">
      <selection activeCell="P17" sqref="P17"/>
    </sheetView>
  </sheetViews>
  <sheetFormatPr defaultRowHeight="15" x14ac:dyDescent="0.25"/>
  <cols>
    <col min="2" max="2" width="10.28515625" customWidth="1"/>
    <col min="3" max="3" width="12.85546875" customWidth="1"/>
    <col min="4" max="4" width="16.140625" customWidth="1"/>
    <col min="5" max="12" width="10.7109375" bestFit="1" customWidth="1"/>
    <col min="13" max="18" width="9.28515625" bestFit="1" customWidth="1"/>
    <col min="19" max="21" width="10.7109375" bestFit="1" customWidth="1"/>
    <col min="22" max="22" width="12" bestFit="1" customWidth="1"/>
    <col min="25" max="27" width="9.42578125" bestFit="1" customWidth="1"/>
    <col min="29" max="31" width="9.42578125" bestFit="1" customWidth="1"/>
    <col min="33" max="35" width="9.42578125" bestFit="1" customWidth="1"/>
    <col min="37" max="39" width="9.42578125" bestFit="1" customWidth="1"/>
    <col min="41" max="41" width="9.42578125" bestFit="1" customWidth="1"/>
    <col min="42" max="43" width="9.28515625" bestFit="1" customWidth="1"/>
  </cols>
  <sheetData>
    <row r="4" spans="2:43" ht="15.75" customHeight="1" x14ac:dyDescent="0.25">
      <c r="B4" s="64" t="s">
        <v>39</v>
      </c>
      <c r="C4" s="74" t="s">
        <v>40</v>
      </c>
      <c r="D4" s="74" t="s">
        <v>41</v>
      </c>
      <c r="E4" s="82" t="s">
        <v>2</v>
      </c>
      <c r="F4" s="82"/>
      <c r="G4" s="82" t="s">
        <v>3</v>
      </c>
      <c r="H4" s="82"/>
      <c r="I4" s="71" t="s">
        <v>4</v>
      </c>
      <c r="J4" s="71"/>
      <c r="K4" s="71" t="s">
        <v>5</v>
      </c>
      <c r="L4" s="71"/>
      <c r="M4" s="71" t="s">
        <v>6</v>
      </c>
      <c r="N4" s="71"/>
      <c r="O4" s="71" t="s">
        <v>7</v>
      </c>
      <c r="P4" s="71"/>
      <c r="Q4" s="71" t="s">
        <v>8</v>
      </c>
      <c r="R4" s="71"/>
      <c r="S4" s="71" t="s">
        <v>10</v>
      </c>
      <c r="T4" s="71"/>
      <c r="U4" s="71" t="s">
        <v>9</v>
      </c>
      <c r="V4" s="71"/>
      <c r="Y4" t="s">
        <v>54</v>
      </c>
    </row>
    <row r="5" spans="2:43" ht="31.5" x14ac:dyDescent="0.25">
      <c r="B5" s="64"/>
      <c r="C5" s="74"/>
      <c r="D5" s="74"/>
      <c r="E5" s="73" t="s">
        <v>42</v>
      </c>
      <c r="F5" s="74" t="s">
        <v>43</v>
      </c>
      <c r="G5" s="73" t="s">
        <v>42</v>
      </c>
      <c r="H5" s="74" t="s">
        <v>43</v>
      </c>
      <c r="I5" s="74" t="s">
        <v>42</v>
      </c>
      <c r="J5" s="74" t="s">
        <v>43</v>
      </c>
      <c r="K5" s="73" t="s">
        <v>42</v>
      </c>
      <c r="L5" s="74" t="s">
        <v>43</v>
      </c>
      <c r="M5" s="73" t="s">
        <v>42</v>
      </c>
      <c r="N5" s="74" t="s">
        <v>43</v>
      </c>
      <c r="O5" s="73" t="s">
        <v>42</v>
      </c>
      <c r="P5" s="74" t="s">
        <v>43</v>
      </c>
      <c r="Q5" s="73" t="s">
        <v>42</v>
      </c>
      <c r="R5" s="74" t="s">
        <v>43</v>
      </c>
      <c r="S5" s="73" t="s">
        <v>42</v>
      </c>
      <c r="T5" s="74" t="s">
        <v>43</v>
      </c>
      <c r="U5" s="73" t="s">
        <v>42</v>
      </c>
      <c r="V5" s="74" t="s">
        <v>43</v>
      </c>
      <c r="Y5" t="s">
        <v>44</v>
      </c>
      <c r="AC5" t="s">
        <v>55</v>
      </c>
      <c r="AG5" t="s">
        <v>45</v>
      </c>
      <c r="AK5" t="s">
        <v>56</v>
      </c>
      <c r="AO5" t="s">
        <v>57</v>
      </c>
    </row>
    <row r="6" spans="2:43" ht="15.75" x14ac:dyDescent="0.25">
      <c r="B6" s="75" t="s">
        <v>29</v>
      </c>
      <c r="C6" s="76">
        <v>0.83</v>
      </c>
      <c r="D6" s="76">
        <f>C6/C$16</f>
        <v>0.10427135678391961</v>
      </c>
      <c r="E6" s="76">
        <f>D25</f>
        <v>0</v>
      </c>
      <c r="F6" s="76">
        <f>D6*E6</f>
        <v>0</v>
      </c>
      <c r="G6" s="76">
        <f>D26</f>
        <v>5.3847452122138442E-2</v>
      </c>
      <c r="H6" s="76">
        <f>G6*D6</f>
        <v>5.6147468921325262E-3</v>
      </c>
      <c r="I6" s="76">
        <f>D27</f>
        <v>0.76663786390209931</v>
      </c>
      <c r="J6" s="76">
        <f>I6*D6</f>
        <v>7.9938370230997799E-2</v>
      </c>
      <c r="K6" s="76">
        <f>D28</f>
        <v>0.5196593481520575</v>
      </c>
      <c r="L6" s="76">
        <f>K6*D6</f>
        <v>5.4185585297262279E-2</v>
      </c>
      <c r="M6" s="76">
        <f>D29</f>
        <v>0.20689351224603428</v>
      </c>
      <c r="N6" s="76">
        <f>M6*D6</f>
        <v>2.1573067231684482E-2</v>
      </c>
      <c r="O6" s="76">
        <f>D30</f>
        <v>0.90413914798051509</v>
      </c>
      <c r="P6" s="76">
        <f>O6*D6</f>
        <v>9.4275815681385378E-2</v>
      </c>
      <c r="Q6" s="76">
        <f>D31</f>
        <v>0.34274858204213299</v>
      </c>
      <c r="R6" s="76">
        <f>Q6*D6</f>
        <v>3.5738859685297789E-2</v>
      </c>
      <c r="S6" s="76">
        <f>D32</f>
        <v>0.38554223636125989</v>
      </c>
      <c r="T6" s="76">
        <f>S6*D6</f>
        <v>4.0201012082895192E-2</v>
      </c>
      <c r="U6" s="76">
        <f>D33</f>
        <v>1</v>
      </c>
      <c r="V6" s="76">
        <f>U6*D6</f>
        <v>0.10427135678391961</v>
      </c>
      <c r="Y6">
        <v>0</v>
      </c>
      <c r="Z6">
        <v>1</v>
      </c>
      <c r="AA6">
        <f>Z6*Y6</f>
        <v>0</v>
      </c>
      <c r="AC6">
        <v>0</v>
      </c>
      <c r="AD6">
        <v>1</v>
      </c>
      <c r="AE6">
        <f>AD6*AC6</f>
        <v>0</v>
      </c>
      <c r="AG6">
        <v>0</v>
      </c>
      <c r="AI6">
        <f>AH6*AG6</f>
        <v>0</v>
      </c>
      <c r="AK6">
        <v>0</v>
      </c>
      <c r="AL6">
        <v>7</v>
      </c>
      <c r="AM6">
        <f>AL6*AK6</f>
        <v>0</v>
      </c>
      <c r="AO6">
        <v>0</v>
      </c>
      <c r="AP6">
        <v>1</v>
      </c>
      <c r="AQ6">
        <f>AP6*AO6</f>
        <v>0</v>
      </c>
    </row>
    <row r="7" spans="2:43" ht="15.75" x14ac:dyDescent="0.25">
      <c r="B7" s="2" t="s">
        <v>52</v>
      </c>
      <c r="C7" s="76">
        <v>0.89</v>
      </c>
      <c r="D7" s="76">
        <f t="shared" ref="D7:D15" si="0">C7/C$16</f>
        <v>0.11180904522613067</v>
      </c>
      <c r="E7" s="76">
        <f>F25</f>
        <v>0.37438519308454016</v>
      </c>
      <c r="F7" s="76">
        <f t="shared" ref="F7:F14" si="1">D7*E7</f>
        <v>4.1859650985583009E-2</v>
      </c>
      <c r="G7" s="76">
        <f>F26</f>
        <v>0.31335581206392854</v>
      </c>
      <c r="H7" s="76">
        <f t="shared" ref="H7:H15" si="2">G7*D7</f>
        <v>3.503601416292669E-2</v>
      </c>
      <c r="I7" s="76">
        <f>F27</f>
        <v>0.16805695481170327</v>
      </c>
      <c r="J7" s="76">
        <f t="shared" ref="J7:J15" si="3">I7*D7</f>
        <v>1.8790287661107529E-2</v>
      </c>
      <c r="K7" s="76">
        <f>F28</f>
        <v>7.1416107148105298E-2</v>
      </c>
      <c r="L7" s="76">
        <f t="shared" ref="L7:L15" si="4">K7*D7</f>
        <v>7.984966753996698E-3</v>
      </c>
      <c r="M7" s="76">
        <f>F29</f>
        <v>0.25228438249048502</v>
      </c>
      <c r="N7" s="76">
        <f t="shared" ref="N7:N15" si="5">M7*D7</f>
        <v>2.8207675931725087E-2</v>
      </c>
      <c r="O7" s="76">
        <f>F30</f>
        <v>0</v>
      </c>
      <c r="P7" s="76">
        <f t="shared" ref="P7:P15" si="6">O7*D7</f>
        <v>0</v>
      </c>
      <c r="Q7" s="76">
        <f>F31</f>
        <v>0.16942904609273082</v>
      </c>
      <c r="R7" s="76">
        <f t="shared" ref="R7:R15" si="7">Q7*D7</f>
        <v>1.8943699877202319E-2</v>
      </c>
      <c r="S7" s="76">
        <f>F32</f>
        <v>0.15408312962427242</v>
      </c>
      <c r="T7" s="76">
        <f t="shared" ref="T7:T15" si="8">S7*D7</f>
        <v>1.7227887608744028E-2</v>
      </c>
      <c r="U7" s="76">
        <f>F33</f>
        <v>1</v>
      </c>
      <c r="V7" s="76">
        <f t="shared" ref="V7:V15" si="9">U7*D7</f>
        <v>0.11180904522613067</v>
      </c>
      <c r="Y7">
        <v>0.2</v>
      </c>
      <c r="AA7">
        <f t="shared" ref="AA7:AA11" si="10">Z7*Y7</f>
        <v>0</v>
      </c>
      <c r="AC7">
        <v>0.2</v>
      </c>
      <c r="AE7">
        <f t="shared" ref="AE7:AE11" si="11">AD7*AC7</f>
        <v>0</v>
      </c>
      <c r="AG7">
        <v>0.2</v>
      </c>
      <c r="AH7">
        <v>1</v>
      </c>
      <c r="AI7">
        <f t="shared" ref="AI7:AI11" si="12">AH7*AG7</f>
        <v>0.2</v>
      </c>
      <c r="AK7">
        <v>0.2</v>
      </c>
      <c r="AL7">
        <v>4</v>
      </c>
      <c r="AM7">
        <f t="shared" ref="AM7:AM11" si="13">AL7*AK7</f>
        <v>0.8</v>
      </c>
      <c r="AO7">
        <v>0.2</v>
      </c>
      <c r="AP7">
        <v>1</v>
      </c>
      <c r="AQ7">
        <f t="shared" ref="AQ7:AQ11" si="14">AP7*AO7</f>
        <v>0.2</v>
      </c>
    </row>
    <row r="8" spans="2:43" ht="15.75" x14ac:dyDescent="0.25">
      <c r="B8" s="2" t="s">
        <v>51</v>
      </c>
      <c r="C8" s="76">
        <v>0.83</v>
      </c>
      <c r="D8" s="76">
        <f t="shared" si="0"/>
        <v>0.10427135678391961</v>
      </c>
      <c r="E8" s="76">
        <f>H25</f>
        <v>0</v>
      </c>
      <c r="F8" s="76">
        <f t="shared" si="1"/>
        <v>0</v>
      </c>
      <c r="G8" s="76">
        <f>H26</f>
        <v>0.18683932346723064</v>
      </c>
      <c r="H8" s="76">
        <f t="shared" si="2"/>
        <v>1.9481989758517771E-2</v>
      </c>
      <c r="I8" s="76">
        <f>H27</f>
        <v>0.71009880348154286</v>
      </c>
      <c r="J8" s="76">
        <f t="shared" si="3"/>
        <v>7.4042965689658374E-2</v>
      </c>
      <c r="K8" s="76">
        <f>H28</f>
        <v>0.13239957716701917</v>
      </c>
      <c r="L8" s="76">
        <f t="shared" si="4"/>
        <v>1.3805483548822351E-2</v>
      </c>
      <c r="M8" s="76">
        <f>H29</f>
        <v>0.19944817067930362</v>
      </c>
      <c r="N8" s="76">
        <f t="shared" si="5"/>
        <v>2.0796731364801761E-2</v>
      </c>
      <c r="O8" s="76">
        <f>H30</f>
        <v>0.48676207024689222</v>
      </c>
      <c r="P8" s="76">
        <f t="shared" si="6"/>
        <v>5.0755341495593034E-2</v>
      </c>
      <c r="Q8" s="76">
        <f>H31</f>
        <v>0.34980759489281171</v>
      </c>
      <c r="R8" s="76">
        <f t="shared" si="7"/>
        <v>3.6474912532793183E-2</v>
      </c>
      <c r="S8" s="76">
        <f>H32</f>
        <v>0.85005500519117883</v>
      </c>
      <c r="T8" s="76">
        <f t="shared" si="8"/>
        <v>8.8636388732246038E-2</v>
      </c>
      <c r="U8" s="76">
        <f>H33</f>
        <v>1</v>
      </c>
      <c r="V8" s="76">
        <f t="shared" si="9"/>
        <v>0.10427135678391961</v>
      </c>
      <c r="Y8">
        <v>0.4</v>
      </c>
      <c r="Z8">
        <v>1</v>
      </c>
      <c r="AA8">
        <f t="shared" si="10"/>
        <v>0.4</v>
      </c>
      <c r="AC8">
        <v>0.4</v>
      </c>
      <c r="AE8">
        <f t="shared" si="11"/>
        <v>0</v>
      </c>
      <c r="AG8">
        <v>0.4</v>
      </c>
      <c r="AH8">
        <v>3</v>
      </c>
      <c r="AI8">
        <f t="shared" si="12"/>
        <v>1.2000000000000002</v>
      </c>
      <c r="AK8">
        <v>0.4</v>
      </c>
      <c r="AL8">
        <v>1</v>
      </c>
      <c r="AM8">
        <f t="shared" si="13"/>
        <v>0.4</v>
      </c>
      <c r="AO8">
        <v>0.4</v>
      </c>
      <c r="AP8">
        <v>9</v>
      </c>
      <c r="AQ8">
        <f t="shared" si="14"/>
        <v>3.6</v>
      </c>
    </row>
    <row r="9" spans="2:43" ht="15.75" x14ac:dyDescent="0.25">
      <c r="B9" s="75" t="s">
        <v>44</v>
      </c>
      <c r="C9" s="76">
        <v>0.84</v>
      </c>
      <c r="D9" s="76">
        <f t="shared" si="0"/>
        <v>0.10552763819095479</v>
      </c>
      <c r="E9" s="76">
        <f>J25</f>
        <v>0.28237031873969259</v>
      </c>
      <c r="F9" s="76">
        <f t="shared" si="1"/>
        <v>2.979787283182686E-2</v>
      </c>
      <c r="G9" s="76">
        <f>J26</f>
        <v>0</v>
      </c>
      <c r="H9" s="76">
        <f t="shared" si="2"/>
        <v>0</v>
      </c>
      <c r="I9" s="76">
        <f>J27</f>
        <v>0.15372244648436792</v>
      </c>
      <c r="J9" s="76">
        <f t="shared" si="3"/>
        <v>1.6221966714430786E-2</v>
      </c>
      <c r="K9" s="76">
        <f>J28</f>
        <v>0.41463247182592217</v>
      </c>
      <c r="L9" s="76">
        <f t="shared" si="4"/>
        <v>4.3755185469067169E-2</v>
      </c>
      <c r="M9" s="76">
        <f>J29</f>
        <v>0.92034258129020863</v>
      </c>
      <c r="N9" s="76">
        <f t="shared" si="5"/>
        <v>9.7121578930122535E-2</v>
      </c>
      <c r="O9" s="76">
        <f>J30</f>
        <v>0.6334322039291076</v>
      </c>
      <c r="P9" s="76">
        <f t="shared" si="6"/>
        <v>6.6844604434729962E-2</v>
      </c>
      <c r="Q9" s="76">
        <f>J31</f>
        <v>0.68345306439178999</v>
      </c>
      <c r="R9" s="76">
        <f t="shared" si="7"/>
        <v>7.2123187699636132E-2</v>
      </c>
      <c r="S9" s="76">
        <f>J32</f>
        <v>0.97380075747587969</v>
      </c>
      <c r="T9" s="76">
        <f t="shared" si="8"/>
        <v>0.10276289400499235</v>
      </c>
      <c r="U9" s="76">
        <f>J33</f>
        <v>1</v>
      </c>
      <c r="V9" s="76">
        <f t="shared" si="9"/>
        <v>0.10552763819095479</v>
      </c>
      <c r="Y9">
        <v>0.6</v>
      </c>
      <c r="Z9">
        <v>2</v>
      </c>
      <c r="AA9">
        <f t="shared" si="10"/>
        <v>1.2</v>
      </c>
      <c r="AC9">
        <v>0.6</v>
      </c>
      <c r="AD9">
        <v>5</v>
      </c>
      <c r="AE9">
        <f t="shared" si="11"/>
        <v>3</v>
      </c>
      <c r="AG9">
        <v>0.6</v>
      </c>
      <c r="AH9">
        <v>5</v>
      </c>
      <c r="AI9">
        <f t="shared" si="12"/>
        <v>3</v>
      </c>
      <c r="AK9">
        <v>0.6</v>
      </c>
      <c r="AL9">
        <v>4</v>
      </c>
      <c r="AM9">
        <f t="shared" si="13"/>
        <v>2.4</v>
      </c>
      <c r="AO9">
        <v>0.6</v>
      </c>
      <c r="AP9">
        <v>4</v>
      </c>
      <c r="AQ9">
        <f t="shared" si="14"/>
        <v>2.4</v>
      </c>
    </row>
    <row r="10" spans="2:43" ht="15.75" x14ac:dyDescent="0.25">
      <c r="B10" s="75" t="s">
        <v>45</v>
      </c>
      <c r="C10" s="76">
        <v>0.8</v>
      </c>
      <c r="D10" s="76">
        <f t="shared" si="0"/>
        <v>0.10050251256281409</v>
      </c>
      <c r="E10" s="76">
        <f>L25</f>
        <v>1</v>
      </c>
      <c r="F10" s="76">
        <f t="shared" si="1"/>
        <v>0.10050251256281409</v>
      </c>
      <c r="G10" s="76">
        <f>L26</f>
        <v>0.58803390935767852</v>
      </c>
      <c r="H10" s="76">
        <f t="shared" si="2"/>
        <v>5.9098885362580768E-2</v>
      </c>
      <c r="I10" s="76">
        <f>L27</f>
        <v>0</v>
      </c>
      <c r="J10" s="76">
        <f t="shared" si="3"/>
        <v>0</v>
      </c>
      <c r="K10" s="76">
        <f>L28</f>
        <v>0.13563743071405276</v>
      </c>
      <c r="L10" s="76">
        <f t="shared" si="4"/>
        <v>1.3631902584326913E-2</v>
      </c>
      <c r="M10" s="76">
        <f>L29</f>
        <v>0.92631235735246165</v>
      </c>
      <c r="N10" s="76">
        <f t="shared" si="5"/>
        <v>9.3096719331905706E-2</v>
      </c>
      <c r="O10" s="76">
        <f>L30</f>
        <v>0.13107270948809913</v>
      </c>
      <c r="P10" s="76">
        <f t="shared" si="6"/>
        <v>1.3173136631969763E-2</v>
      </c>
      <c r="Q10" s="76">
        <f>L31</f>
        <v>0.48076296054776646</v>
      </c>
      <c r="R10" s="76">
        <f t="shared" si="7"/>
        <v>4.8317885482187593E-2</v>
      </c>
      <c r="S10" s="76">
        <f>L32</f>
        <v>5.1842191066188481E-2</v>
      </c>
      <c r="T10" s="76">
        <f t="shared" si="8"/>
        <v>5.2102704589134163E-3</v>
      </c>
      <c r="U10" s="76">
        <f>L33</f>
        <v>0.43104010433648515</v>
      </c>
      <c r="V10" s="76">
        <f t="shared" si="9"/>
        <v>4.3320613501154293E-2</v>
      </c>
      <c r="Y10">
        <v>0.8</v>
      </c>
      <c r="Z10">
        <v>4</v>
      </c>
      <c r="AA10">
        <f t="shared" si="10"/>
        <v>3.2</v>
      </c>
      <c r="AC10">
        <v>0.8</v>
      </c>
      <c r="AD10">
        <v>10</v>
      </c>
      <c r="AE10">
        <f t="shared" si="11"/>
        <v>8</v>
      </c>
      <c r="AG10">
        <v>0.8</v>
      </c>
      <c r="AH10">
        <v>7</v>
      </c>
      <c r="AI10">
        <f t="shared" si="12"/>
        <v>5.6000000000000005</v>
      </c>
      <c r="AK10">
        <v>0.8</v>
      </c>
      <c r="AL10">
        <v>5</v>
      </c>
      <c r="AM10">
        <f t="shared" si="13"/>
        <v>4</v>
      </c>
      <c r="AO10">
        <v>0.8</v>
      </c>
      <c r="AP10">
        <v>4</v>
      </c>
      <c r="AQ10">
        <f t="shared" si="14"/>
        <v>3.2</v>
      </c>
    </row>
    <row r="11" spans="2:43" ht="15.75" x14ac:dyDescent="0.25">
      <c r="B11" s="75" t="s">
        <v>46</v>
      </c>
      <c r="C11" s="76">
        <v>0.55000000000000004</v>
      </c>
      <c r="D11" s="76">
        <f t="shared" si="0"/>
        <v>6.9095477386934681E-2</v>
      </c>
      <c r="E11" s="76">
        <f>N25</f>
        <v>0.72525252525252537</v>
      </c>
      <c r="F11" s="76">
        <f t="shared" si="1"/>
        <v>5.0111669458403139E-2</v>
      </c>
      <c r="G11" s="76">
        <f>N26</f>
        <v>0.84511784511784482</v>
      </c>
      <c r="H11" s="76">
        <f t="shared" si="2"/>
        <v>5.8393820956635013E-2</v>
      </c>
      <c r="I11" s="76">
        <f>N27</f>
        <v>0.78922558922558939</v>
      </c>
      <c r="J11" s="76">
        <f t="shared" si="3"/>
        <v>5.4531918853526908E-2</v>
      </c>
      <c r="K11" s="76">
        <f>N28</f>
        <v>0.377104377104377</v>
      </c>
      <c r="L11" s="76">
        <f t="shared" si="4"/>
        <v>2.6056206960729571E-2</v>
      </c>
      <c r="M11" s="76">
        <f>N29</f>
        <v>0.6141414141414141</v>
      </c>
      <c r="N11" s="76">
        <f t="shared" si="5"/>
        <v>4.2434394193188167E-2</v>
      </c>
      <c r="O11" s="76">
        <f>N30</f>
        <v>1</v>
      </c>
      <c r="P11" s="76">
        <f t="shared" si="6"/>
        <v>6.9095477386934681E-2</v>
      </c>
      <c r="Q11" s="76">
        <f>N31</f>
        <v>0.83299663299663274</v>
      </c>
      <c r="R11" s="76">
        <f t="shared" si="7"/>
        <v>5.7556300018611561E-2</v>
      </c>
      <c r="S11" s="76">
        <f>N32</f>
        <v>0</v>
      </c>
      <c r="T11" s="76">
        <f t="shared" si="8"/>
        <v>0</v>
      </c>
      <c r="U11" s="76">
        <f>N33</f>
        <v>0.37979797979797986</v>
      </c>
      <c r="V11" s="76">
        <f t="shared" si="9"/>
        <v>2.6242322724734791E-2</v>
      </c>
      <c r="Y11">
        <v>1</v>
      </c>
      <c r="Z11">
        <v>22</v>
      </c>
      <c r="AA11">
        <f t="shared" si="10"/>
        <v>22</v>
      </c>
      <c r="AC11">
        <v>1</v>
      </c>
      <c r="AD11">
        <v>14</v>
      </c>
      <c r="AE11">
        <f t="shared" si="11"/>
        <v>14</v>
      </c>
      <c r="AG11">
        <v>1</v>
      </c>
      <c r="AH11">
        <v>14</v>
      </c>
      <c r="AI11">
        <f t="shared" si="12"/>
        <v>14</v>
      </c>
      <c r="AK11">
        <v>1</v>
      </c>
      <c r="AL11">
        <v>9</v>
      </c>
      <c r="AM11">
        <f t="shared" si="13"/>
        <v>9</v>
      </c>
      <c r="AO11">
        <v>1</v>
      </c>
      <c r="AP11">
        <v>11</v>
      </c>
      <c r="AQ11">
        <f t="shared" si="14"/>
        <v>11</v>
      </c>
    </row>
    <row r="12" spans="2:43" ht="15.75" x14ac:dyDescent="0.25">
      <c r="B12" s="75" t="s">
        <v>47</v>
      </c>
      <c r="C12" s="76">
        <v>0.68</v>
      </c>
      <c r="D12" s="76">
        <f t="shared" si="0"/>
        <v>8.5427135678391983E-2</v>
      </c>
      <c r="E12" s="76">
        <f>P25</f>
        <v>1.0596571428571426</v>
      </c>
      <c r="F12" s="76">
        <f t="shared" si="1"/>
        <v>9.0523474515434313E-2</v>
      </c>
      <c r="G12" s="76">
        <f>P26</f>
        <v>0.17600000000000002</v>
      </c>
      <c r="H12" s="76">
        <f t="shared" si="2"/>
        <v>1.5035175879396991E-2</v>
      </c>
      <c r="I12" s="76">
        <f>P27</f>
        <v>0</v>
      </c>
      <c r="J12" s="76">
        <f t="shared" si="3"/>
        <v>0</v>
      </c>
      <c r="K12" s="76">
        <f>P28</f>
        <v>0.24091428571428566</v>
      </c>
      <c r="L12" s="76">
        <f t="shared" si="4"/>
        <v>2.0580617372577173E-2</v>
      </c>
      <c r="M12" s="76">
        <f>P29</f>
        <v>0.8973714285714286</v>
      </c>
      <c r="N12" s="76">
        <f t="shared" si="5"/>
        <v>7.6659870782483874E-2</v>
      </c>
      <c r="O12" s="76">
        <f>P30</f>
        <v>1</v>
      </c>
      <c r="P12" s="76">
        <f t="shared" si="6"/>
        <v>8.5427135678391983E-2</v>
      </c>
      <c r="Q12" s="76">
        <f>P31</f>
        <v>0.81691428571428581</v>
      </c>
      <c r="R12" s="76">
        <f t="shared" si="7"/>
        <v>6.9786647523330969E-2</v>
      </c>
      <c r="S12" s="76">
        <f>P32</f>
        <v>0.80845714285714276</v>
      </c>
      <c r="T12" s="76">
        <f t="shared" si="8"/>
        <v>6.9064178033022269E-2</v>
      </c>
      <c r="U12" s="76">
        <f>P33</f>
        <v>0.12274285714285715</v>
      </c>
      <c r="V12" s="76">
        <f t="shared" si="9"/>
        <v>1.0485570710696343E-2</v>
      </c>
      <c r="Z12">
        <f>SUM(Z6:Z11)</f>
        <v>30</v>
      </c>
      <c r="AA12">
        <f>SUM(AA6:AA11)/30</f>
        <v>0.89333333333333331</v>
      </c>
      <c r="AD12">
        <f>SUM(AD6:AD11)</f>
        <v>30</v>
      </c>
      <c r="AE12">
        <f>SUM(AE6:AE11)/30</f>
        <v>0.83333333333333337</v>
      </c>
      <c r="AH12">
        <f>SUM(AH6:AH11)</f>
        <v>30</v>
      </c>
      <c r="AI12">
        <f>SUM(AI6:AI11)/30</f>
        <v>0.8</v>
      </c>
      <c r="AL12">
        <f>SUM(AL6:AL11)</f>
        <v>30</v>
      </c>
      <c r="AM12">
        <f>SUM(AM6:AM11)/30</f>
        <v>0.55333333333333334</v>
      </c>
      <c r="AP12">
        <f>SUM(AP6:AP11)</f>
        <v>30</v>
      </c>
      <c r="AQ12">
        <f>SUM(AQ6:AQ11)/30</f>
        <v>0.67999999999999994</v>
      </c>
    </row>
    <row r="13" spans="2:43" ht="15.75" x14ac:dyDescent="0.25">
      <c r="B13" s="75" t="s">
        <v>48</v>
      </c>
      <c r="C13" s="76">
        <v>0.8</v>
      </c>
      <c r="D13" s="76">
        <f t="shared" si="0"/>
        <v>0.10050251256281409</v>
      </c>
      <c r="E13" s="76">
        <f>R25</f>
        <v>7.3170731707316805E-2</v>
      </c>
      <c r="F13" s="76">
        <f t="shared" si="1"/>
        <v>7.3538423826449064E-3</v>
      </c>
      <c r="G13" s="76">
        <f>R26</f>
        <v>0.87804878048780466</v>
      </c>
      <c r="H13" s="76">
        <f t="shared" si="2"/>
        <v>8.8246108591739175E-2</v>
      </c>
      <c r="I13" s="76">
        <f>R27</f>
        <v>0.70731707317073145</v>
      </c>
      <c r="J13" s="76">
        <f t="shared" si="3"/>
        <v>7.1087143032234332E-2</v>
      </c>
      <c r="K13" s="76">
        <f>R28</f>
        <v>1</v>
      </c>
      <c r="L13" s="76">
        <f t="shared" si="4"/>
        <v>0.10050251256281409</v>
      </c>
      <c r="M13" s="76">
        <f>R29</f>
        <v>0.92682926829268286</v>
      </c>
      <c r="N13" s="76">
        <f t="shared" si="5"/>
        <v>9.3148670180169146E-2</v>
      </c>
      <c r="O13" s="76">
        <f>R30</f>
        <v>0.90243902439024359</v>
      </c>
      <c r="P13" s="76">
        <f t="shared" si="6"/>
        <v>9.0697389385954147E-2</v>
      </c>
      <c r="Q13" s="76">
        <f>R31</f>
        <v>9.7560975609756073E-2</v>
      </c>
      <c r="R13" s="76">
        <f t="shared" si="7"/>
        <v>9.8051231768599093E-3</v>
      </c>
      <c r="S13" s="76">
        <f>R32</f>
        <v>0.5121951219512193</v>
      </c>
      <c r="T13" s="76">
        <f t="shared" si="8"/>
        <v>5.147689667851451E-2</v>
      </c>
      <c r="U13" s="76">
        <f>R33</f>
        <v>0</v>
      </c>
      <c r="V13" s="76">
        <f t="shared" si="9"/>
        <v>0</v>
      </c>
    </row>
    <row r="14" spans="2:43" ht="15.75" x14ac:dyDescent="0.25">
      <c r="B14" s="75" t="s">
        <v>49</v>
      </c>
      <c r="C14" s="76">
        <v>0.83</v>
      </c>
      <c r="D14" s="76">
        <f t="shared" si="0"/>
        <v>0.10427135678391961</v>
      </c>
      <c r="E14" s="76">
        <f>T25</f>
        <v>0</v>
      </c>
      <c r="F14" s="76">
        <f t="shared" si="1"/>
        <v>0</v>
      </c>
      <c r="G14" s="76">
        <f>T26</f>
        <v>1</v>
      </c>
      <c r="H14" s="76">
        <f t="shared" si="2"/>
        <v>0.10427135678391961</v>
      </c>
      <c r="I14" s="76">
        <f>T27</f>
        <v>0.6</v>
      </c>
      <c r="J14" s="76">
        <f t="shared" si="3"/>
        <v>6.256281407035176E-2</v>
      </c>
      <c r="K14" s="76">
        <f>T28</f>
        <v>0.3</v>
      </c>
      <c r="L14" s="76">
        <f t="shared" si="4"/>
        <v>3.128140703517588E-2</v>
      </c>
      <c r="M14" s="76">
        <f>T29</f>
        <v>0.1</v>
      </c>
      <c r="N14" s="76">
        <f t="shared" si="5"/>
        <v>1.0427135678391961E-2</v>
      </c>
      <c r="O14" s="76">
        <f>T30</f>
        <v>0.12499999999999992</v>
      </c>
      <c r="P14" s="76">
        <f t="shared" si="6"/>
        <v>1.3033919597989942E-2</v>
      </c>
      <c r="Q14" s="76">
        <f>T31</f>
        <v>7.500000000000008E-2</v>
      </c>
      <c r="R14" s="76">
        <f t="shared" si="7"/>
        <v>7.8203517587939787E-3</v>
      </c>
      <c r="S14" s="76">
        <f>T32</f>
        <v>0.65000000000000013</v>
      </c>
      <c r="T14" s="76">
        <f t="shared" si="8"/>
        <v>6.7776381909547753E-2</v>
      </c>
      <c r="U14" s="76">
        <f>T33</f>
        <v>0.47500000000000009</v>
      </c>
      <c r="V14" s="76">
        <f t="shared" si="9"/>
        <v>4.952889447236182E-2</v>
      </c>
    </row>
    <row r="15" spans="2:43" ht="15.75" x14ac:dyDescent="0.25">
      <c r="B15" s="75" t="s">
        <v>50</v>
      </c>
      <c r="C15" s="76">
        <v>0.91</v>
      </c>
      <c r="D15" s="76">
        <f t="shared" si="0"/>
        <v>0.11432160804020103</v>
      </c>
      <c r="E15" s="76">
        <f>V25</f>
        <v>0.28571428571428542</v>
      </c>
      <c r="F15" s="76">
        <f>D15*E15</f>
        <v>3.2663316582914548E-2</v>
      </c>
      <c r="G15" s="76">
        <f>V26</f>
        <v>0.80952380952380953</v>
      </c>
      <c r="H15" s="76">
        <f t="shared" si="2"/>
        <v>9.2546063651591307E-2</v>
      </c>
      <c r="I15" s="76">
        <f>V27</f>
        <v>0.42857142857142849</v>
      </c>
      <c r="J15" s="76">
        <f t="shared" si="3"/>
        <v>4.8994974874371863E-2</v>
      </c>
      <c r="K15" s="76">
        <f>V28</f>
        <v>0.85714285714285698</v>
      </c>
      <c r="L15" s="76">
        <f t="shared" si="4"/>
        <v>9.7989949748743727E-2</v>
      </c>
      <c r="M15" s="76">
        <f>V29</f>
        <v>0.61904761904761896</v>
      </c>
      <c r="N15" s="76">
        <f t="shared" si="5"/>
        <v>7.0770519262981585E-2</v>
      </c>
      <c r="O15" s="76">
        <f>V30</f>
        <v>1</v>
      </c>
      <c r="P15" s="76">
        <f t="shared" si="6"/>
        <v>0.11432160804020103</v>
      </c>
      <c r="Q15" s="76">
        <f>V31</f>
        <v>0.38095238095238099</v>
      </c>
      <c r="R15" s="76">
        <f t="shared" si="7"/>
        <v>4.3551088777219443E-2</v>
      </c>
      <c r="S15" s="76">
        <f>V32</f>
        <v>0.95238095238095255</v>
      </c>
      <c r="T15" s="76">
        <f t="shared" si="8"/>
        <v>0.10887772194304862</v>
      </c>
      <c r="U15" s="76">
        <f>V33</f>
        <v>0</v>
      </c>
      <c r="V15" s="76">
        <f t="shared" si="9"/>
        <v>0</v>
      </c>
      <c r="Y15" t="s">
        <v>52</v>
      </c>
      <c r="AC15" t="s">
        <v>29</v>
      </c>
      <c r="AG15" t="s">
        <v>58</v>
      </c>
      <c r="AK15" t="s">
        <v>59</v>
      </c>
      <c r="AO15" t="s">
        <v>60</v>
      </c>
    </row>
    <row r="16" spans="2:43" ht="15.75" x14ac:dyDescent="0.25">
      <c r="B16" s="75" t="s">
        <v>17</v>
      </c>
      <c r="C16" s="76">
        <f>SUM(C6:C15)</f>
        <v>7.9599999999999991</v>
      </c>
      <c r="D16" s="75"/>
      <c r="E16" s="75"/>
      <c r="F16" s="77">
        <f>SUM(F6:F15)</f>
        <v>0.35281233931962086</v>
      </c>
      <c r="G16" s="77"/>
      <c r="H16" s="77">
        <f t="shared" ref="H16:T16" si="15">SUM(H6:H15)</f>
        <v>0.47772416203943985</v>
      </c>
      <c r="I16" s="77"/>
      <c r="J16" s="77">
        <f t="shared" si="15"/>
        <v>0.42617044112667934</v>
      </c>
      <c r="K16" s="77"/>
      <c r="L16" s="77">
        <f t="shared" si="15"/>
        <v>0.40977381733351592</v>
      </c>
      <c r="M16" s="77"/>
      <c r="N16" s="77">
        <f t="shared" si="15"/>
        <v>0.55423636288745437</v>
      </c>
      <c r="O16" s="77"/>
      <c r="P16" s="77">
        <f t="shared" si="15"/>
        <v>0.59762442833314999</v>
      </c>
      <c r="Q16" s="77"/>
      <c r="R16" s="77">
        <f t="shared" si="15"/>
        <v>0.40011805653193289</v>
      </c>
      <c r="S16" s="77"/>
      <c r="T16" s="77">
        <f t="shared" si="15"/>
        <v>0.55123363145192417</v>
      </c>
      <c r="U16" s="77"/>
      <c r="V16" s="77">
        <f>SUM(V6:V15)</f>
        <v>0.55545679839387196</v>
      </c>
      <c r="Y16">
        <v>0</v>
      </c>
      <c r="Z16">
        <v>1</v>
      </c>
      <c r="AA16">
        <f>Z16*Y16</f>
        <v>0</v>
      </c>
      <c r="AC16">
        <v>0</v>
      </c>
      <c r="AE16">
        <f>AD16*AC16</f>
        <v>0</v>
      </c>
      <c r="AG16">
        <v>0</v>
      </c>
      <c r="AI16">
        <f>AH16*AG16</f>
        <v>0</v>
      </c>
      <c r="AK16">
        <v>0</v>
      </c>
      <c r="AM16">
        <f>AL16*AK16</f>
        <v>0</v>
      </c>
      <c r="AO16">
        <v>0</v>
      </c>
      <c r="AQ16">
        <f>AP16*AO16</f>
        <v>0</v>
      </c>
    </row>
    <row r="17" spans="2:43" x14ac:dyDescent="0.25">
      <c r="P17" t="s">
        <v>129</v>
      </c>
      <c r="Y17">
        <v>0.2</v>
      </c>
      <c r="AA17">
        <f t="shared" ref="AA17:AA21" si="16">Z17*Y17</f>
        <v>0</v>
      </c>
      <c r="AC17">
        <v>0.2</v>
      </c>
      <c r="AD17">
        <v>1</v>
      </c>
      <c r="AE17">
        <f t="shared" ref="AE17:AE21" si="17">AD17*AC17</f>
        <v>0.2</v>
      </c>
      <c r="AG17">
        <v>0.2</v>
      </c>
      <c r="AI17">
        <f t="shared" ref="AI17:AI21" si="18">AH17*AG17</f>
        <v>0</v>
      </c>
      <c r="AK17">
        <v>0.2</v>
      </c>
      <c r="AM17">
        <f t="shared" ref="AM17:AM21" si="19">AL17*AK17</f>
        <v>0</v>
      </c>
      <c r="AO17">
        <v>0.2</v>
      </c>
      <c r="AQ17">
        <f t="shared" ref="AQ17:AQ21" si="20">AP17*AO17</f>
        <v>0</v>
      </c>
    </row>
    <row r="18" spans="2:43" x14ac:dyDescent="0.25">
      <c r="Y18">
        <v>0.4</v>
      </c>
      <c r="AA18">
        <f t="shared" si="16"/>
        <v>0</v>
      </c>
      <c r="AC18">
        <v>0.4</v>
      </c>
      <c r="AD18">
        <v>1</v>
      </c>
      <c r="AE18">
        <f t="shared" si="17"/>
        <v>0.4</v>
      </c>
      <c r="AG18">
        <v>0.4</v>
      </c>
      <c r="AH18">
        <v>3</v>
      </c>
      <c r="AI18">
        <f t="shared" si="18"/>
        <v>1.2000000000000002</v>
      </c>
      <c r="AK18">
        <v>0.4</v>
      </c>
      <c r="AM18">
        <f t="shared" si="19"/>
        <v>0</v>
      </c>
      <c r="AO18">
        <v>0.4</v>
      </c>
      <c r="AQ18">
        <f t="shared" si="20"/>
        <v>0</v>
      </c>
    </row>
    <row r="19" spans="2:43" x14ac:dyDescent="0.25">
      <c r="Y19">
        <v>0.6</v>
      </c>
      <c r="Z19">
        <v>3</v>
      </c>
      <c r="AA19">
        <f t="shared" si="16"/>
        <v>1.7999999999999998</v>
      </c>
      <c r="AC19">
        <v>0.6</v>
      </c>
      <c r="AD19">
        <v>3</v>
      </c>
      <c r="AE19">
        <f t="shared" si="17"/>
        <v>1.7999999999999998</v>
      </c>
      <c r="AG19">
        <v>0.6</v>
      </c>
      <c r="AH19">
        <v>6</v>
      </c>
      <c r="AI19">
        <f t="shared" si="18"/>
        <v>3.5999999999999996</v>
      </c>
      <c r="AK19">
        <v>0.6</v>
      </c>
      <c r="AL19">
        <v>7</v>
      </c>
      <c r="AM19">
        <f t="shared" si="19"/>
        <v>4.2</v>
      </c>
      <c r="AO19">
        <v>0.6</v>
      </c>
      <c r="AP19">
        <v>4</v>
      </c>
      <c r="AQ19">
        <f t="shared" si="20"/>
        <v>2.4</v>
      </c>
    </row>
    <row r="20" spans="2:43" x14ac:dyDescent="0.25">
      <c r="B20" t="s">
        <v>139</v>
      </c>
      <c r="C20" t="s">
        <v>140</v>
      </c>
      <c r="Y20">
        <v>0.8</v>
      </c>
      <c r="Z20">
        <v>14</v>
      </c>
      <c r="AA20">
        <f t="shared" si="16"/>
        <v>11.200000000000001</v>
      </c>
      <c r="AC20">
        <v>0.8</v>
      </c>
      <c r="AD20">
        <v>11</v>
      </c>
      <c r="AE20">
        <f t="shared" si="17"/>
        <v>8.8000000000000007</v>
      </c>
      <c r="AG20">
        <v>0.8</v>
      </c>
      <c r="AH20">
        <v>9</v>
      </c>
      <c r="AI20">
        <f t="shared" si="18"/>
        <v>7.2</v>
      </c>
      <c r="AK20">
        <v>0.8</v>
      </c>
      <c r="AL20">
        <v>11</v>
      </c>
      <c r="AM20">
        <f t="shared" si="19"/>
        <v>8.8000000000000007</v>
      </c>
      <c r="AO20">
        <v>0.8</v>
      </c>
      <c r="AP20">
        <v>6</v>
      </c>
      <c r="AQ20">
        <f t="shared" si="20"/>
        <v>4.8000000000000007</v>
      </c>
    </row>
    <row r="21" spans="2:43" x14ac:dyDescent="0.25">
      <c r="Y21">
        <v>1</v>
      </c>
      <c r="Z21">
        <v>12</v>
      </c>
      <c r="AA21">
        <f t="shared" si="16"/>
        <v>12</v>
      </c>
      <c r="AC21">
        <v>1</v>
      </c>
      <c r="AD21">
        <v>14</v>
      </c>
      <c r="AE21">
        <f t="shared" si="17"/>
        <v>14</v>
      </c>
      <c r="AG21">
        <v>1</v>
      </c>
      <c r="AH21">
        <v>12</v>
      </c>
      <c r="AI21">
        <f t="shared" si="18"/>
        <v>12</v>
      </c>
      <c r="AK21">
        <v>1</v>
      </c>
      <c r="AL21">
        <v>12</v>
      </c>
      <c r="AM21">
        <f t="shared" si="19"/>
        <v>12</v>
      </c>
      <c r="AO21">
        <v>1</v>
      </c>
      <c r="AP21">
        <v>20</v>
      </c>
      <c r="AQ21">
        <f t="shared" si="20"/>
        <v>20</v>
      </c>
    </row>
    <row r="22" spans="2:43" x14ac:dyDescent="0.25">
      <c r="B22" t="s">
        <v>61</v>
      </c>
      <c r="Z22">
        <f>SUM(Z16:Z21)</f>
        <v>30</v>
      </c>
      <c r="AA22">
        <f>SUM(AA16:AA21)/30</f>
        <v>0.83333333333333337</v>
      </c>
      <c r="AD22">
        <f>SUM(AD16:AD21)</f>
        <v>30</v>
      </c>
      <c r="AE22">
        <f>SUM(AE16:AE21)/30</f>
        <v>0.84000000000000008</v>
      </c>
      <c r="AH22">
        <f>SUM(AH16:AH21)</f>
        <v>30</v>
      </c>
      <c r="AI22">
        <f>SUM(AI16:AI21)/30</f>
        <v>0.8</v>
      </c>
      <c r="AL22">
        <f>SUM(AL16:AL21)</f>
        <v>30</v>
      </c>
      <c r="AM22">
        <f>SUM(AM16:AM21)/30</f>
        <v>0.83333333333333337</v>
      </c>
      <c r="AP22">
        <f>SUM(AP16:AP21)</f>
        <v>30</v>
      </c>
      <c r="AQ22">
        <f>SUM(AQ16:AQ21)/30</f>
        <v>0.90666666666666673</v>
      </c>
    </row>
    <row r="24" spans="2:43" ht="15.75" x14ac:dyDescent="0.25">
      <c r="B24" s="23" t="s">
        <v>1</v>
      </c>
      <c r="C24" s="1" t="s">
        <v>53</v>
      </c>
      <c r="D24" s="24" t="s">
        <v>62</v>
      </c>
      <c r="E24" s="1" t="s">
        <v>52</v>
      </c>
      <c r="F24" s="24" t="s">
        <v>63</v>
      </c>
      <c r="G24" s="81" t="s">
        <v>51</v>
      </c>
      <c r="H24" s="78" t="s">
        <v>63</v>
      </c>
      <c r="I24" s="68" t="s">
        <v>44</v>
      </c>
      <c r="J24" s="78" t="s">
        <v>63</v>
      </c>
      <c r="K24" s="1" t="s">
        <v>45</v>
      </c>
      <c r="L24" s="24" t="s">
        <v>63</v>
      </c>
      <c r="M24" s="1" t="s">
        <v>46</v>
      </c>
      <c r="N24" s="24" t="s">
        <v>63</v>
      </c>
      <c r="O24" s="1" t="s">
        <v>47</v>
      </c>
      <c r="P24" s="24" t="s">
        <v>64</v>
      </c>
      <c r="Q24" s="1" t="s">
        <v>65</v>
      </c>
      <c r="R24" s="24" t="s">
        <v>63</v>
      </c>
      <c r="S24" s="1" t="s">
        <v>66</v>
      </c>
      <c r="T24" s="24" t="s">
        <v>63</v>
      </c>
      <c r="U24" s="1" t="s">
        <v>67</v>
      </c>
      <c r="V24" s="24" t="s">
        <v>63</v>
      </c>
    </row>
    <row r="25" spans="2:43" ht="15.75" x14ac:dyDescent="0.25">
      <c r="B25" s="25" t="s">
        <v>68</v>
      </c>
      <c r="C25" s="18">
        <v>9.2963483052816809</v>
      </c>
      <c r="D25" s="95">
        <f>(C$25-C25)/(C$25-C$33)</f>
        <v>0</v>
      </c>
      <c r="E25" s="86">
        <v>30.37743242526518</v>
      </c>
      <c r="F25" s="95">
        <f>(E25-E$30)/(E$33-E$30)</f>
        <v>0.37438519308454016</v>
      </c>
      <c r="G25" s="18">
        <v>17.903333333333332</v>
      </c>
      <c r="H25" s="95">
        <f>(G25-G$25)/(G$33-G$25)</f>
        <v>0</v>
      </c>
      <c r="I25" s="94">
        <v>4.8138892882818114</v>
      </c>
      <c r="J25" s="95">
        <f>(I25-I$26)/(I$33-I$26)</f>
        <v>0.28237031873969259</v>
      </c>
      <c r="K25" s="8">
        <v>12.366666666666667</v>
      </c>
      <c r="L25" s="95">
        <f>(K25-K$27)/(K$25-K$27)</f>
        <v>1</v>
      </c>
      <c r="M25" s="26">
        <v>2.4444444444444446</v>
      </c>
      <c r="N25" s="95">
        <f>(M25-M$32)/(M$30-M$32)</f>
        <v>0.72525252525252537</v>
      </c>
      <c r="O25" s="8">
        <v>7.2788888888888881</v>
      </c>
      <c r="P25" s="95">
        <f>(O25-O$27)/(O$30-O$27)</f>
        <v>1.0596571428571426</v>
      </c>
      <c r="Q25" s="88">
        <v>2.2999999999999998</v>
      </c>
      <c r="R25" s="95">
        <f>(Q25-Q$33)/(Q$28-Q$33)</f>
        <v>7.3170731707316805E-2</v>
      </c>
      <c r="S25" s="88">
        <v>2.6</v>
      </c>
      <c r="T25" s="95">
        <f>(S25-S$25)/(S$26-S$25)</f>
        <v>0</v>
      </c>
      <c r="U25" s="88">
        <v>3.0333333333333332</v>
      </c>
      <c r="V25" s="95">
        <f>(U25-U$33)/(U$30-U$33)</f>
        <v>0.28571428571428542</v>
      </c>
    </row>
    <row r="26" spans="2:43" ht="15.75" x14ac:dyDescent="0.25">
      <c r="B26" s="25" t="s">
        <v>69</v>
      </c>
      <c r="C26" s="18">
        <v>9.0192305613091772</v>
      </c>
      <c r="D26" s="95">
        <f t="shared" ref="D26:D33" si="21">(C$25-C26)/(C$25-C$33)</f>
        <v>5.3847452122138442E-2</v>
      </c>
      <c r="E26" s="86">
        <v>27.939591642173713</v>
      </c>
      <c r="F26" s="95">
        <f t="shared" ref="F26:F33" si="22">(E26-E$30)/(E$33-E$30)</f>
        <v>0.31335581206392854</v>
      </c>
      <c r="G26" s="18">
        <v>20.260000000000002</v>
      </c>
      <c r="H26" s="95">
        <f t="shared" ref="H26:H33" si="23">(G26-G$25)/(G$33-G$25)</f>
        <v>0.18683932346723064</v>
      </c>
      <c r="I26" s="94">
        <v>3.3871004246229313</v>
      </c>
      <c r="J26" s="95">
        <f t="shared" ref="J26:J33" si="24">(I26-I$26)/(I$33-I$26)</f>
        <v>0</v>
      </c>
      <c r="K26" s="8">
        <v>9.5588888888888892</v>
      </c>
      <c r="L26" s="95">
        <f t="shared" ref="L26:L33" si="25">(K26-K$27)/(K$25-K$27)</f>
        <v>0.58803390935767852</v>
      </c>
      <c r="M26" s="26">
        <v>2.6422222222222218</v>
      </c>
      <c r="N26" s="95">
        <f t="shared" ref="N26:N33" si="26">(M26-M$32)/(M$30-M$32)</f>
        <v>0.84511784511784482</v>
      </c>
      <c r="O26" s="8">
        <v>2.9833333333333334</v>
      </c>
      <c r="P26" s="95">
        <f t="shared" ref="P26:P33" si="27">(O26-O$27)/(O$30-O$27)</f>
        <v>0.17600000000000002</v>
      </c>
      <c r="Q26" s="88">
        <v>3.4</v>
      </c>
      <c r="R26" s="95">
        <f t="shared" ref="R26:R33" si="28">(Q26-Q$33)/(Q$28-Q$33)</f>
        <v>0.87804878048780466</v>
      </c>
      <c r="S26" s="88">
        <v>3.9333333333333331</v>
      </c>
      <c r="T26" s="95">
        <f t="shared" ref="T26:T33" si="29">(S26-S$25)/(S$26-S$25)</f>
        <v>1</v>
      </c>
      <c r="U26" s="88">
        <v>3.4</v>
      </c>
      <c r="V26" s="95">
        <f t="shared" ref="V26:V33" si="30">(U26-U$33)/(U$30-U$33)</f>
        <v>0.80952380952380953</v>
      </c>
    </row>
    <row r="27" spans="2:43" ht="15.75" x14ac:dyDescent="0.25">
      <c r="B27" s="25" t="s">
        <v>70</v>
      </c>
      <c r="C27" s="18">
        <v>5.3509628336243438</v>
      </c>
      <c r="D27" s="95">
        <f t="shared" si="21"/>
        <v>0.76663786390209931</v>
      </c>
      <c r="E27" s="86">
        <v>22.135576034897113</v>
      </c>
      <c r="F27" s="95">
        <f t="shared" si="22"/>
        <v>0.16805695481170327</v>
      </c>
      <c r="G27" s="18">
        <v>26.860046241247193</v>
      </c>
      <c r="H27" s="95">
        <f t="shared" si="23"/>
        <v>0.71009880348154286</v>
      </c>
      <c r="I27" s="94">
        <v>4.163844509189718</v>
      </c>
      <c r="J27" s="95">
        <f t="shared" si="24"/>
        <v>0.15372244648436792</v>
      </c>
      <c r="K27" s="8">
        <v>5.5511111111111111</v>
      </c>
      <c r="L27" s="95">
        <f t="shared" si="25"/>
        <v>0</v>
      </c>
      <c r="M27" s="26">
        <v>2.5500000000000003</v>
      </c>
      <c r="N27" s="95">
        <f t="shared" si="26"/>
        <v>0.78922558922558939</v>
      </c>
      <c r="O27" s="8">
        <v>2.1277777777777778</v>
      </c>
      <c r="P27" s="95">
        <f t="shared" si="27"/>
        <v>0</v>
      </c>
      <c r="Q27" s="88">
        <v>3.1666666666666665</v>
      </c>
      <c r="R27" s="95">
        <f t="shared" si="28"/>
        <v>0.70731707317073145</v>
      </c>
      <c r="S27" s="88">
        <v>3.4</v>
      </c>
      <c r="T27" s="95">
        <f t="shared" si="29"/>
        <v>0.6</v>
      </c>
      <c r="U27" s="88">
        <v>3.1333333333333333</v>
      </c>
      <c r="V27" s="95">
        <f t="shared" si="30"/>
        <v>0.42857142857142849</v>
      </c>
    </row>
    <row r="28" spans="2:43" ht="15.75" x14ac:dyDescent="0.25">
      <c r="B28" s="25" t="s">
        <v>71</v>
      </c>
      <c r="C28" s="18">
        <v>6.6220002995955562</v>
      </c>
      <c r="D28" s="95">
        <f t="shared" si="21"/>
        <v>0.5196593481520575</v>
      </c>
      <c r="E28" s="86">
        <v>18.275222287129612</v>
      </c>
      <c r="F28" s="95">
        <f t="shared" si="22"/>
        <v>7.1416107148105298E-2</v>
      </c>
      <c r="G28" s="18">
        <v>19.573333333333334</v>
      </c>
      <c r="H28" s="95">
        <f t="shared" si="23"/>
        <v>0.13239957716701917</v>
      </c>
      <c r="I28" s="94">
        <v>5.4821966654496777</v>
      </c>
      <c r="J28" s="95">
        <f t="shared" si="24"/>
        <v>0.41463247182592217</v>
      </c>
      <c r="K28" s="8">
        <v>6.4755555555555553</v>
      </c>
      <c r="L28" s="95">
        <f t="shared" si="25"/>
        <v>0.13563743071405276</v>
      </c>
      <c r="M28" s="26">
        <v>1.8699999999999999</v>
      </c>
      <c r="N28" s="95">
        <f t="shared" si="26"/>
        <v>0.377104377104377</v>
      </c>
      <c r="O28" s="8">
        <v>3.2988888888888885</v>
      </c>
      <c r="P28" s="95">
        <f t="shared" si="27"/>
        <v>0.24091428571428566</v>
      </c>
      <c r="Q28" s="88">
        <v>3.5666666666666669</v>
      </c>
      <c r="R28" s="95">
        <f t="shared" si="28"/>
        <v>1</v>
      </c>
      <c r="S28" s="88">
        <v>3</v>
      </c>
      <c r="T28" s="95">
        <f t="shared" si="29"/>
        <v>0.3</v>
      </c>
      <c r="U28" s="88">
        <v>3.4333333333333331</v>
      </c>
      <c r="V28" s="95">
        <f t="shared" si="30"/>
        <v>0.85714285714285698</v>
      </c>
    </row>
    <row r="29" spans="2:43" ht="15.75" x14ac:dyDescent="0.25">
      <c r="B29" s="25" t="s">
        <v>72</v>
      </c>
      <c r="C29" s="18">
        <v>8.2316022291605275</v>
      </c>
      <c r="D29" s="95">
        <f t="shared" si="21"/>
        <v>0.20689351224603428</v>
      </c>
      <c r="E29" s="86">
        <v>25.50007121437261</v>
      </c>
      <c r="F29" s="95">
        <f t="shared" si="22"/>
        <v>0.25228438249048502</v>
      </c>
      <c r="G29" s="18">
        <v>20.419039592834949</v>
      </c>
      <c r="H29" s="95">
        <f t="shared" si="23"/>
        <v>0.19944817067930362</v>
      </c>
      <c r="I29" s="94">
        <v>8.0374990628256615</v>
      </c>
      <c r="J29" s="95">
        <f t="shared" si="24"/>
        <v>0.92034258129020863</v>
      </c>
      <c r="K29" s="8">
        <v>11.864444444444445</v>
      </c>
      <c r="L29" s="95">
        <f t="shared" si="25"/>
        <v>0.92631235735246165</v>
      </c>
      <c r="M29" s="26">
        <v>2.2611111111111111</v>
      </c>
      <c r="N29" s="95">
        <f t="shared" si="26"/>
        <v>0.6141414141414141</v>
      </c>
      <c r="O29" s="8">
        <v>6.4899999999999993</v>
      </c>
      <c r="P29" s="95">
        <f t="shared" si="27"/>
        <v>0.8973714285714286</v>
      </c>
      <c r="Q29" s="88">
        <v>3.4666666666666668</v>
      </c>
      <c r="R29" s="95">
        <f t="shared" si="28"/>
        <v>0.92682926829268286</v>
      </c>
      <c r="S29" s="88">
        <v>2.7333333333333334</v>
      </c>
      <c r="T29" s="95">
        <f t="shared" si="29"/>
        <v>0.1</v>
      </c>
      <c r="U29" s="88">
        <v>3.2666666666666666</v>
      </c>
      <c r="V29" s="95">
        <f t="shared" si="30"/>
        <v>0.61904761904761896</v>
      </c>
    </row>
    <row r="30" spans="2:43" ht="15.75" x14ac:dyDescent="0.25">
      <c r="B30" s="25" t="s">
        <v>73</v>
      </c>
      <c r="C30" s="18">
        <v>4.6433333333333335</v>
      </c>
      <c r="D30" s="95">
        <f t="shared" si="21"/>
        <v>0.90413914798051509</v>
      </c>
      <c r="E30" s="86">
        <v>15.422479957718119</v>
      </c>
      <c r="F30" s="95">
        <f t="shared" si="22"/>
        <v>0</v>
      </c>
      <c r="G30" s="18">
        <v>24.043025579380799</v>
      </c>
      <c r="H30" s="95">
        <f t="shared" si="23"/>
        <v>0.48676207024689222</v>
      </c>
      <c r="I30" s="94">
        <v>6.5877697388864798</v>
      </c>
      <c r="J30" s="95">
        <f t="shared" si="24"/>
        <v>0.6334322039291076</v>
      </c>
      <c r="K30" s="8">
        <v>6.4444444444444446</v>
      </c>
      <c r="L30" s="95">
        <f t="shared" si="25"/>
        <v>0.13107270948809913</v>
      </c>
      <c r="M30" s="26">
        <v>2.8977777777777778</v>
      </c>
      <c r="N30" s="95">
        <f t="shared" si="26"/>
        <v>1</v>
      </c>
      <c r="O30" s="8">
        <v>6.9888888888888889</v>
      </c>
      <c r="P30" s="95">
        <f t="shared" si="27"/>
        <v>1</v>
      </c>
      <c r="Q30" s="88">
        <v>3.4333333333333331</v>
      </c>
      <c r="R30" s="95">
        <f t="shared" si="28"/>
        <v>0.90243902439024359</v>
      </c>
      <c r="S30" s="88">
        <v>2.7666666666666666</v>
      </c>
      <c r="T30" s="95">
        <f t="shared" si="29"/>
        <v>0.12499999999999992</v>
      </c>
      <c r="U30" s="88">
        <v>3.5333333333333332</v>
      </c>
      <c r="V30" s="95">
        <f t="shared" si="30"/>
        <v>1</v>
      </c>
    </row>
    <row r="31" spans="2:43" ht="15.75" x14ac:dyDescent="0.25">
      <c r="B31" s="25" t="s">
        <v>74</v>
      </c>
      <c r="C31" s="18">
        <v>7.5324447209514505</v>
      </c>
      <c r="D31" s="95">
        <f t="shared" si="21"/>
        <v>0.34274858204213299</v>
      </c>
      <c r="E31" s="86">
        <v>22.190384719289366</v>
      </c>
      <c r="F31" s="95">
        <f t="shared" si="22"/>
        <v>0.16942904609273082</v>
      </c>
      <c r="G31" s="18">
        <v>22.315573130247998</v>
      </c>
      <c r="H31" s="95">
        <f t="shared" si="23"/>
        <v>0.34980759489281171</v>
      </c>
      <c r="I31" s="94">
        <v>6.8405201234783632</v>
      </c>
      <c r="J31" s="95">
        <f t="shared" si="24"/>
        <v>0.68345306439178999</v>
      </c>
      <c r="K31" s="8">
        <v>8.8277777777777775</v>
      </c>
      <c r="L31" s="95">
        <f t="shared" si="25"/>
        <v>0.48076296054776646</v>
      </c>
      <c r="M31" s="26">
        <v>2.6222222222222218</v>
      </c>
      <c r="N31" s="95">
        <f t="shared" si="26"/>
        <v>0.83299663299663274</v>
      </c>
      <c r="O31" s="8">
        <v>6.0988888888888892</v>
      </c>
      <c r="P31" s="95">
        <f t="shared" si="27"/>
        <v>0.81691428571428581</v>
      </c>
      <c r="Q31" s="88">
        <v>2.3333333333333335</v>
      </c>
      <c r="R31" s="95">
        <f t="shared" si="28"/>
        <v>9.7560975609756073E-2</v>
      </c>
      <c r="S31" s="88">
        <v>2.7</v>
      </c>
      <c r="T31" s="95">
        <f t="shared" si="29"/>
        <v>7.500000000000008E-2</v>
      </c>
      <c r="U31" s="88">
        <v>3.1</v>
      </c>
      <c r="V31" s="95">
        <f t="shared" si="30"/>
        <v>0.38095238095238099</v>
      </c>
    </row>
    <row r="32" spans="2:43" ht="15.75" x14ac:dyDescent="0.25">
      <c r="B32" s="25" t="s">
        <v>75</v>
      </c>
      <c r="C32" s="18">
        <v>7.3122136705694016</v>
      </c>
      <c r="D32" s="95">
        <f t="shared" si="21"/>
        <v>0.38554223636125989</v>
      </c>
      <c r="E32" s="86">
        <v>21.577386514243045</v>
      </c>
      <c r="F32" s="95">
        <f t="shared" si="22"/>
        <v>0.15408312962427242</v>
      </c>
      <c r="G32" s="18">
        <v>28.625360465478067</v>
      </c>
      <c r="H32" s="95">
        <f t="shared" si="23"/>
        <v>0.85005500519117883</v>
      </c>
      <c r="I32" s="94">
        <v>8.3076178585746714</v>
      </c>
      <c r="J32" s="95">
        <f t="shared" si="24"/>
        <v>0.97380075747587969</v>
      </c>
      <c r="K32" s="8">
        <v>5.9044444444444446</v>
      </c>
      <c r="L32" s="95">
        <f t="shared" si="25"/>
        <v>5.1842191066188481E-2</v>
      </c>
      <c r="M32" s="26">
        <v>1.2477777777777779</v>
      </c>
      <c r="N32" s="95">
        <f t="shared" si="26"/>
        <v>0</v>
      </c>
      <c r="O32" s="8">
        <v>6.057777777777777</v>
      </c>
      <c r="P32" s="95">
        <f t="shared" si="27"/>
        <v>0.80845714285714276</v>
      </c>
      <c r="Q32" s="88">
        <v>2.9</v>
      </c>
      <c r="R32" s="95">
        <f t="shared" si="28"/>
        <v>0.5121951219512193</v>
      </c>
      <c r="S32" s="88">
        <v>3.4666666666666668</v>
      </c>
      <c r="T32" s="95">
        <f t="shared" si="29"/>
        <v>0.65000000000000013</v>
      </c>
      <c r="U32" s="88">
        <v>3.5</v>
      </c>
      <c r="V32" s="95">
        <f t="shared" si="30"/>
        <v>0.95238095238095255</v>
      </c>
    </row>
    <row r="33" spans="2:22" ht="15.75" x14ac:dyDescent="0.25">
      <c r="B33" s="25" t="s">
        <v>9</v>
      </c>
      <c r="C33" s="18">
        <v>4.1499999999999995</v>
      </c>
      <c r="D33" s="95">
        <f t="shared" si="21"/>
        <v>1</v>
      </c>
      <c r="E33" s="86">
        <v>55.3678430324006</v>
      </c>
      <c r="F33" s="95">
        <f t="shared" si="22"/>
        <v>1</v>
      </c>
      <c r="G33" s="18">
        <v>30.516666666666666</v>
      </c>
      <c r="H33" s="95">
        <f t="shared" si="23"/>
        <v>1</v>
      </c>
      <c r="I33" s="94">
        <v>8.44</v>
      </c>
      <c r="J33" s="95">
        <f t="shared" si="24"/>
        <v>1</v>
      </c>
      <c r="K33" s="8">
        <v>8.4888888888888889</v>
      </c>
      <c r="L33" s="95">
        <f t="shared" si="25"/>
        <v>0.43104010433648515</v>
      </c>
      <c r="M33" s="26">
        <v>1.8744444444444446</v>
      </c>
      <c r="N33" s="95">
        <f t="shared" si="26"/>
        <v>0.37979797979797986</v>
      </c>
      <c r="O33" s="8">
        <v>2.7244444444444444</v>
      </c>
      <c r="P33" s="95">
        <f t="shared" si="27"/>
        <v>0.12274285714285715</v>
      </c>
      <c r="Q33" s="88">
        <v>2.2000000000000002</v>
      </c>
      <c r="R33" s="95">
        <f t="shared" si="28"/>
        <v>0</v>
      </c>
      <c r="S33" s="88">
        <v>3.2333333333333334</v>
      </c>
      <c r="T33" s="95">
        <f t="shared" si="29"/>
        <v>0.47500000000000009</v>
      </c>
      <c r="U33" s="88">
        <v>2.8333333333333335</v>
      </c>
      <c r="V33" s="95">
        <f t="shared" si="30"/>
        <v>0</v>
      </c>
    </row>
    <row r="34" spans="2:22" ht="15.75" x14ac:dyDescent="0.25">
      <c r="B34" s="27" t="s">
        <v>17</v>
      </c>
      <c r="C34" s="1"/>
      <c r="D34" s="1"/>
      <c r="E34" s="1"/>
      <c r="F34" s="1"/>
      <c r="G34" s="93"/>
      <c r="H34" s="67"/>
      <c r="I34" s="67"/>
      <c r="J34" s="67"/>
      <c r="K34" s="1"/>
      <c r="L34" s="1"/>
      <c r="M34" s="1"/>
      <c r="N34" s="1"/>
      <c r="O34" s="1"/>
      <c r="P34" s="24"/>
      <c r="Q34" s="1"/>
      <c r="R34" s="1"/>
      <c r="S34" s="1"/>
      <c r="T34" s="24"/>
      <c r="U34" s="1"/>
      <c r="V34" s="24"/>
    </row>
  </sheetData>
  <pageMargins left="0.7" right="0.7" top="0.75" bottom="0.75" header="0.3" footer="0.3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8</vt:i4>
      </vt:variant>
    </vt:vector>
  </HeadingPairs>
  <TitlesOfParts>
    <vt:vector size="8" baseType="lpstr">
      <vt:lpstr>9.Kelarutan</vt:lpstr>
      <vt:lpstr>10Rendemen</vt:lpstr>
      <vt:lpstr>Sheet1</vt:lpstr>
      <vt:lpstr>8Vitamin C </vt:lpstr>
      <vt:lpstr>7Kadar Air</vt:lpstr>
      <vt:lpstr>11.Warna fisik</vt:lpstr>
      <vt:lpstr>12.Orgaoleptik</vt:lpstr>
      <vt:lpstr>Perlakuan Terbaik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avi</dc:creator>
  <cp:lastModifiedBy>avi</cp:lastModifiedBy>
  <dcterms:created xsi:type="dcterms:W3CDTF">2023-06-23T05:36:47Z</dcterms:created>
  <dcterms:modified xsi:type="dcterms:W3CDTF">2023-08-17T17:20:28Z</dcterms:modified>
</cp:coreProperties>
</file>