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E:\sofia umsida\BAB 4-5 SHOFIA\"/>
    </mc:Choice>
  </mc:AlternateContent>
  <xr:revisionPtr revIDLastSave="0" documentId="13_ncr:1_{51EC5ED2-5A1F-4209-93EA-F86B2A4901F2}" xr6:coauthVersionLast="47" xr6:coauthVersionMax="47" xr10:uidLastSave="{00000000-0000-0000-0000-000000000000}"/>
  <bookViews>
    <workbookView minimized="1" xWindow="12600" yWindow="1680" windowWidth="15375" windowHeight="7875" xr2:uid="{00000000-000D-0000-FFFF-FFFF00000000}"/>
  </bookViews>
  <sheets>
    <sheet name="REKAP A.R" sheetId="1" r:id="rId1"/>
    <sheet name="Sheet1" sheetId="3" r:id="rId2"/>
    <sheet name="TABULASI OLAH DATA" sheetId="2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2" l="1"/>
  <c r="M3" i="1"/>
  <c r="M2" i="1"/>
  <c r="D2" i="2"/>
  <c r="B2" i="2"/>
  <c r="T2" i="1"/>
  <c r="S2" i="1"/>
  <c r="Q2" i="1"/>
  <c r="P2" i="1"/>
  <c r="O2" i="1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C3" i="2"/>
  <c r="C4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E2" i="2"/>
  <c r="C2" i="2"/>
  <c r="P46" i="1"/>
  <c r="N45" i="1"/>
  <c r="N46" i="1"/>
  <c r="O46" i="1" s="1"/>
  <c r="T46" i="1" s="1"/>
  <c r="N44" i="1"/>
  <c r="N42" i="1"/>
  <c r="N43" i="1"/>
  <c r="N41" i="1"/>
  <c r="N39" i="1"/>
  <c r="N40" i="1"/>
  <c r="N38" i="1"/>
  <c r="N33" i="1"/>
  <c r="N34" i="1"/>
  <c r="N32" i="1"/>
  <c r="R31" i="1"/>
  <c r="N30" i="1"/>
  <c r="N31" i="1"/>
  <c r="N29" i="1"/>
  <c r="N21" i="1"/>
  <c r="N22" i="1"/>
  <c r="N20" i="1"/>
  <c r="N18" i="1"/>
  <c r="N19" i="1"/>
  <c r="N17" i="1"/>
  <c r="N15" i="1"/>
  <c r="N16" i="1"/>
  <c r="N14" i="1"/>
  <c r="N12" i="1"/>
  <c r="N13" i="1"/>
  <c r="N11" i="1"/>
  <c r="M8" i="1"/>
  <c r="N9" i="1"/>
  <c r="N10" i="1"/>
  <c r="N8" i="1"/>
  <c r="M5" i="1"/>
  <c r="M4" i="1"/>
  <c r="N6" i="1"/>
  <c r="N7" i="1"/>
  <c r="M6" i="1"/>
  <c r="M7" i="1"/>
  <c r="Q46" i="1" l="1"/>
  <c r="S46" i="1"/>
  <c r="B46" i="2" s="1"/>
  <c r="N5" i="1"/>
  <c r="O5" i="1" s="1"/>
  <c r="S5" i="1" s="1"/>
  <c r="I5" i="1"/>
  <c r="C5" i="2" s="1"/>
  <c r="O6" i="1"/>
  <c r="O7" i="1"/>
  <c r="S7" i="1" s="1"/>
  <c r="O8" i="1"/>
  <c r="S8" i="1" s="1"/>
  <c r="O9" i="1"/>
  <c r="S9" i="1" s="1"/>
  <c r="O10" i="1"/>
  <c r="O11" i="1"/>
  <c r="S11" i="1" s="1"/>
  <c r="O12" i="1"/>
  <c r="T12" i="1" s="1"/>
  <c r="O13" i="1"/>
  <c r="S13" i="1" s="1"/>
  <c r="O14" i="1"/>
  <c r="O15" i="1"/>
  <c r="S15" i="1" s="1"/>
  <c r="O16" i="1"/>
  <c r="S16" i="1" s="1"/>
  <c r="O17" i="1"/>
  <c r="S17" i="1" s="1"/>
  <c r="O18" i="1"/>
  <c r="O19" i="1"/>
  <c r="S19" i="1" s="1"/>
  <c r="O20" i="1"/>
  <c r="S20" i="1" s="1"/>
  <c r="O21" i="1"/>
  <c r="S21" i="1" s="1"/>
  <c r="O22" i="1"/>
  <c r="O23" i="1"/>
  <c r="S23" i="1" s="1"/>
  <c r="O24" i="1"/>
  <c r="S24" i="1" s="1"/>
  <c r="O25" i="1"/>
  <c r="S25" i="1" s="1"/>
  <c r="O26" i="1"/>
  <c r="O27" i="1"/>
  <c r="S27" i="1" s="1"/>
  <c r="O28" i="1"/>
  <c r="T28" i="1" s="1"/>
  <c r="O29" i="1"/>
  <c r="S29" i="1" s="1"/>
  <c r="O30" i="1"/>
  <c r="S30" i="1" s="1"/>
  <c r="O31" i="1"/>
  <c r="O32" i="1"/>
  <c r="S32" i="1" s="1"/>
  <c r="O33" i="1"/>
  <c r="T33" i="1" s="1"/>
  <c r="O34" i="1"/>
  <c r="S34" i="1" s="1"/>
  <c r="O35" i="1"/>
  <c r="O36" i="1"/>
  <c r="S36" i="1" s="1"/>
  <c r="O37" i="1"/>
  <c r="O38" i="1"/>
  <c r="S38" i="1" s="1"/>
  <c r="O39" i="1"/>
  <c r="O40" i="1"/>
  <c r="S40" i="1" s="1"/>
  <c r="O41" i="1"/>
  <c r="S41" i="1" s="1"/>
  <c r="O42" i="1"/>
  <c r="S42" i="1" s="1"/>
  <c r="O43" i="1"/>
  <c r="O44" i="1"/>
  <c r="O45" i="1"/>
  <c r="S45" i="1" s="1"/>
  <c r="N3" i="1"/>
  <c r="N4" i="1"/>
  <c r="O4" i="1" s="1"/>
  <c r="N2" i="1"/>
  <c r="H2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S37" i="1"/>
  <c r="P37" i="1"/>
  <c r="P38" i="1"/>
  <c r="P39" i="1"/>
  <c r="P40" i="1"/>
  <c r="P41" i="1"/>
  <c r="P42" i="1"/>
  <c r="P43" i="1"/>
  <c r="P44" i="1"/>
  <c r="P45" i="1"/>
  <c r="S28" i="1" l="1"/>
  <c r="S12" i="1"/>
  <c r="S33" i="1"/>
  <c r="Q44" i="1"/>
  <c r="Q43" i="1"/>
  <c r="Q35" i="1"/>
  <c r="Q31" i="1"/>
  <c r="Q39" i="1"/>
  <c r="Q26" i="1"/>
  <c r="Q22" i="1"/>
  <c r="T20" i="1"/>
  <c r="Q4" i="1"/>
  <c r="B4" i="2" s="1"/>
  <c r="S4" i="1"/>
  <c r="T43" i="1"/>
  <c r="O3" i="1"/>
  <c r="S3" i="1" s="1"/>
  <c r="Q37" i="1"/>
  <c r="B37" i="2" s="1"/>
  <c r="Q24" i="1"/>
  <c r="Q18" i="1"/>
  <c r="Q14" i="1"/>
  <c r="Q10" i="1"/>
  <c r="Q8" i="1"/>
  <c r="Q6" i="1"/>
  <c r="T4" i="1"/>
  <c r="Q33" i="1"/>
  <c r="B33" i="2" s="1"/>
  <c r="T14" i="1"/>
  <c r="Q20" i="1"/>
  <c r="T35" i="1"/>
  <c r="T22" i="1"/>
  <c r="T6" i="1"/>
  <c r="T41" i="1"/>
  <c r="Q29" i="1"/>
  <c r="Q16" i="1"/>
  <c r="B16" i="2" s="1"/>
  <c r="T44" i="1"/>
  <c r="T39" i="1"/>
  <c r="T31" i="1"/>
  <c r="T26" i="1"/>
  <c r="T18" i="1"/>
  <c r="T10" i="1"/>
  <c r="Q41" i="1"/>
  <c r="B41" i="2" s="1"/>
  <c r="Q28" i="1"/>
  <c r="B28" i="2" s="1"/>
  <c r="Q12" i="1"/>
  <c r="B12" i="2" s="1"/>
  <c r="T37" i="1"/>
  <c r="T29" i="1"/>
  <c r="T24" i="1"/>
  <c r="T16" i="1"/>
  <c r="T8" i="1"/>
  <c r="Q45" i="1"/>
  <c r="Q40" i="1"/>
  <c r="Q36" i="1"/>
  <c r="B36" i="2" s="1"/>
  <c r="Q32" i="1"/>
  <c r="Q27" i="1"/>
  <c r="Q23" i="1"/>
  <c r="Q19" i="1"/>
  <c r="B19" i="2" s="1"/>
  <c r="Q15" i="1"/>
  <c r="Q11" i="1"/>
  <c r="Q7" i="1"/>
  <c r="S44" i="1"/>
  <c r="S43" i="1"/>
  <c r="S39" i="1"/>
  <c r="S35" i="1"/>
  <c r="S31" i="1"/>
  <c r="S26" i="1"/>
  <c r="S22" i="1"/>
  <c r="S18" i="1"/>
  <c r="S14" i="1"/>
  <c r="S10" i="1"/>
  <c r="S6" i="1"/>
  <c r="T45" i="1"/>
  <c r="T42" i="1"/>
  <c r="T40" i="1"/>
  <c r="T38" i="1"/>
  <c r="T36" i="1"/>
  <c r="T34" i="1"/>
  <c r="T32" i="1"/>
  <c r="T30" i="1"/>
  <c r="T27" i="1"/>
  <c r="T25" i="1"/>
  <c r="T23" i="1"/>
  <c r="T21" i="1"/>
  <c r="T19" i="1"/>
  <c r="T17" i="1"/>
  <c r="T15" i="1"/>
  <c r="T13" i="1"/>
  <c r="T11" i="1"/>
  <c r="T9" i="1"/>
  <c r="T7" i="1"/>
  <c r="T5" i="1"/>
  <c r="Q42" i="1"/>
  <c r="Q38" i="1"/>
  <c r="B38" i="2" s="1"/>
  <c r="Q34" i="1"/>
  <c r="B34" i="2" s="1"/>
  <c r="Q30" i="1"/>
  <c r="B30" i="2" s="1"/>
  <c r="Q25" i="1"/>
  <c r="Q21" i="1"/>
  <c r="B21" i="2" s="1"/>
  <c r="Q17" i="1"/>
  <c r="B17" i="2" s="1"/>
  <c r="Q13" i="1"/>
  <c r="B13" i="2" s="1"/>
  <c r="Q9" i="1"/>
  <c r="Q5" i="1"/>
  <c r="B5" i="2" s="1"/>
  <c r="B39" i="2" l="1"/>
  <c r="B44" i="2"/>
  <c r="B32" i="2"/>
  <c r="B10" i="2"/>
  <c r="B29" i="2"/>
  <c r="B9" i="2"/>
  <c r="B25" i="2"/>
  <c r="B42" i="2"/>
  <c r="B7" i="2"/>
  <c r="B23" i="2"/>
  <c r="B40" i="2"/>
  <c r="B20" i="2"/>
  <c r="B6" i="2"/>
  <c r="B18" i="2"/>
  <c r="B22" i="2"/>
  <c r="B35" i="2"/>
  <c r="B15" i="2"/>
  <c r="B14" i="2"/>
  <c r="B31" i="2"/>
  <c r="B11" i="2"/>
  <c r="B27" i="2"/>
  <c r="B45" i="2"/>
  <c r="B8" i="2"/>
  <c r="B24" i="2"/>
  <c r="B26" i="2"/>
  <c r="B43" i="2"/>
  <c r="T3" i="1"/>
  <c r="Q3" i="1"/>
  <c r="B3" i="2" s="1"/>
</calcChain>
</file>

<file path=xl/sharedStrings.xml><?xml version="1.0" encoding="utf-8"?>
<sst xmlns="http://schemas.openxmlformats.org/spreadsheetml/2006/main" count="71" uniqueCount="62">
  <si>
    <t>No</t>
  </si>
  <si>
    <t>Code</t>
  </si>
  <si>
    <t>Nama</t>
  </si>
  <si>
    <t>Tahun</t>
  </si>
  <si>
    <t>ADES</t>
  </si>
  <si>
    <t>Akasha Wira International Tbk.</t>
  </si>
  <si>
    <t>Laba bersih setelah pajak</t>
  </si>
  <si>
    <t>Total Aset</t>
  </si>
  <si>
    <t>Total Hutang</t>
  </si>
  <si>
    <t>Saham Institusi</t>
  </si>
  <si>
    <t>Saham Beredar</t>
  </si>
  <si>
    <t>BUDI</t>
  </si>
  <si>
    <t>Budi Starch &amp; Sweetener Tbk</t>
  </si>
  <si>
    <t>CEKA</t>
  </si>
  <si>
    <t>Wilmar Cahaya Indonesia Tbk</t>
  </si>
  <si>
    <t>CINT</t>
  </si>
  <si>
    <t>Chitose Internasional Tbk.</t>
  </si>
  <si>
    <t>DLTA</t>
  </si>
  <si>
    <t>Delta Djakarta Tbk</t>
  </si>
  <si>
    <t>DVLA</t>
  </si>
  <si>
    <t>Darya-Varia Laboratoria Tbk</t>
  </si>
  <si>
    <t>HMSP</t>
  </si>
  <si>
    <t>H.M. Sampoerna Tbk.</t>
  </si>
  <si>
    <t>ICBP</t>
  </si>
  <si>
    <t>Indofood CBP Sukses Makmur Tbk</t>
  </si>
  <si>
    <t>INDF</t>
  </si>
  <si>
    <t>Indofood Sukses Makmur Tbk.</t>
  </si>
  <si>
    <t>KINO</t>
  </si>
  <si>
    <t>Kino Indonesia Tbk.</t>
  </si>
  <si>
    <t>MLBI</t>
  </si>
  <si>
    <t>Multi Bintang Indonesia Tbk.</t>
  </si>
  <si>
    <t>SIDO</t>
  </si>
  <si>
    <t>Industri Jamu dan Farmasi Sido</t>
  </si>
  <si>
    <t>TBLA</t>
  </si>
  <si>
    <t>Tunas Baru Lampung Tbk.</t>
  </si>
  <si>
    <t>TCID</t>
  </si>
  <si>
    <t>Mandom Indonesia Tbk.</t>
  </si>
  <si>
    <t>ULTJ</t>
  </si>
  <si>
    <t>Ultra Jaya Milk Industry &amp; Tra</t>
  </si>
  <si>
    <t>NO</t>
  </si>
  <si>
    <t>SATUAN</t>
  </si>
  <si>
    <t>Ekuitas</t>
  </si>
  <si>
    <t>TOTAL PENJUALAN</t>
  </si>
  <si>
    <t>PENDAPATAN LAIN</t>
  </si>
  <si>
    <t>BEBAN BIAYA</t>
  </si>
  <si>
    <t>VA</t>
  </si>
  <si>
    <t>CE</t>
  </si>
  <si>
    <t>VACA</t>
  </si>
  <si>
    <t>BEBAN KARYAWAN</t>
  </si>
  <si>
    <t>VAHU</t>
  </si>
  <si>
    <t>STVA</t>
  </si>
  <si>
    <t>Jutaan Rupiah</t>
  </si>
  <si>
    <t>Rupiah</t>
  </si>
  <si>
    <t>RUPIAH</t>
  </si>
  <si>
    <t>Ribuan Rupiah</t>
  </si>
  <si>
    <t>jutaan Rupiah,</t>
  </si>
  <si>
    <t>jutaan Rupiah</t>
  </si>
  <si>
    <t>IC (X1)</t>
  </si>
  <si>
    <t>K.I (X2)</t>
  </si>
  <si>
    <t>S.M (X3)</t>
  </si>
  <si>
    <t>TATO (X4)</t>
  </si>
  <si>
    <t>K.P (Y)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</si>
</sst>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64" formatCode="0.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000000"/>
      <name val="Times New Roman"/>
      <family val="1"/>
    </font>
    <font>
      <b/>
      <i/>
      <sz val="12"/>
      <color rgb="FF000000"/>
      <name val="Times New Roman"/>
      <family val="1"/>
    </font>
    <font>
      <b/>
      <sz val="11"/>
      <color theme="1"/>
      <name val="Times New Roman"/>
      <family val="1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7">
    <xf numFmtId="0" fontId="0" fillId="0" borderId="0" xfId="0"/>
    <xf numFmtId="41" fontId="0" fillId="0" borderId="0" xfId="1" applyFont="1"/>
    <xf numFmtId="0" fontId="2" fillId="0" borderId="0" xfId="0" applyFont="1" applyAlignment="1">
      <alignment horizontal="center"/>
    </xf>
    <xf numFmtId="0" fontId="6" fillId="0" borderId="0" xfId="0" applyFont="1"/>
    <xf numFmtId="41" fontId="0" fillId="0" borderId="0" xfId="1" applyFont="1" applyFill="1"/>
    <xf numFmtId="3" fontId="0" fillId="0" borderId="0" xfId="0" applyNumberFormat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/>
    <xf numFmtId="41" fontId="5" fillId="0" borderId="0" xfId="1" applyFont="1" applyFill="1"/>
    <xf numFmtId="41" fontId="2" fillId="0" borderId="0" xfId="1" applyFont="1" applyFill="1"/>
    <xf numFmtId="41" fontId="8" fillId="0" borderId="0" xfId="1" applyFont="1" applyFill="1"/>
    <xf numFmtId="41" fontId="0" fillId="0" borderId="0" xfId="0" applyNumberFormat="1"/>
    <xf numFmtId="164" fontId="0" fillId="0" borderId="0" xfId="0" applyNumberFormat="1"/>
    <xf numFmtId="164" fontId="0" fillId="0" borderId="0" xfId="2" applyNumberFormat="1" applyFont="1"/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</cellXfs>
  <cellStyles count="3">
    <cellStyle name="Comma [0]" xfId="1" builtinId="6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54"/>
  <sheetViews>
    <sheetView tabSelected="1" zoomScale="85" zoomScaleNormal="85" workbookViewId="0">
      <pane xSplit="5" topLeftCell="L1" activePane="topRight" state="frozen"/>
      <selection pane="topRight" activeCell="B35" sqref="B35:B37"/>
    </sheetView>
  </sheetViews>
  <sheetFormatPr defaultRowHeight="15" x14ac:dyDescent="0.25"/>
  <cols>
    <col min="1" max="1" width="4.42578125" customWidth="1"/>
    <col min="2" max="2" width="8.5703125" customWidth="1"/>
    <col min="3" max="3" width="28.85546875" customWidth="1"/>
    <col min="4" max="4" width="10.5703125" customWidth="1"/>
    <col min="5" max="5" width="18" customWidth="1"/>
    <col min="6" max="6" width="24.85546875" style="11" customWidth="1"/>
    <col min="7" max="7" width="19.28515625" style="4" customWidth="1"/>
    <col min="8" max="8" width="17.28515625" style="4" customWidth="1"/>
    <col min="9" max="9" width="16.42578125" style="4" customWidth="1"/>
    <col min="10" max="10" width="17" style="4" customWidth="1"/>
    <col min="11" max="11" width="17.28515625" style="4" customWidth="1"/>
    <col min="12" max="12" width="18.28515625" style="4" customWidth="1"/>
    <col min="13" max="13" width="14.28515625" customWidth="1"/>
    <col min="14" max="14" width="17.5703125" customWidth="1"/>
    <col min="15" max="15" width="17.42578125" customWidth="1"/>
    <col min="16" max="16" width="17.28515625" customWidth="1"/>
    <col min="18" max="18" width="29.140625" customWidth="1"/>
    <col min="19" max="19" width="12.140625" customWidth="1"/>
    <col min="20" max="20" width="12.42578125" customWidth="1"/>
  </cols>
  <sheetData>
    <row r="1" spans="1:20" ht="15.75" x14ac:dyDescent="0.25">
      <c r="A1" s="6" t="s">
        <v>0</v>
      </c>
      <c r="B1" s="7" t="s">
        <v>1</v>
      </c>
      <c r="C1" s="6" t="s">
        <v>2</v>
      </c>
      <c r="D1" s="8" t="s">
        <v>3</v>
      </c>
      <c r="E1" s="8" t="s">
        <v>40</v>
      </c>
      <c r="F1" s="9" t="s">
        <v>6</v>
      </c>
      <c r="G1" s="9" t="s">
        <v>7</v>
      </c>
      <c r="H1" s="9" t="s">
        <v>8</v>
      </c>
      <c r="I1" s="9" t="s">
        <v>9</v>
      </c>
      <c r="J1" s="10" t="s">
        <v>10</v>
      </c>
      <c r="K1" s="4" t="s">
        <v>41</v>
      </c>
      <c r="L1" s="3" t="s">
        <v>42</v>
      </c>
      <c r="M1" s="3" t="s">
        <v>43</v>
      </c>
      <c r="N1" s="3" t="s">
        <v>44</v>
      </c>
      <c r="O1" s="3" t="s">
        <v>45</v>
      </c>
      <c r="P1" s="3" t="s">
        <v>46</v>
      </c>
      <c r="Q1" s="3" t="s">
        <v>47</v>
      </c>
      <c r="R1" s="3" t="s">
        <v>48</v>
      </c>
      <c r="S1" s="3" t="s">
        <v>49</v>
      </c>
      <c r="T1" s="3" t="s">
        <v>50</v>
      </c>
    </row>
    <row r="2" spans="1:20" ht="15.75" customHeight="1" x14ac:dyDescent="0.25">
      <c r="A2" s="15">
        <v>1</v>
      </c>
      <c r="B2" s="15" t="s">
        <v>4</v>
      </c>
      <c r="C2" s="16" t="s">
        <v>5</v>
      </c>
      <c r="D2">
        <v>2017</v>
      </c>
      <c r="E2" t="s">
        <v>51</v>
      </c>
      <c r="F2" s="11">
        <v>38242</v>
      </c>
      <c r="G2" s="4">
        <v>840236</v>
      </c>
      <c r="H2" s="4">
        <f>244888+172337</f>
        <v>417225</v>
      </c>
      <c r="I2" s="4">
        <v>539896713</v>
      </c>
      <c r="J2" s="4">
        <v>589896800</v>
      </c>
      <c r="K2" s="4">
        <v>423011</v>
      </c>
      <c r="L2" s="4">
        <v>814490</v>
      </c>
      <c r="M2" s="4">
        <f>304+508</f>
        <v>812</v>
      </c>
      <c r="N2">
        <f>375546-17431</f>
        <v>358115</v>
      </c>
      <c r="O2" s="12">
        <f>L2+M2-N2</f>
        <v>457187</v>
      </c>
      <c r="P2" s="12">
        <f>K2+F2</f>
        <v>461253</v>
      </c>
      <c r="Q2">
        <f>O2/P2</f>
        <v>0.9911848811823446</v>
      </c>
      <c r="R2">
        <v>17431</v>
      </c>
      <c r="S2" s="12">
        <f>O2/R2</f>
        <v>26.228386208479147</v>
      </c>
      <c r="T2">
        <f>(O2-R2)/O2</f>
        <v>0.96187336910279597</v>
      </c>
    </row>
    <row r="3" spans="1:20" x14ac:dyDescent="0.25">
      <c r="A3" s="15"/>
      <c r="B3" s="15"/>
      <c r="C3" s="16"/>
      <c r="D3">
        <v>2018</v>
      </c>
      <c r="F3" s="11">
        <v>52958</v>
      </c>
      <c r="G3" s="4">
        <v>881275</v>
      </c>
      <c r="H3" s="4">
        <v>399361</v>
      </c>
      <c r="I3" s="4">
        <v>539896713</v>
      </c>
      <c r="J3" s="4">
        <v>589896800</v>
      </c>
      <c r="K3" s="4">
        <v>881275</v>
      </c>
      <c r="L3" s="4">
        <v>804302</v>
      </c>
      <c r="M3" s="4">
        <f>1895+7926</f>
        <v>9821</v>
      </c>
      <c r="N3">
        <f>415212-13481</f>
        <v>401731</v>
      </c>
      <c r="O3" s="12">
        <f t="shared" ref="O3:O46" si="0">L3+M3-N3</f>
        <v>412392</v>
      </c>
      <c r="P3" s="12">
        <f t="shared" ref="P3:P30" si="1">K3+F3</f>
        <v>934233</v>
      </c>
      <c r="Q3">
        <f t="shared" ref="Q3:Q46" si="2">O3/P3</f>
        <v>0.44142307111823281</v>
      </c>
      <c r="R3" s="5">
        <v>13481</v>
      </c>
      <c r="S3">
        <f t="shared" ref="S3:S46" si="3">O3/R3</f>
        <v>30.590609005266671</v>
      </c>
      <c r="T3">
        <f t="shared" ref="T3:T46" si="4">(O3-R3)/O3</f>
        <v>0.96731022910240738</v>
      </c>
    </row>
    <row r="4" spans="1:20" x14ac:dyDescent="0.25">
      <c r="A4" s="15"/>
      <c r="B4" s="15"/>
      <c r="C4" s="16"/>
      <c r="D4">
        <v>2019</v>
      </c>
      <c r="F4" s="11">
        <v>83889</v>
      </c>
      <c r="G4" s="4">
        <v>822375</v>
      </c>
      <c r="H4" s="4">
        <v>254438</v>
      </c>
      <c r="I4" s="4">
        <v>539896713</v>
      </c>
      <c r="J4" s="4">
        <v>589896800</v>
      </c>
      <c r="K4" s="4">
        <v>567937</v>
      </c>
      <c r="L4" s="4">
        <v>834330</v>
      </c>
      <c r="M4" s="4">
        <f>4939+2851</f>
        <v>7790</v>
      </c>
      <c r="N4">
        <f>417281-11876</f>
        <v>405405</v>
      </c>
      <c r="O4" s="12">
        <f t="shared" si="0"/>
        <v>436715</v>
      </c>
      <c r="P4" s="12">
        <f t="shared" si="1"/>
        <v>651826</v>
      </c>
      <c r="Q4">
        <f t="shared" si="2"/>
        <v>0.66998708244224681</v>
      </c>
      <c r="R4" s="5">
        <v>11876</v>
      </c>
      <c r="S4">
        <f t="shared" si="3"/>
        <v>36.772903334456046</v>
      </c>
      <c r="T4">
        <f t="shared" si="4"/>
        <v>0.97280606345099208</v>
      </c>
    </row>
    <row r="5" spans="1:20" x14ac:dyDescent="0.25">
      <c r="A5" s="15">
        <v>2</v>
      </c>
      <c r="B5" s="15" t="s">
        <v>11</v>
      </c>
      <c r="C5" s="16" t="s">
        <v>12</v>
      </c>
      <c r="D5">
        <v>2017</v>
      </c>
      <c r="E5" t="s">
        <v>51</v>
      </c>
      <c r="F5" s="11">
        <v>45691</v>
      </c>
      <c r="G5" s="4">
        <v>2939456</v>
      </c>
      <c r="H5" s="4">
        <v>1744756</v>
      </c>
      <c r="I5" s="4">
        <f>1201296998+1201271833</f>
        <v>2402568831</v>
      </c>
      <c r="J5" s="4">
        <v>4498997362</v>
      </c>
      <c r="K5" s="4">
        <v>1194700</v>
      </c>
      <c r="L5" s="4">
        <v>2510578</v>
      </c>
      <c r="M5" s="4">
        <f>272+259</f>
        <v>531</v>
      </c>
      <c r="N5">
        <f>2162779-81430</f>
        <v>2081349</v>
      </c>
      <c r="O5" s="12">
        <f t="shared" si="0"/>
        <v>429760</v>
      </c>
      <c r="P5" s="12">
        <f t="shared" si="1"/>
        <v>1240391</v>
      </c>
      <c r="Q5">
        <f t="shared" si="2"/>
        <v>0.34647139490692852</v>
      </c>
      <c r="R5">
        <v>81430</v>
      </c>
      <c r="S5">
        <f t="shared" si="3"/>
        <v>5.2776617954070977</v>
      </c>
      <c r="T5">
        <f t="shared" si="4"/>
        <v>0.81052215189873422</v>
      </c>
    </row>
    <row r="6" spans="1:20" x14ac:dyDescent="0.25">
      <c r="A6" s="15"/>
      <c r="B6" s="15"/>
      <c r="C6" s="16"/>
      <c r="D6">
        <v>2018</v>
      </c>
      <c r="F6" s="11">
        <v>50467</v>
      </c>
      <c r="G6" s="4">
        <v>3392980</v>
      </c>
      <c r="H6" s="4">
        <v>2166496</v>
      </c>
      <c r="I6" s="4">
        <v>2602568831</v>
      </c>
      <c r="J6" s="4">
        <v>4498997362</v>
      </c>
      <c r="K6" s="4">
        <v>1226484</v>
      </c>
      <c r="L6" s="4">
        <v>2647193</v>
      </c>
      <c r="M6" s="4">
        <f>12352+631</f>
        <v>12983</v>
      </c>
      <c r="N6">
        <f>2297120-58948</f>
        <v>2238172</v>
      </c>
      <c r="O6" s="12">
        <f t="shared" si="0"/>
        <v>422004</v>
      </c>
      <c r="P6" s="12">
        <f t="shared" si="1"/>
        <v>1276951</v>
      </c>
      <c r="Q6">
        <f t="shared" si="2"/>
        <v>0.33047783352689336</v>
      </c>
      <c r="R6" s="5">
        <v>58948</v>
      </c>
      <c r="S6">
        <f t="shared" si="3"/>
        <v>7.1589197258600796</v>
      </c>
      <c r="T6">
        <f t="shared" si="4"/>
        <v>0.86031412024530574</v>
      </c>
    </row>
    <row r="7" spans="1:20" x14ac:dyDescent="0.25">
      <c r="A7" s="15"/>
      <c r="B7" s="15"/>
      <c r="C7" s="16"/>
      <c r="D7">
        <v>2019</v>
      </c>
      <c r="F7" s="11">
        <v>64021</v>
      </c>
      <c r="G7" s="4">
        <v>2999767</v>
      </c>
      <c r="H7" s="4">
        <v>1714449</v>
      </c>
      <c r="I7" s="4">
        <v>2602568831</v>
      </c>
      <c r="J7" s="4">
        <v>4498997362</v>
      </c>
      <c r="K7" s="4">
        <v>1285318</v>
      </c>
      <c r="L7" s="4">
        <v>3003768</v>
      </c>
      <c r="M7" s="4">
        <f>3341+284</f>
        <v>3625</v>
      </c>
      <c r="N7" s="5">
        <f>2622892-55643</f>
        <v>2567249</v>
      </c>
      <c r="O7" s="12">
        <f t="shared" si="0"/>
        <v>440144</v>
      </c>
      <c r="P7" s="12">
        <f t="shared" si="1"/>
        <v>1349339</v>
      </c>
      <c r="Q7">
        <f t="shared" si="2"/>
        <v>0.32619230601057259</v>
      </c>
      <c r="R7" s="5">
        <v>55643</v>
      </c>
      <c r="S7">
        <f t="shared" si="3"/>
        <v>7.9101414373775674</v>
      </c>
      <c r="T7">
        <f t="shared" si="4"/>
        <v>0.87358001017848708</v>
      </c>
    </row>
    <row r="8" spans="1:20" x14ac:dyDescent="0.25">
      <c r="A8" s="15">
        <v>3</v>
      </c>
      <c r="B8" s="15" t="s">
        <v>13</v>
      </c>
      <c r="C8" s="16" t="s">
        <v>14</v>
      </c>
      <c r="D8">
        <v>2017</v>
      </c>
      <c r="E8" t="s">
        <v>52</v>
      </c>
      <c r="F8" s="11">
        <v>107420888839</v>
      </c>
      <c r="G8" s="4">
        <v>1392636444501</v>
      </c>
      <c r="H8" s="4">
        <v>489592257434</v>
      </c>
      <c r="I8" s="4">
        <v>547471000</v>
      </c>
      <c r="J8" s="4">
        <v>595000000</v>
      </c>
      <c r="K8" s="4">
        <v>903044187067</v>
      </c>
      <c r="L8" s="4">
        <v>4257738486908</v>
      </c>
      <c r="M8">
        <f>235965923</f>
        <v>235965923</v>
      </c>
      <c r="N8" s="5">
        <f>3973458868193-R8</f>
        <v>3963510096675</v>
      </c>
      <c r="O8" s="12">
        <f t="shared" si="0"/>
        <v>294464356156</v>
      </c>
      <c r="P8" s="12">
        <f t="shared" si="1"/>
        <v>1010465075906</v>
      </c>
      <c r="Q8">
        <f t="shared" si="2"/>
        <v>0.29141467941579108</v>
      </c>
      <c r="R8" s="5">
        <v>9948771518</v>
      </c>
      <c r="S8">
        <f t="shared" si="3"/>
        <v>29.598061994210529</v>
      </c>
      <c r="T8">
        <f t="shared" si="4"/>
        <v>0.96621400414001424</v>
      </c>
    </row>
    <row r="9" spans="1:20" x14ac:dyDescent="0.25">
      <c r="A9" s="15"/>
      <c r="B9" s="15"/>
      <c r="C9" s="16"/>
      <c r="D9">
        <v>2018</v>
      </c>
      <c r="F9" s="11">
        <v>92649656775</v>
      </c>
      <c r="G9" s="4">
        <v>1168956042706</v>
      </c>
      <c r="H9" s="4">
        <v>192308466864</v>
      </c>
      <c r="I9" s="4">
        <v>547471000</v>
      </c>
      <c r="J9" s="4">
        <v>595000000</v>
      </c>
      <c r="K9" s="4">
        <v>976647575842</v>
      </c>
      <c r="L9" s="4">
        <v>3629327583572</v>
      </c>
      <c r="M9" s="5">
        <v>85822820</v>
      </c>
      <c r="N9" s="4">
        <f>3354976550553-11254851851</f>
        <v>3343721698702</v>
      </c>
      <c r="O9" s="12">
        <f t="shared" si="0"/>
        <v>285691707690</v>
      </c>
      <c r="P9" s="12">
        <f t="shared" si="1"/>
        <v>1069297232617</v>
      </c>
      <c r="Q9">
        <f t="shared" si="2"/>
        <v>0.26717707572364852</v>
      </c>
      <c r="R9">
        <v>11254851851</v>
      </c>
      <c r="S9">
        <f t="shared" si="3"/>
        <v>25.383871016002413</v>
      </c>
      <c r="T9">
        <f t="shared" si="4"/>
        <v>0.96060490539959076</v>
      </c>
    </row>
    <row r="10" spans="1:20" x14ac:dyDescent="0.25">
      <c r="A10" s="15"/>
      <c r="B10" s="15"/>
      <c r="C10" s="16"/>
      <c r="D10">
        <v>2019</v>
      </c>
      <c r="F10" s="11">
        <v>215459200242</v>
      </c>
      <c r="G10" s="4">
        <v>1393079542074</v>
      </c>
      <c r="H10" s="4">
        <v>261784845240</v>
      </c>
      <c r="I10" s="4">
        <v>547471000</v>
      </c>
      <c r="J10" s="4">
        <v>595000000</v>
      </c>
      <c r="K10" s="4">
        <v>1131294696834</v>
      </c>
      <c r="L10" s="4">
        <v>3120937098980</v>
      </c>
      <c r="M10" s="5">
        <v>13631022151</v>
      </c>
      <c r="N10" s="4">
        <f>2755574838991-13774972939</f>
        <v>2741799866052</v>
      </c>
      <c r="O10" s="12">
        <f t="shared" si="0"/>
        <v>392768255079</v>
      </c>
      <c r="P10" s="12">
        <f t="shared" si="1"/>
        <v>1346753897076</v>
      </c>
      <c r="Q10">
        <f t="shared" si="2"/>
        <v>0.2916407043126123</v>
      </c>
      <c r="R10">
        <v>13774972939</v>
      </c>
      <c r="S10">
        <f t="shared" si="3"/>
        <v>28.513177979971637</v>
      </c>
      <c r="T10">
        <f t="shared" si="4"/>
        <v>0.96492849724774887</v>
      </c>
    </row>
    <row r="11" spans="1:20" ht="15" customHeight="1" x14ac:dyDescent="0.25">
      <c r="A11" s="15">
        <v>4</v>
      </c>
      <c r="B11" s="15" t="s">
        <v>15</v>
      </c>
      <c r="C11" s="16" t="s">
        <v>16</v>
      </c>
      <c r="D11">
        <v>2017</v>
      </c>
      <c r="E11" t="s">
        <v>53</v>
      </c>
      <c r="F11" s="11">
        <v>29648261092</v>
      </c>
      <c r="G11" s="4">
        <v>47657784160</v>
      </c>
      <c r="H11" s="4">
        <v>94304081659</v>
      </c>
      <c r="I11" s="4">
        <v>678400000</v>
      </c>
      <c r="J11" s="4">
        <v>1000000000</v>
      </c>
      <c r="K11" s="4">
        <v>382273759946</v>
      </c>
      <c r="L11" s="4">
        <v>373955852243</v>
      </c>
      <c r="M11" s="5">
        <v>36565259323</v>
      </c>
      <c r="N11" s="5">
        <f>248752335546-15677637712</f>
        <v>233074697834</v>
      </c>
      <c r="O11" s="12">
        <f t="shared" si="0"/>
        <v>177446413732</v>
      </c>
      <c r="P11" s="12">
        <f t="shared" si="1"/>
        <v>411922021038</v>
      </c>
      <c r="Q11">
        <f t="shared" si="2"/>
        <v>0.43077671177873367</v>
      </c>
      <c r="R11">
        <v>15677637712</v>
      </c>
      <c r="S11">
        <f t="shared" si="3"/>
        <v>11.318440762040234</v>
      </c>
      <c r="T11">
        <f t="shared" si="4"/>
        <v>0.91164860769923384</v>
      </c>
    </row>
    <row r="12" spans="1:20" ht="15" customHeight="1" x14ac:dyDescent="0.25">
      <c r="A12" s="15"/>
      <c r="B12" s="15"/>
      <c r="C12" s="16"/>
      <c r="D12">
        <v>2018</v>
      </c>
      <c r="F12" s="11">
        <v>13554152161</v>
      </c>
      <c r="G12" s="4">
        <v>491382035136</v>
      </c>
      <c r="H12" s="4">
        <v>102703457308</v>
      </c>
      <c r="I12" s="4">
        <v>722490500</v>
      </c>
      <c r="J12" s="4">
        <v>1000000000</v>
      </c>
      <c r="K12" s="4">
        <v>388678577828</v>
      </c>
      <c r="L12" s="4">
        <v>370390736433</v>
      </c>
      <c r="M12" s="5">
        <v>2174902775</v>
      </c>
      <c r="N12" s="4">
        <f>284629522260-18964216835</f>
        <v>265665305425</v>
      </c>
      <c r="O12" s="12">
        <f t="shared" si="0"/>
        <v>106900333783</v>
      </c>
      <c r="P12" s="12">
        <f t="shared" si="1"/>
        <v>402232729989</v>
      </c>
      <c r="Q12">
        <f t="shared" si="2"/>
        <v>0.26576736752855351</v>
      </c>
      <c r="R12">
        <v>18964216835</v>
      </c>
      <c r="S12">
        <f t="shared" si="3"/>
        <v>5.6369495620671648</v>
      </c>
      <c r="T12">
        <f t="shared" si="4"/>
        <v>0.82259908679521998</v>
      </c>
    </row>
    <row r="13" spans="1:20" ht="15" customHeight="1" x14ac:dyDescent="0.25">
      <c r="A13" s="15"/>
      <c r="B13" s="15"/>
      <c r="C13" s="16"/>
      <c r="D13">
        <v>2019</v>
      </c>
      <c r="F13" s="11">
        <v>7221065916</v>
      </c>
      <c r="G13" s="4">
        <v>521493784876</v>
      </c>
      <c r="H13" s="4">
        <v>131822380207</v>
      </c>
      <c r="I13" s="4">
        <v>787864800</v>
      </c>
      <c r="J13" s="4">
        <v>1000000000</v>
      </c>
      <c r="K13" s="4">
        <v>389671404669</v>
      </c>
      <c r="L13" s="4">
        <v>411783279013</v>
      </c>
      <c r="M13" s="5">
        <v>2153025489</v>
      </c>
      <c r="N13" s="4">
        <f>292192033789-20870583208</f>
        <v>271321450581</v>
      </c>
      <c r="O13" s="12">
        <f t="shared" si="0"/>
        <v>142614853921</v>
      </c>
      <c r="P13" s="12">
        <f t="shared" si="1"/>
        <v>396892470585</v>
      </c>
      <c r="Q13">
        <f t="shared" si="2"/>
        <v>0.35932869603394774</v>
      </c>
      <c r="R13">
        <v>20870583208</v>
      </c>
      <c r="S13">
        <f t="shared" si="3"/>
        <v>6.8332950976824467</v>
      </c>
      <c r="T13">
        <f t="shared" si="4"/>
        <v>0.8536577177328174</v>
      </c>
    </row>
    <row r="14" spans="1:20" ht="15" customHeight="1" x14ac:dyDescent="0.25">
      <c r="A14" s="15">
        <v>5</v>
      </c>
      <c r="B14" s="15" t="s">
        <v>17</v>
      </c>
      <c r="C14" s="16" t="s">
        <v>18</v>
      </c>
      <c r="D14">
        <v>2017</v>
      </c>
      <c r="E14" t="s">
        <v>54</v>
      </c>
      <c r="F14" s="11">
        <v>279772635</v>
      </c>
      <c r="G14" s="4">
        <v>1340842765</v>
      </c>
      <c r="H14" s="4">
        <v>196197372</v>
      </c>
      <c r="I14" s="4">
        <v>653907150</v>
      </c>
      <c r="J14" s="4">
        <v>800659050</v>
      </c>
      <c r="K14" s="4">
        <v>1144645393</v>
      </c>
      <c r="L14" s="4">
        <v>777308328</v>
      </c>
      <c r="M14" s="5">
        <v>-3382621</v>
      </c>
      <c r="N14">
        <f>203036967-26928647</f>
        <v>176108320</v>
      </c>
      <c r="O14" s="12">
        <f t="shared" si="0"/>
        <v>597817387</v>
      </c>
      <c r="P14" s="12">
        <f t="shared" si="1"/>
        <v>1424418028</v>
      </c>
      <c r="Q14">
        <f t="shared" si="2"/>
        <v>0.41969237628885164</v>
      </c>
      <c r="R14">
        <v>26928647</v>
      </c>
      <c r="S14">
        <f t="shared" si="3"/>
        <v>22.200052865634134</v>
      </c>
      <c r="T14">
        <f t="shared" si="4"/>
        <v>0.95495506222203608</v>
      </c>
    </row>
    <row r="15" spans="1:20" ht="15" customHeight="1" x14ac:dyDescent="0.25">
      <c r="A15" s="15"/>
      <c r="B15" s="15"/>
      <c r="C15" s="16"/>
      <c r="D15">
        <v>2018</v>
      </c>
      <c r="F15" s="11">
        <v>338129985</v>
      </c>
      <c r="G15" s="4">
        <v>1523517170</v>
      </c>
      <c r="H15" s="4">
        <v>239353356</v>
      </c>
      <c r="I15" s="4">
        <v>653907150</v>
      </c>
      <c r="J15" s="4">
        <v>800659050</v>
      </c>
      <c r="K15" s="4">
        <v>1284163814</v>
      </c>
      <c r="L15" s="4">
        <v>893006350</v>
      </c>
      <c r="M15" s="5">
        <v>347689774</v>
      </c>
      <c r="N15">
        <f>241721111-32689445</f>
        <v>209031666</v>
      </c>
      <c r="O15" s="12">
        <f t="shared" si="0"/>
        <v>1031664458</v>
      </c>
      <c r="P15" s="12">
        <f t="shared" si="1"/>
        <v>1622293799</v>
      </c>
      <c r="Q15">
        <f t="shared" si="2"/>
        <v>0.6359294836952033</v>
      </c>
      <c r="R15">
        <v>32689445</v>
      </c>
      <c r="S15">
        <f t="shared" si="3"/>
        <v>31.559558689356763</v>
      </c>
      <c r="T15">
        <f t="shared" si="4"/>
        <v>0.96831387885226539</v>
      </c>
    </row>
    <row r="16" spans="1:20" ht="15" customHeight="1" x14ac:dyDescent="0.25">
      <c r="A16" s="15"/>
      <c r="B16" s="15"/>
      <c r="C16" s="16"/>
      <c r="D16">
        <v>2019</v>
      </c>
      <c r="F16" s="11">
        <v>317815177</v>
      </c>
      <c r="G16" s="4">
        <v>1425983722</v>
      </c>
      <c r="H16" s="4">
        <v>212420390</v>
      </c>
      <c r="I16" s="4">
        <v>677261850</v>
      </c>
      <c r="J16" s="4">
        <v>800659050</v>
      </c>
      <c r="K16" s="4">
        <v>1213563332</v>
      </c>
      <c r="L16" s="4">
        <v>827136727</v>
      </c>
      <c r="M16" s="5">
        <v>312114544</v>
      </c>
      <c r="N16">
        <f>230440697-29565058</f>
        <v>200875639</v>
      </c>
      <c r="O16" s="12">
        <f t="shared" si="0"/>
        <v>938375632</v>
      </c>
      <c r="P16" s="12">
        <f t="shared" si="1"/>
        <v>1531378509</v>
      </c>
      <c r="Q16">
        <f t="shared" si="2"/>
        <v>0.61276531339907947</v>
      </c>
      <c r="R16">
        <v>29565058</v>
      </c>
      <c r="S16">
        <f t="shared" si="3"/>
        <v>31.739346900655498</v>
      </c>
      <c r="T16">
        <f t="shared" si="4"/>
        <v>0.96849336556514498</v>
      </c>
    </row>
    <row r="17" spans="1:20" ht="15" customHeight="1" x14ac:dyDescent="0.25">
      <c r="A17" s="15">
        <v>6</v>
      </c>
      <c r="B17" s="15" t="s">
        <v>19</v>
      </c>
      <c r="C17" s="16" t="s">
        <v>20</v>
      </c>
      <c r="D17">
        <v>2017</v>
      </c>
      <c r="E17" t="s">
        <v>54</v>
      </c>
      <c r="F17" s="11">
        <v>162249293</v>
      </c>
      <c r="G17" s="4">
        <v>1640886147</v>
      </c>
      <c r="H17" s="4">
        <v>524586078</v>
      </c>
      <c r="I17" s="4">
        <v>1031800912</v>
      </c>
      <c r="J17" s="4">
        <v>1115925300</v>
      </c>
      <c r="K17" s="4">
        <v>1116300069</v>
      </c>
      <c r="L17" s="4">
        <v>1575647308</v>
      </c>
      <c r="M17" s="5">
        <v>148312987</v>
      </c>
      <c r="N17">
        <f>681690889-67763051</f>
        <v>613927838</v>
      </c>
      <c r="O17" s="12">
        <f t="shared" si="0"/>
        <v>1110032457</v>
      </c>
      <c r="P17" s="12">
        <f t="shared" si="1"/>
        <v>1278549362</v>
      </c>
      <c r="Q17">
        <f t="shared" si="2"/>
        <v>0.86819679395374016</v>
      </c>
      <c r="R17">
        <v>67763051</v>
      </c>
      <c r="S17">
        <f t="shared" si="3"/>
        <v>16.381087342126907</v>
      </c>
      <c r="T17">
        <f t="shared" si="4"/>
        <v>0.93895399132459778</v>
      </c>
    </row>
    <row r="18" spans="1:20" ht="15" customHeight="1" x14ac:dyDescent="0.25">
      <c r="A18" s="15"/>
      <c r="B18" s="15"/>
      <c r="C18" s="16"/>
      <c r="D18">
        <v>2018</v>
      </c>
      <c r="F18" s="11">
        <v>200651968</v>
      </c>
      <c r="G18" s="4">
        <v>1682821739</v>
      </c>
      <c r="H18" s="4">
        <v>482559876</v>
      </c>
      <c r="I18" s="4">
        <v>1031800912</v>
      </c>
      <c r="J18" s="4">
        <v>1118755400</v>
      </c>
      <c r="K18" s="4">
        <v>1200261863</v>
      </c>
      <c r="L18" s="4">
        <v>1699657296</v>
      </c>
      <c r="M18" s="5">
        <v>2672171</v>
      </c>
      <c r="N18">
        <f>774247594-84602015</f>
        <v>689645579</v>
      </c>
      <c r="O18" s="12">
        <f t="shared" si="0"/>
        <v>1012683888</v>
      </c>
      <c r="P18" s="12">
        <f t="shared" si="1"/>
        <v>1400913831</v>
      </c>
      <c r="Q18">
        <f t="shared" si="2"/>
        <v>0.72287378823087656</v>
      </c>
      <c r="R18">
        <v>84602015</v>
      </c>
      <c r="S18">
        <f t="shared" si="3"/>
        <v>11.969973622968674</v>
      </c>
      <c r="T18">
        <f t="shared" si="4"/>
        <v>0.91645762710110379</v>
      </c>
    </row>
    <row r="19" spans="1:20" ht="15" customHeight="1" x14ac:dyDescent="0.25">
      <c r="A19" s="15"/>
      <c r="B19" s="15"/>
      <c r="C19" s="16"/>
      <c r="D19">
        <v>2019</v>
      </c>
      <c r="F19" s="11">
        <v>221783249</v>
      </c>
      <c r="G19" s="4">
        <v>1829960714</v>
      </c>
      <c r="H19" s="4">
        <v>523881726</v>
      </c>
      <c r="I19" s="4">
        <v>1031800912</v>
      </c>
      <c r="J19" s="4">
        <v>1115946100</v>
      </c>
      <c r="K19" s="4">
        <v>1306078988</v>
      </c>
      <c r="L19" s="4">
        <v>1813020278</v>
      </c>
      <c r="M19" s="5">
        <v>-2583455</v>
      </c>
      <c r="N19">
        <f>839538301-93197496</f>
        <v>746340805</v>
      </c>
      <c r="O19" s="12">
        <f t="shared" si="0"/>
        <v>1064096018</v>
      </c>
      <c r="P19" s="12">
        <f t="shared" si="1"/>
        <v>1527862237</v>
      </c>
      <c r="Q19">
        <f t="shared" si="2"/>
        <v>0.69646070976227681</v>
      </c>
      <c r="R19">
        <v>93197496</v>
      </c>
      <c r="S19">
        <f t="shared" si="3"/>
        <v>11.41764600628326</v>
      </c>
      <c r="T19">
        <f t="shared" si="4"/>
        <v>0.91241627219396282</v>
      </c>
    </row>
    <row r="20" spans="1:20" ht="15" customHeight="1" x14ac:dyDescent="0.25">
      <c r="A20" s="15">
        <v>7</v>
      </c>
      <c r="B20" s="15" t="s">
        <v>21</v>
      </c>
      <c r="C20" s="16" t="s">
        <v>22</v>
      </c>
      <c r="D20">
        <v>2017</v>
      </c>
      <c r="E20" t="s">
        <v>51</v>
      </c>
      <c r="F20" s="11">
        <v>12670534</v>
      </c>
      <c r="G20" s="4">
        <v>43141063</v>
      </c>
      <c r="H20" s="4">
        <v>9028078</v>
      </c>
      <c r="I20" s="4">
        <v>107594221125</v>
      </c>
      <c r="J20" s="4">
        <v>116318076900</v>
      </c>
      <c r="K20" s="4">
        <v>34112985</v>
      </c>
      <c r="L20" s="4">
        <v>99091484</v>
      </c>
      <c r="M20" s="5">
        <v>-248869</v>
      </c>
      <c r="N20">
        <f>82980139-4934877</f>
        <v>78045262</v>
      </c>
      <c r="O20" s="12">
        <f t="shared" si="0"/>
        <v>20797353</v>
      </c>
      <c r="P20" s="12">
        <f t="shared" si="1"/>
        <v>46783519</v>
      </c>
      <c r="Q20">
        <f t="shared" si="2"/>
        <v>0.44454443454755938</v>
      </c>
      <c r="R20">
        <v>4934877</v>
      </c>
      <c r="S20">
        <f t="shared" si="3"/>
        <v>4.2143609658356223</v>
      </c>
      <c r="T20">
        <f t="shared" si="4"/>
        <v>0.76271610141925272</v>
      </c>
    </row>
    <row r="21" spans="1:20" ht="15" customHeight="1" x14ac:dyDescent="0.25">
      <c r="A21" s="15"/>
      <c r="B21" s="15"/>
      <c r="C21" s="16"/>
      <c r="D21">
        <v>2018</v>
      </c>
      <c r="F21" s="11">
        <v>13538418</v>
      </c>
      <c r="G21" s="4">
        <v>46602420</v>
      </c>
      <c r="H21" s="4">
        <v>11244167</v>
      </c>
      <c r="I21" s="4">
        <v>107594221125</v>
      </c>
      <c r="J21" s="4">
        <v>116318076900</v>
      </c>
      <c r="K21" s="4">
        <v>35358253</v>
      </c>
      <c r="L21" s="4">
        <v>106741891</v>
      </c>
      <c r="M21" s="5">
        <v>122355</v>
      </c>
      <c r="N21">
        <f>89859963-5028390</f>
        <v>84831573</v>
      </c>
      <c r="O21" s="12">
        <f t="shared" si="0"/>
        <v>22032673</v>
      </c>
      <c r="P21" s="12">
        <f t="shared" si="1"/>
        <v>48896671</v>
      </c>
      <c r="Q21">
        <f t="shared" si="2"/>
        <v>0.45059658560395655</v>
      </c>
      <c r="R21" s="5">
        <v>5028390</v>
      </c>
      <c r="S21">
        <f t="shared" si="3"/>
        <v>4.3816555597318425</v>
      </c>
      <c r="T21">
        <f t="shared" si="4"/>
        <v>0.77177576229629519</v>
      </c>
    </row>
    <row r="22" spans="1:20" ht="15" customHeight="1" x14ac:dyDescent="0.25">
      <c r="A22" s="15"/>
      <c r="B22" s="15"/>
      <c r="C22" s="16"/>
      <c r="D22">
        <v>2019</v>
      </c>
      <c r="F22" s="11">
        <v>13721513</v>
      </c>
      <c r="G22" s="4">
        <v>5090280</v>
      </c>
      <c r="H22" s="4">
        <v>15223076</v>
      </c>
      <c r="I22" s="4">
        <v>107594221125</v>
      </c>
      <c r="J22" s="4">
        <v>116318076900</v>
      </c>
      <c r="K22" s="4">
        <v>35679730</v>
      </c>
      <c r="L22" s="4">
        <v>106055176</v>
      </c>
      <c r="M22" s="5">
        <v>279806</v>
      </c>
      <c r="N22">
        <f>88978089-4829679</f>
        <v>84148410</v>
      </c>
      <c r="O22" s="12">
        <f t="shared" si="0"/>
        <v>22186572</v>
      </c>
      <c r="P22" s="12">
        <f t="shared" si="1"/>
        <v>49401243</v>
      </c>
      <c r="Q22">
        <f t="shared" si="2"/>
        <v>0.44910959021820562</v>
      </c>
      <c r="R22" s="5">
        <v>4829679</v>
      </c>
      <c r="S22">
        <f t="shared" si="3"/>
        <v>4.5937984698361944</v>
      </c>
      <c r="T22">
        <f t="shared" si="4"/>
        <v>0.78231522201807469</v>
      </c>
    </row>
    <row r="23" spans="1:20" ht="15" customHeight="1" x14ac:dyDescent="0.25">
      <c r="A23" s="15">
        <v>8</v>
      </c>
      <c r="B23" s="15" t="s">
        <v>23</v>
      </c>
      <c r="C23" s="16" t="s">
        <v>24</v>
      </c>
      <c r="D23">
        <v>2017</v>
      </c>
      <c r="E23" t="s">
        <v>51</v>
      </c>
      <c r="F23" s="11">
        <v>3543173</v>
      </c>
      <c r="G23" s="4">
        <v>31619514</v>
      </c>
      <c r="H23" s="4">
        <v>11295184</v>
      </c>
      <c r="I23" s="4">
        <v>9391678000</v>
      </c>
      <c r="J23" s="4">
        <v>11661908000</v>
      </c>
      <c r="K23" s="4">
        <v>20324330</v>
      </c>
      <c r="L23" s="4">
        <v>35606593</v>
      </c>
      <c r="M23" s="5">
        <v>-189168</v>
      </c>
      <c r="N23" s="5">
        <v>24547757</v>
      </c>
      <c r="O23" s="12">
        <f t="shared" si="0"/>
        <v>10869668</v>
      </c>
      <c r="P23" s="12">
        <f t="shared" si="1"/>
        <v>23867503</v>
      </c>
      <c r="Q23">
        <f t="shared" si="2"/>
        <v>0.4554170580810234</v>
      </c>
      <c r="R23" s="5">
        <v>517389</v>
      </c>
      <c r="S23">
        <f t="shared" si="3"/>
        <v>21.008695584946722</v>
      </c>
      <c r="T23">
        <f t="shared" si="4"/>
        <v>0.95240066209933916</v>
      </c>
    </row>
    <row r="24" spans="1:20" ht="15" customHeight="1" x14ac:dyDescent="0.25">
      <c r="A24" s="15"/>
      <c r="B24" s="15"/>
      <c r="C24" s="16"/>
      <c r="D24">
        <v>2018</v>
      </c>
      <c r="F24" s="11">
        <v>4658781</v>
      </c>
      <c r="G24" s="4">
        <v>34367153</v>
      </c>
      <c r="H24" s="4">
        <v>11660003</v>
      </c>
      <c r="I24" s="4">
        <v>9391678000</v>
      </c>
      <c r="J24" s="4">
        <v>11661908000</v>
      </c>
      <c r="K24" s="4">
        <v>22707150</v>
      </c>
      <c r="L24" s="4">
        <v>38413407</v>
      </c>
      <c r="M24" s="5">
        <v>233446</v>
      </c>
      <c r="N24" s="5">
        <v>26147857</v>
      </c>
      <c r="O24" s="12">
        <f t="shared" si="0"/>
        <v>12498996</v>
      </c>
      <c r="P24" s="12">
        <f t="shared" si="1"/>
        <v>27365931</v>
      </c>
      <c r="Q24">
        <f t="shared" si="2"/>
        <v>0.45673563965355318</v>
      </c>
      <c r="R24" s="5">
        <v>544611</v>
      </c>
      <c r="S24">
        <f t="shared" si="3"/>
        <v>22.950318667819783</v>
      </c>
      <c r="T24">
        <f t="shared" si="4"/>
        <v>0.95642762026645978</v>
      </c>
    </row>
    <row r="25" spans="1:20" ht="15" customHeight="1" x14ac:dyDescent="0.25">
      <c r="A25" s="15"/>
      <c r="B25" s="15"/>
      <c r="C25" s="16"/>
      <c r="D25">
        <v>2019</v>
      </c>
      <c r="F25" s="11">
        <v>5360029</v>
      </c>
      <c r="G25" s="4">
        <v>38709314</v>
      </c>
      <c r="H25" s="4">
        <v>12038210</v>
      </c>
      <c r="I25" s="4">
        <v>9391678000</v>
      </c>
      <c r="J25" s="4">
        <v>11661908000</v>
      </c>
      <c r="K25" s="4">
        <v>26671104</v>
      </c>
      <c r="L25" s="4">
        <v>42296703</v>
      </c>
      <c r="M25" s="5">
        <v>27542</v>
      </c>
      <c r="N25" s="5">
        <v>27892690</v>
      </c>
      <c r="O25" s="12">
        <f t="shared" si="0"/>
        <v>14431555</v>
      </c>
      <c r="P25" s="12">
        <f t="shared" si="1"/>
        <v>32031133</v>
      </c>
      <c r="Q25">
        <f t="shared" si="2"/>
        <v>0.45054775302515837</v>
      </c>
      <c r="R25" s="5">
        <v>600838</v>
      </c>
      <c r="S25">
        <f t="shared" si="3"/>
        <v>24.019045067056343</v>
      </c>
      <c r="T25">
        <f t="shared" si="4"/>
        <v>0.95836637146863246</v>
      </c>
    </row>
    <row r="26" spans="1:20" ht="15" customHeight="1" x14ac:dyDescent="0.25">
      <c r="A26" s="15">
        <v>9</v>
      </c>
      <c r="B26" s="15" t="s">
        <v>25</v>
      </c>
      <c r="C26" s="16" t="s">
        <v>26</v>
      </c>
      <c r="D26">
        <v>2017</v>
      </c>
      <c r="E26" t="s">
        <v>51</v>
      </c>
      <c r="F26" s="11">
        <v>5145063</v>
      </c>
      <c r="G26" s="4">
        <v>87939488</v>
      </c>
      <c r="H26" s="4">
        <v>41182764</v>
      </c>
      <c r="I26" s="4">
        <v>4396103450</v>
      </c>
      <c r="J26" s="4">
        <v>8780426500</v>
      </c>
      <c r="K26" s="4">
        <v>46756724</v>
      </c>
      <c r="L26" s="4">
        <v>70186618</v>
      </c>
      <c r="M26" s="5">
        <v>-383870</v>
      </c>
      <c r="N26" s="5">
        <v>50318096</v>
      </c>
      <c r="O26" s="12">
        <f t="shared" si="0"/>
        <v>19484652</v>
      </c>
      <c r="P26" s="12">
        <f t="shared" si="1"/>
        <v>51901787</v>
      </c>
      <c r="Q26">
        <f t="shared" si="2"/>
        <v>0.37541389470848086</v>
      </c>
      <c r="R26" s="5">
        <v>1353392</v>
      </c>
      <c r="S26">
        <f t="shared" si="3"/>
        <v>14.396902006218451</v>
      </c>
      <c r="T26">
        <f t="shared" si="4"/>
        <v>0.93054061217003003</v>
      </c>
    </row>
    <row r="27" spans="1:20" ht="15" customHeight="1" x14ac:dyDescent="0.25">
      <c r="A27" s="15"/>
      <c r="B27" s="15"/>
      <c r="C27" s="16"/>
      <c r="D27">
        <v>2018</v>
      </c>
      <c r="F27" s="11">
        <v>67479160972</v>
      </c>
      <c r="G27" s="4">
        <v>536474210503</v>
      </c>
      <c r="H27" s="4">
        <v>161689303541</v>
      </c>
      <c r="I27" s="4">
        <v>740000000</v>
      </c>
      <c r="J27" s="4">
        <v>1500000000</v>
      </c>
      <c r="K27" s="4">
        <v>49916800</v>
      </c>
      <c r="L27" s="4">
        <v>73394728</v>
      </c>
      <c r="M27" s="5">
        <v>486006</v>
      </c>
      <c r="N27" s="5">
        <v>53182723</v>
      </c>
      <c r="O27" s="12">
        <f t="shared" si="0"/>
        <v>20698011</v>
      </c>
      <c r="P27" s="12">
        <f t="shared" si="1"/>
        <v>67529077772</v>
      </c>
      <c r="Q27">
        <f t="shared" si="2"/>
        <v>3.0650516315183774E-4</v>
      </c>
      <c r="R27" s="5">
        <v>1428406</v>
      </c>
      <c r="S27">
        <f t="shared" si="3"/>
        <v>14.490285675081175</v>
      </c>
      <c r="T27">
        <f t="shared" si="4"/>
        <v>0.93098824809784864</v>
      </c>
    </row>
    <row r="28" spans="1:20" ht="15" customHeight="1" x14ac:dyDescent="0.25">
      <c r="A28" s="15"/>
      <c r="B28" s="15"/>
      <c r="C28" s="16"/>
      <c r="D28">
        <v>2019</v>
      </c>
      <c r="F28" s="11">
        <v>98047666143</v>
      </c>
      <c r="G28" s="4">
        <v>666313386673</v>
      </c>
      <c r="H28" s="4">
        <v>230619409786</v>
      </c>
      <c r="I28" s="4">
        <v>30000</v>
      </c>
      <c r="J28" s="4">
        <v>60000</v>
      </c>
      <c r="K28" s="4">
        <v>54202488</v>
      </c>
      <c r="L28" s="4">
        <v>76592955</v>
      </c>
      <c r="M28" s="5">
        <v>112013</v>
      </c>
      <c r="N28" s="5">
        <v>53876594</v>
      </c>
      <c r="O28" s="12">
        <f t="shared" si="0"/>
        <v>22828374</v>
      </c>
      <c r="P28" s="12">
        <f t="shared" si="1"/>
        <v>98101868631</v>
      </c>
      <c r="Q28">
        <f t="shared" si="2"/>
        <v>2.3270070507898846E-4</v>
      </c>
      <c r="R28" s="5">
        <v>1608483</v>
      </c>
      <c r="S28">
        <f t="shared" si="3"/>
        <v>14.192486958208448</v>
      </c>
      <c r="T28">
        <f t="shared" si="4"/>
        <v>0.92954018538508265</v>
      </c>
    </row>
    <row r="29" spans="1:20" ht="15" customHeight="1" x14ac:dyDescent="0.25">
      <c r="A29" s="15">
        <v>10</v>
      </c>
      <c r="B29" s="15" t="s">
        <v>27</v>
      </c>
      <c r="C29" s="16" t="s">
        <v>28</v>
      </c>
      <c r="D29">
        <v>2017</v>
      </c>
      <c r="E29" t="s">
        <v>52</v>
      </c>
      <c r="F29" s="11">
        <v>109696001798</v>
      </c>
      <c r="G29" s="4">
        <v>3237595219274</v>
      </c>
      <c r="H29" s="4">
        <v>1182424339165</v>
      </c>
      <c r="I29" s="4">
        <v>153056400</v>
      </c>
      <c r="J29" s="4">
        <v>1428571500</v>
      </c>
      <c r="K29" s="4">
        <v>2055170880109</v>
      </c>
      <c r="L29" s="4">
        <v>3160637269263</v>
      </c>
      <c r="M29" s="5">
        <v>11433835777</v>
      </c>
      <c r="N29" s="4">
        <f>1830139851672-85409563929</f>
        <v>1744730287743</v>
      </c>
      <c r="O29" s="12">
        <f t="shared" si="0"/>
        <v>1427340817297</v>
      </c>
      <c r="P29" s="12">
        <f t="shared" si="1"/>
        <v>2164866881907</v>
      </c>
      <c r="Q29">
        <f t="shared" si="2"/>
        <v>0.65932036247867398</v>
      </c>
      <c r="R29" s="5">
        <v>85409563929</v>
      </c>
      <c r="S29">
        <f t="shared" si="3"/>
        <v>16.711721166069086</v>
      </c>
      <c r="T29">
        <f t="shared" si="4"/>
        <v>0.94016175891981935</v>
      </c>
    </row>
    <row r="30" spans="1:20" ht="15" customHeight="1" x14ac:dyDescent="0.25">
      <c r="A30" s="15"/>
      <c r="B30" s="15"/>
      <c r="C30" s="16"/>
      <c r="D30">
        <v>2018</v>
      </c>
      <c r="F30" s="11">
        <v>150116045042</v>
      </c>
      <c r="G30" s="4">
        <v>4695764958883</v>
      </c>
      <c r="H30" s="4">
        <v>1405264079012</v>
      </c>
      <c r="I30" s="4">
        <v>153255700</v>
      </c>
      <c r="J30" s="4">
        <v>1428571500</v>
      </c>
      <c r="K30" s="4">
        <v>2186900126396</v>
      </c>
      <c r="L30" s="4">
        <v>3611694059699</v>
      </c>
      <c r="M30" s="5">
        <v>28909631745</v>
      </c>
      <c r="N30" s="4">
        <f>1968473595847-101876109309</f>
        <v>1866597486538</v>
      </c>
      <c r="O30" s="12">
        <f t="shared" si="0"/>
        <v>1774006204906</v>
      </c>
      <c r="P30" s="12">
        <f t="shared" si="1"/>
        <v>2337016171438</v>
      </c>
      <c r="Q30">
        <f t="shared" si="2"/>
        <v>0.75909025645056971</v>
      </c>
      <c r="R30" s="4">
        <v>101876109309</v>
      </c>
      <c r="S30">
        <f t="shared" si="3"/>
        <v>17.41336822674754</v>
      </c>
      <c r="T30">
        <f t="shared" si="4"/>
        <v>0.94257285626890008</v>
      </c>
    </row>
    <row r="31" spans="1:20" ht="15" customHeight="1" x14ac:dyDescent="0.25">
      <c r="A31" s="15"/>
      <c r="B31" s="15"/>
      <c r="C31" s="16"/>
      <c r="D31">
        <v>2019</v>
      </c>
      <c r="F31" s="11">
        <v>515603339649</v>
      </c>
      <c r="G31" s="4">
        <v>3592164205408</v>
      </c>
      <c r="H31" s="4">
        <v>1992902779331</v>
      </c>
      <c r="I31" s="4">
        <v>153255700</v>
      </c>
      <c r="J31" s="4">
        <v>1428571500</v>
      </c>
      <c r="K31" s="4">
        <v>2702862179552</v>
      </c>
      <c r="L31" s="4">
        <v>4678868638822</v>
      </c>
      <c r="M31" s="5">
        <v>18437088448</v>
      </c>
      <c r="N31" s="4">
        <f>2488296342317-155405933935-1247222555</f>
        <v>2331643185827</v>
      </c>
      <c r="O31" s="12">
        <f t="shared" si="0"/>
        <v>2365662541443</v>
      </c>
      <c r="P31" s="12">
        <f t="shared" ref="P31:P46" si="5">K31+F31</f>
        <v>3218465519201</v>
      </c>
      <c r="Q31">
        <f t="shared" si="2"/>
        <v>0.73502808320602653</v>
      </c>
      <c r="R31" s="4">
        <f>155405933935+1247222555</f>
        <v>156653156490</v>
      </c>
      <c r="S31">
        <f t="shared" si="3"/>
        <v>15.10127592988535</v>
      </c>
      <c r="T31">
        <f t="shared" si="4"/>
        <v>0.9337804299025485</v>
      </c>
    </row>
    <row r="32" spans="1:20" ht="15" customHeight="1" x14ac:dyDescent="0.25">
      <c r="A32" s="15">
        <v>11</v>
      </c>
      <c r="B32" s="15" t="s">
        <v>29</v>
      </c>
      <c r="C32" s="16" t="s">
        <v>30</v>
      </c>
      <c r="D32">
        <v>2017</v>
      </c>
      <c r="E32" t="s">
        <v>55</v>
      </c>
      <c r="F32" s="11">
        <v>1322067</v>
      </c>
      <c r="G32" s="4">
        <v>2510078</v>
      </c>
      <c r="H32" s="4">
        <v>1445173</v>
      </c>
      <c r="I32" s="4">
        <v>1723151000</v>
      </c>
      <c r="J32" s="4">
        <v>2107000000</v>
      </c>
      <c r="K32" s="4">
        <v>1064905</v>
      </c>
      <c r="L32" s="4">
        <v>3389736</v>
      </c>
      <c r="M32" s="5">
        <v>-1560</v>
      </c>
      <c r="N32">
        <f>1118032-98881</f>
        <v>1019151</v>
      </c>
      <c r="O32" s="12">
        <f t="shared" si="0"/>
        <v>2369025</v>
      </c>
      <c r="P32" s="12">
        <f t="shared" si="5"/>
        <v>2386972</v>
      </c>
      <c r="Q32">
        <f t="shared" si="2"/>
        <v>0.99248126915606882</v>
      </c>
      <c r="R32" s="5">
        <v>98881</v>
      </c>
      <c r="S32">
        <f t="shared" si="3"/>
        <v>23.958343867881595</v>
      </c>
      <c r="T32">
        <f t="shared" si="4"/>
        <v>0.95826088791802533</v>
      </c>
    </row>
    <row r="33" spans="1:20" ht="15" customHeight="1" x14ac:dyDescent="0.25">
      <c r="A33" s="15"/>
      <c r="B33" s="15"/>
      <c r="C33" s="16"/>
      <c r="D33">
        <v>2018</v>
      </c>
      <c r="F33" s="11">
        <v>1224807</v>
      </c>
      <c r="G33" s="4">
        <v>2889501</v>
      </c>
      <c r="H33" s="4">
        <v>1721965</v>
      </c>
      <c r="I33" s="4">
        <v>1723151000</v>
      </c>
      <c r="J33" s="4">
        <v>2107000000</v>
      </c>
      <c r="K33" s="4">
        <v>1167536</v>
      </c>
      <c r="L33" s="4">
        <v>3574801</v>
      </c>
      <c r="M33" s="5">
        <v>4312</v>
      </c>
      <c r="N33">
        <f>1364750-100066</f>
        <v>1264684</v>
      </c>
      <c r="O33" s="12">
        <f t="shared" si="0"/>
        <v>2314429</v>
      </c>
      <c r="P33" s="12">
        <f t="shared" si="5"/>
        <v>2392343</v>
      </c>
      <c r="Q33">
        <f t="shared" si="2"/>
        <v>0.96743192761238672</v>
      </c>
      <c r="R33">
        <v>100066</v>
      </c>
      <c r="S33">
        <f t="shared" si="3"/>
        <v>23.129024843603222</v>
      </c>
      <c r="T33">
        <f t="shared" si="4"/>
        <v>0.95676428181637885</v>
      </c>
    </row>
    <row r="34" spans="1:20" ht="15" customHeight="1" x14ac:dyDescent="0.25">
      <c r="A34" s="15"/>
      <c r="B34" s="15"/>
      <c r="C34" s="16"/>
      <c r="D34">
        <v>2019</v>
      </c>
      <c r="F34" s="11">
        <v>1206059</v>
      </c>
      <c r="G34" s="4">
        <v>2896950</v>
      </c>
      <c r="H34" s="4">
        <v>1750943</v>
      </c>
      <c r="I34" s="4">
        <v>1723151000</v>
      </c>
      <c r="J34" s="4">
        <v>2107000000</v>
      </c>
      <c r="K34" s="4">
        <v>1146007</v>
      </c>
      <c r="L34" s="4">
        <v>3711405</v>
      </c>
      <c r="M34" s="5">
        <v>1353</v>
      </c>
      <c r="N34">
        <f>1426351-108081</f>
        <v>1318270</v>
      </c>
      <c r="O34" s="12">
        <f t="shared" si="0"/>
        <v>2394488</v>
      </c>
      <c r="P34" s="12">
        <f t="shared" si="5"/>
        <v>2352066</v>
      </c>
      <c r="Q34">
        <f t="shared" si="2"/>
        <v>1.0180360585119634</v>
      </c>
      <c r="R34">
        <v>108081</v>
      </c>
      <c r="S34">
        <f t="shared" si="3"/>
        <v>22.154569258241505</v>
      </c>
      <c r="T34">
        <f t="shared" si="4"/>
        <v>0.95486258440217697</v>
      </c>
    </row>
    <row r="35" spans="1:20" ht="15" customHeight="1" x14ac:dyDescent="0.25">
      <c r="A35" s="15">
        <v>12</v>
      </c>
      <c r="B35" s="15" t="s">
        <v>31</v>
      </c>
      <c r="C35" s="16" t="s">
        <v>32</v>
      </c>
      <c r="D35">
        <v>2017</v>
      </c>
      <c r="E35" t="s">
        <v>56</v>
      </c>
      <c r="F35" s="11">
        <v>533799</v>
      </c>
      <c r="G35" s="4">
        <v>3158198</v>
      </c>
      <c r="H35" s="4">
        <v>262333</v>
      </c>
      <c r="I35" s="4">
        <v>12150000000</v>
      </c>
      <c r="J35" s="4">
        <v>15000000000</v>
      </c>
      <c r="K35" s="4">
        <v>2895865</v>
      </c>
      <c r="L35" s="4">
        <v>2573840</v>
      </c>
      <c r="M35" s="5">
        <v>-14773</v>
      </c>
      <c r="N35" s="5">
        <v>1411881</v>
      </c>
      <c r="O35" s="12">
        <f t="shared" si="0"/>
        <v>1147186</v>
      </c>
      <c r="P35" s="12">
        <f t="shared" si="5"/>
        <v>3429664</v>
      </c>
      <c r="Q35">
        <f t="shared" si="2"/>
        <v>0.33448932606809295</v>
      </c>
      <c r="R35" s="5">
        <v>153306</v>
      </c>
      <c r="S35">
        <f t="shared" si="3"/>
        <v>7.4829817489204595</v>
      </c>
      <c r="T35">
        <f t="shared" si="4"/>
        <v>0.86636343191077991</v>
      </c>
    </row>
    <row r="36" spans="1:20" ht="15" customHeight="1" x14ac:dyDescent="0.25">
      <c r="A36" s="15"/>
      <c r="B36" s="15"/>
      <c r="C36" s="16"/>
      <c r="D36">
        <v>2018</v>
      </c>
      <c r="F36" s="11">
        <v>663849</v>
      </c>
      <c r="G36" s="4">
        <v>3337628</v>
      </c>
      <c r="H36" s="4">
        <v>435014</v>
      </c>
      <c r="I36" s="4">
        <v>12150000000</v>
      </c>
      <c r="J36" s="4">
        <v>15000000000</v>
      </c>
      <c r="K36" s="4">
        <v>2902614</v>
      </c>
      <c r="L36" s="4">
        <v>2763292</v>
      </c>
      <c r="M36" s="5">
        <v>-4241</v>
      </c>
      <c r="N36" s="5">
        <v>1338901</v>
      </c>
      <c r="O36" s="12">
        <f t="shared" si="0"/>
        <v>1420150</v>
      </c>
      <c r="P36" s="12">
        <f t="shared" si="5"/>
        <v>3566463</v>
      </c>
      <c r="Q36">
        <f t="shared" si="2"/>
        <v>0.39819563528347274</v>
      </c>
      <c r="R36" s="5">
        <v>17361</v>
      </c>
      <c r="S36">
        <f t="shared" si="3"/>
        <v>81.801163527446576</v>
      </c>
      <c r="T36">
        <f t="shared" si="4"/>
        <v>0.98777523501038622</v>
      </c>
    </row>
    <row r="37" spans="1:20" ht="15" customHeight="1" x14ac:dyDescent="0.25">
      <c r="A37" s="15"/>
      <c r="B37" s="15"/>
      <c r="C37" s="16"/>
      <c r="D37">
        <v>2019</v>
      </c>
      <c r="F37" s="11">
        <v>807689</v>
      </c>
      <c r="G37" s="4">
        <v>3536898</v>
      </c>
      <c r="H37" s="4">
        <v>472191</v>
      </c>
      <c r="I37" s="4">
        <v>12150000000</v>
      </c>
      <c r="J37" s="4">
        <v>15000000000</v>
      </c>
      <c r="K37" s="4">
        <v>3064707</v>
      </c>
      <c r="L37" s="4">
        <v>3067434</v>
      </c>
      <c r="M37" s="5">
        <v>-7526</v>
      </c>
      <c r="N37" s="5">
        <v>1386870</v>
      </c>
      <c r="O37" s="12">
        <f t="shared" si="0"/>
        <v>1673038</v>
      </c>
      <c r="P37" s="12">
        <f t="shared" si="5"/>
        <v>3872396</v>
      </c>
      <c r="Q37">
        <f t="shared" si="2"/>
        <v>0.43204207420935253</v>
      </c>
      <c r="R37" s="5">
        <v>20284</v>
      </c>
      <c r="S37">
        <f t="shared" si="3"/>
        <v>82.480674423190692</v>
      </c>
      <c r="T37">
        <f t="shared" si="4"/>
        <v>0.98787594782664834</v>
      </c>
    </row>
    <row r="38" spans="1:20" ht="15" customHeight="1" x14ac:dyDescent="0.25">
      <c r="A38" s="15">
        <v>13</v>
      </c>
      <c r="B38" s="15" t="s">
        <v>33</v>
      </c>
      <c r="C38" s="16" t="s">
        <v>34</v>
      </c>
      <c r="D38">
        <v>2017</v>
      </c>
      <c r="E38" t="s">
        <v>56</v>
      </c>
      <c r="F38" s="11">
        <v>954357</v>
      </c>
      <c r="G38" s="4">
        <v>14024486</v>
      </c>
      <c r="H38" s="4">
        <v>10024540</v>
      </c>
      <c r="I38" s="4">
        <v>2903126492</v>
      </c>
      <c r="J38" s="4">
        <v>5342098939</v>
      </c>
      <c r="K38" s="4">
        <v>3999946</v>
      </c>
      <c r="L38" s="4">
        <v>8974708</v>
      </c>
      <c r="M38" s="5">
        <v>-67122</v>
      </c>
      <c r="N38">
        <f>6709085-76756</f>
        <v>6632329</v>
      </c>
      <c r="O38" s="12">
        <f t="shared" si="0"/>
        <v>2275257</v>
      </c>
      <c r="P38" s="12">
        <f t="shared" si="5"/>
        <v>4954303</v>
      </c>
      <c r="Q38">
        <f t="shared" si="2"/>
        <v>0.4592486571774072</v>
      </c>
      <c r="R38" s="5">
        <v>76756</v>
      </c>
      <c r="S38">
        <f t="shared" si="3"/>
        <v>29.642724998697169</v>
      </c>
      <c r="T38">
        <f t="shared" si="4"/>
        <v>0.9662649098541396</v>
      </c>
    </row>
    <row r="39" spans="1:20" ht="15" customHeight="1" x14ac:dyDescent="0.25">
      <c r="A39" s="15"/>
      <c r="B39" s="15"/>
      <c r="C39" s="16"/>
      <c r="D39">
        <v>2018</v>
      </c>
      <c r="F39" s="11">
        <v>764380</v>
      </c>
      <c r="G39" s="4">
        <v>16339916</v>
      </c>
      <c r="H39" s="4">
        <v>11556300</v>
      </c>
      <c r="I39" s="4">
        <v>2952176492</v>
      </c>
      <c r="J39" s="4">
        <v>5342098939</v>
      </c>
      <c r="K39" s="4">
        <v>4783616</v>
      </c>
      <c r="L39" s="4">
        <v>8614889</v>
      </c>
      <c r="M39" s="5">
        <v>-2676</v>
      </c>
      <c r="N39">
        <f>6312129-83581</f>
        <v>6228548</v>
      </c>
      <c r="O39" s="12">
        <f t="shared" si="0"/>
        <v>2383665</v>
      </c>
      <c r="P39" s="12">
        <f t="shared" si="5"/>
        <v>5547996</v>
      </c>
      <c r="Q39">
        <f t="shared" si="2"/>
        <v>0.42964432562676685</v>
      </c>
      <c r="R39">
        <v>83581</v>
      </c>
      <c r="S39">
        <f t="shared" si="3"/>
        <v>28.519220875557842</v>
      </c>
      <c r="T39">
        <f t="shared" si="4"/>
        <v>0.96493592849666376</v>
      </c>
    </row>
    <row r="40" spans="1:20" ht="15" customHeight="1" x14ac:dyDescent="0.25">
      <c r="A40" s="15"/>
      <c r="B40" s="15"/>
      <c r="C40" s="16"/>
      <c r="D40">
        <v>2019</v>
      </c>
      <c r="F40" s="11">
        <v>661034</v>
      </c>
      <c r="G40" s="4">
        <v>17363003</v>
      </c>
      <c r="H40" s="4">
        <v>12000079</v>
      </c>
      <c r="I40" s="4">
        <v>2952176492</v>
      </c>
      <c r="J40" s="4">
        <v>5342098939</v>
      </c>
      <c r="K40" s="4">
        <v>5362924</v>
      </c>
      <c r="L40" s="4">
        <v>8533183</v>
      </c>
      <c r="M40" s="5">
        <v>64602</v>
      </c>
      <c r="N40">
        <f>6438390-75801</f>
        <v>6362589</v>
      </c>
      <c r="O40" s="12">
        <f t="shared" si="0"/>
        <v>2235196</v>
      </c>
      <c r="P40" s="12">
        <f t="shared" si="5"/>
        <v>6023958</v>
      </c>
      <c r="Q40">
        <f t="shared" si="2"/>
        <v>0.3710510597849454</v>
      </c>
      <c r="R40">
        <v>75801</v>
      </c>
      <c r="S40">
        <f t="shared" si="3"/>
        <v>29.487684859038797</v>
      </c>
      <c r="T40">
        <f t="shared" si="4"/>
        <v>0.96608753773718281</v>
      </c>
    </row>
    <row r="41" spans="1:20" ht="15" customHeight="1" x14ac:dyDescent="0.25">
      <c r="A41" s="15">
        <v>14</v>
      </c>
      <c r="B41" s="15" t="s">
        <v>35</v>
      </c>
      <c r="C41" s="16" t="s">
        <v>36</v>
      </c>
      <c r="D41">
        <v>2017</v>
      </c>
      <c r="E41" t="s">
        <v>52</v>
      </c>
      <c r="F41" s="11">
        <v>179126382068</v>
      </c>
      <c r="G41" s="4">
        <v>2361807189430</v>
      </c>
      <c r="H41" s="4">
        <v>503480853006</v>
      </c>
      <c r="I41" s="4">
        <v>148428496</v>
      </c>
      <c r="J41" s="4">
        <v>201066667</v>
      </c>
      <c r="K41" s="4">
        <v>1858326336424</v>
      </c>
      <c r="L41" s="4">
        <v>2706394847919</v>
      </c>
      <c r="M41" s="5">
        <v>-21494313999</v>
      </c>
      <c r="N41" s="5">
        <f>1699417758295-251972247451</f>
        <v>1447445510844</v>
      </c>
      <c r="O41" s="12">
        <f t="shared" si="0"/>
        <v>1237455023076</v>
      </c>
      <c r="P41" s="12">
        <f t="shared" si="5"/>
        <v>2037452718492</v>
      </c>
      <c r="Q41">
        <f t="shared" si="2"/>
        <v>0.6073539826690505</v>
      </c>
      <c r="R41" s="4">
        <v>251972247451</v>
      </c>
      <c r="S41">
        <f t="shared" si="3"/>
        <v>4.9110766586175041</v>
      </c>
      <c r="T41">
        <f t="shared" si="4"/>
        <v>0.79637866205055219</v>
      </c>
    </row>
    <row r="42" spans="1:20" ht="15" customHeight="1" x14ac:dyDescent="0.25">
      <c r="A42" s="15"/>
      <c r="B42" s="15"/>
      <c r="C42" s="16"/>
      <c r="D42">
        <v>2018</v>
      </c>
      <c r="F42" s="11">
        <v>173049442756</v>
      </c>
      <c r="G42" s="4">
        <v>2445143511801</v>
      </c>
      <c r="H42" s="4">
        <v>472680346662</v>
      </c>
      <c r="I42" s="4">
        <v>152604259</v>
      </c>
      <c r="J42" s="4">
        <v>201066667</v>
      </c>
      <c r="K42" s="4">
        <v>1972463165139</v>
      </c>
      <c r="L42" s="4">
        <v>2648754344347</v>
      </c>
      <c r="M42" s="5">
        <v>23503502429</v>
      </c>
      <c r="N42" s="4">
        <f>1747787915935-271390208514</f>
        <v>1476397707421</v>
      </c>
      <c r="O42" s="12">
        <f t="shared" si="0"/>
        <v>1195860139355</v>
      </c>
      <c r="P42" s="12">
        <f t="shared" si="5"/>
        <v>2145512607895</v>
      </c>
      <c r="Q42">
        <f t="shared" si="2"/>
        <v>0.55737735353057627</v>
      </c>
      <c r="R42" s="4">
        <v>271390208514</v>
      </c>
      <c r="S42">
        <f t="shared" si="3"/>
        <v>4.4064233043002732</v>
      </c>
      <c r="T42">
        <f t="shared" si="4"/>
        <v>0.77305857133060962</v>
      </c>
    </row>
    <row r="43" spans="1:20" ht="15" customHeight="1" x14ac:dyDescent="0.25">
      <c r="A43" s="15"/>
      <c r="B43" s="15"/>
      <c r="C43" s="16"/>
      <c r="D43">
        <v>2019</v>
      </c>
      <c r="F43" s="11">
        <v>145149344561</v>
      </c>
      <c r="G43" s="4">
        <v>2551192620939</v>
      </c>
      <c r="H43" s="4">
        <v>532048803777</v>
      </c>
      <c r="I43" s="4">
        <v>148438129</v>
      </c>
      <c r="J43" s="4">
        <v>201066667</v>
      </c>
      <c r="K43" s="4">
        <v>2019143817162</v>
      </c>
      <c r="L43" s="4">
        <v>2804151670769</v>
      </c>
      <c r="M43" s="5">
        <v>-14016952398</v>
      </c>
      <c r="N43" s="4">
        <f>1873937759675-273556967991</f>
        <v>1600380791684</v>
      </c>
      <c r="O43" s="12">
        <f t="shared" si="0"/>
        <v>1189753926687</v>
      </c>
      <c r="P43" s="12">
        <f t="shared" si="5"/>
        <v>2164293161723</v>
      </c>
      <c r="Q43">
        <f t="shared" si="2"/>
        <v>0.5497193946405271</v>
      </c>
      <c r="R43" s="4">
        <v>273556967991</v>
      </c>
      <c r="S43">
        <f t="shared" si="3"/>
        <v>4.3491998592634742</v>
      </c>
      <c r="T43">
        <f t="shared" si="4"/>
        <v>0.77007264960011579</v>
      </c>
    </row>
    <row r="44" spans="1:20" ht="15" customHeight="1" x14ac:dyDescent="0.25">
      <c r="A44" s="15">
        <v>15</v>
      </c>
      <c r="B44" s="15" t="s">
        <v>37</v>
      </c>
      <c r="C44" s="16" t="s">
        <v>38</v>
      </c>
      <c r="D44">
        <v>2017</v>
      </c>
      <c r="E44" t="s">
        <v>56</v>
      </c>
      <c r="F44" s="11">
        <v>711681</v>
      </c>
      <c r="G44" s="4">
        <v>5186940</v>
      </c>
      <c r="H44" s="4">
        <v>978185</v>
      </c>
      <c r="I44" s="4">
        <v>1309427365</v>
      </c>
      <c r="J44" s="4">
        <v>2888382000</v>
      </c>
      <c r="K44" s="4">
        <v>4208755</v>
      </c>
      <c r="L44" s="4">
        <v>4879559</v>
      </c>
      <c r="M44" s="5">
        <v>-22718</v>
      </c>
      <c r="N44" s="5">
        <f>3056681-56418</f>
        <v>3000263</v>
      </c>
      <c r="O44" s="12">
        <f t="shared" si="0"/>
        <v>1856578</v>
      </c>
      <c r="P44" s="12">
        <f t="shared" si="5"/>
        <v>4920436</v>
      </c>
      <c r="Q44">
        <f t="shared" si="2"/>
        <v>0.37731981474812393</v>
      </c>
      <c r="R44">
        <v>56418</v>
      </c>
      <c r="S44">
        <f t="shared" si="3"/>
        <v>32.907547236697511</v>
      </c>
      <c r="T44">
        <f t="shared" si="4"/>
        <v>0.96961183424558517</v>
      </c>
    </row>
    <row r="45" spans="1:20" ht="15" customHeight="1" x14ac:dyDescent="0.25">
      <c r="A45" s="15"/>
      <c r="B45" s="15"/>
      <c r="C45" s="16"/>
      <c r="D45">
        <v>2018</v>
      </c>
      <c r="F45" s="11">
        <v>701607</v>
      </c>
      <c r="G45" s="4">
        <v>5555871</v>
      </c>
      <c r="H45" s="4">
        <v>780915</v>
      </c>
      <c r="I45" s="4">
        <v>6065253160</v>
      </c>
      <c r="J45" s="4">
        <v>11553528000</v>
      </c>
      <c r="K45" s="4">
        <v>4774956</v>
      </c>
      <c r="L45" s="4">
        <v>5472882</v>
      </c>
      <c r="M45" s="5">
        <v>984</v>
      </c>
      <c r="N45">
        <f>3516606-52374</f>
        <v>3464232</v>
      </c>
      <c r="O45" s="12">
        <f t="shared" si="0"/>
        <v>2009634</v>
      </c>
      <c r="P45" s="12">
        <f t="shared" si="5"/>
        <v>5476563</v>
      </c>
      <c r="Q45">
        <f t="shared" si="2"/>
        <v>0.36695168119128729</v>
      </c>
      <c r="R45">
        <v>52374</v>
      </c>
      <c r="S45">
        <f t="shared" si="3"/>
        <v>38.37083285599725</v>
      </c>
      <c r="T45">
        <f t="shared" si="4"/>
        <v>0.97393853806215458</v>
      </c>
    </row>
    <row r="46" spans="1:20" ht="15" customHeight="1" x14ac:dyDescent="0.25">
      <c r="A46" s="15"/>
      <c r="B46" s="15"/>
      <c r="C46" s="16"/>
      <c r="D46">
        <v>2019</v>
      </c>
      <c r="F46" s="11">
        <v>1035865</v>
      </c>
      <c r="G46" s="4">
        <v>6608422</v>
      </c>
      <c r="H46" s="4">
        <v>953283</v>
      </c>
      <c r="I46" s="4">
        <v>6148369560</v>
      </c>
      <c r="J46" s="4">
        <v>11553528000</v>
      </c>
      <c r="K46" s="4">
        <v>5655139</v>
      </c>
      <c r="L46" s="4">
        <v>6241419</v>
      </c>
      <c r="M46" s="5">
        <v>-7565</v>
      </c>
      <c r="N46">
        <f>3891701-60373</f>
        <v>3831328</v>
      </c>
      <c r="O46" s="12">
        <f t="shared" si="0"/>
        <v>2402526</v>
      </c>
      <c r="P46" s="12">
        <f t="shared" si="5"/>
        <v>6691004</v>
      </c>
      <c r="Q46">
        <f t="shared" si="2"/>
        <v>0.35906808604508383</v>
      </c>
      <c r="R46">
        <v>60373</v>
      </c>
      <c r="S46">
        <f t="shared" si="3"/>
        <v>39.794709555596043</v>
      </c>
      <c r="T46">
        <f t="shared" si="4"/>
        <v>0.97487103157260313</v>
      </c>
    </row>
    <row r="47" spans="1:20" x14ac:dyDescent="0.25">
      <c r="C47" s="5"/>
    </row>
    <row r="48" spans="1:20" x14ac:dyDescent="0.25">
      <c r="C48" s="5"/>
    </row>
    <row r="50" spans="3:6" x14ac:dyDescent="0.25">
      <c r="C50" s="5"/>
      <c r="D50" s="5"/>
      <c r="E50" s="5"/>
    </row>
    <row r="51" spans="3:6" x14ac:dyDescent="0.25">
      <c r="C51" s="5"/>
      <c r="D51" s="5"/>
      <c r="E51" s="5"/>
    </row>
    <row r="52" spans="3:6" x14ac:dyDescent="0.25">
      <c r="C52" s="5"/>
      <c r="D52" s="5"/>
      <c r="E52" s="5"/>
    </row>
    <row r="53" spans="3:6" x14ac:dyDescent="0.25">
      <c r="C53" s="5"/>
      <c r="D53" s="5"/>
      <c r="E53" s="5"/>
      <c r="F53" s="5"/>
    </row>
    <row r="54" spans="3:6" x14ac:dyDescent="0.25">
      <c r="C54" s="5"/>
    </row>
  </sheetData>
  <mergeCells count="45">
    <mergeCell ref="A44:A46"/>
    <mergeCell ref="B44:B46"/>
    <mergeCell ref="C44:C46"/>
    <mergeCell ref="A35:A37"/>
    <mergeCell ref="B35:B37"/>
    <mergeCell ref="C35:C37"/>
    <mergeCell ref="A38:A40"/>
    <mergeCell ref="B38:B40"/>
    <mergeCell ref="C38:C40"/>
    <mergeCell ref="A41:A43"/>
    <mergeCell ref="B41:B43"/>
    <mergeCell ref="C41:C43"/>
    <mergeCell ref="A17:A19"/>
    <mergeCell ref="B17:B19"/>
    <mergeCell ref="C17:C19"/>
    <mergeCell ref="A11:A13"/>
    <mergeCell ref="B11:B13"/>
    <mergeCell ref="C11:C13"/>
    <mergeCell ref="A14:A16"/>
    <mergeCell ref="B14:B16"/>
    <mergeCell ref="C14:C16"/>
    <mergeCell ref="A8:A10"/>
    <mergeCell ref="B8:B10"/>
    <mergeCell ref="C8:C10"/>
    <mergeCell ref="A2:A4"/>
    <mergeCell ref="B2:B4"/>
    <mergeCell ref="C2:C4"/>
    <mergeCell ref="A5:A7"/>
    <mergeCell ref="B5:B7"/>
    <mergeCell ref="C5:C7"/>
    <mergeCell ref="A20:A22"/>
    <mergeCell ref="B20:B22"/>
    <mergeCell ref="C20:C22"/>
    <mergeCell ref="A23:A25"/>
    <mergeCell ref="B23:B25"/>
    <mergeCell ref="C23:C25"/>
    <mergeCell ref="A32:A34"/>
    <mergeCell ref="B32:B34"/>
    <mergeCell ref="C32:C34"/>
    <mergeCell ref="A26:A28"/>
    <mergeCell ref="B26:B28"/>
    <mergeCell ref="C26:C28"/>
    <mergeCell ref="A29:A31"/>
    <mergeCell ref="B29:B31"/>
    <mergeCell ref="C29:C31"/>
  </mergeCells>
  <pageMargins left="0.7" right="0.7" top="0.75" bottom="0.7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B7F0AE-E8B5-4584-8E3B-CE5B24F9BE7B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6"/>
  <sheetViews>
    <sheetView workbookViewId="0">
      <selection activeCell="B2" sqref="B2"/>
    </sheetView>
  </sheetViews>
  <sheetFormatPr defaultRowHeight="15" x14ac:dyDescent="0.25"/>
  <cols>
    <col min="1" max="1" width="5" style="2" customWidth="1"/>
    <col min="2" max="3" width="9.5703125" bestFit="1" customWidth="1"/>
    <col min="4" max="4" width="11.5703125" customWidth="1"/>
    <col min="5" max="5" width="11" customWidth="1"/>
    <col min="6" max="6" width="11.7109375" customWidth="1"/>
    <col min="7" max="7" width="11.5703125" bestFit="1" customWidth="1"/>
  </cols>
  <sheetData>
    <row r="1" spans="1:6" x14ac:dyDescent="0.25">
      <c r="A1" s="2" t="s">
        <v>39</v>
      </c>
      <c r="B1" s="2" t="s">
        <v>57</v>
      </c>
      <c r="C1" s="2" t="s">
        <v>58</v>
      </c>
      <c r="D1" s="2" t="s">
        <v>59</v>
      </c>
      <c r="E1" s="2" t="s">
        <v>60</v>
      </c>
      <c r="F1" s="2" t="s">
        <v>61</v>
      </c>
    </row>
    <row r="2" spans="1:6" x14ac:dyDescent="0.25">
      <c r="A2" s="2">
        <v>1</v>
      </c>
      <c r="B2" s="13">
        <f>'REKAP A.R'!Q2+'REKAP A.R'!S2+'REKAP A.R'!T2</f>
        <v>28.18144445876429</v>
      </c>
      <c r="C2" s="14">
        <f>'REKAP A.R'!I2/'REKAP A.R'!J2</f>
        <v>0.91523926388480159</v>
      </c>
      <c r="D2" s="13">
        <f>'REKAP A.R'!H2/'REKAP A.R'!K2</f>
        <v>0.98632186869844996</v>
      </c>
      <c r="E2" s="13">
        <f>'REKAP A.R'!L2/'REKAP A.R'!G2</f>
        <v>0.96935860877182123</v>
      </c>
      <c r="F2" s="13">
        <f>'REKAP A.R'!F2/'REKAP A.R'!G2</f>
        <v>4.5513403377146419E-2</v>
      </c>
    </row>
    <row r="3" spans="1:6" x14ac:dyDescent="0.25">
      <c r="A3" s="2">
        <v>2</v>
      </c>
      <c r="B3" s="13">
        <f>'REKAP A.R'!Q3+'REKAP A.R'!S3+'REKAP A.R'!T3</f>
        <v>31.999342305487311</v>
      </c>
      <c r="C3" s="14">
        <f>'REKAP A.R'!I3/'REKAP A.R'!J3</f>
        <v>0.91523926388480159</v>
      </c>
      <c r="D3" s="13">
        <f>'REKAP A.R'!H3/'REKAP A.R'!K3</f>
        <v>0.45316274715610905</v>
      </c>
      <c r="E3" s="13">
        <f>'REKAP A.R'!L3/'REKAP A.R'!G3</f>
        <v>0.91265722958213946</v>
      </c>
      <c r="F3" s="13">
        <f>'REKAP A.R'!F3/'REKAP A.R'!G3</f>
        <v>6.0092479645967492E-2</v>
      </c>
    </row>
    <row r="4" spans="1:6" x14ac:dyDescent="0.25">
      <c r="A4" s="2">
        <v>3</v>
      </c>
      <c r="B4" s="13">
        <f>'REKAP A.R'!Q4+'REKAP A.R'!S4+'REKAP A.R'!T4</f>
        <v>38.415696480349283</v>
      </c>
      <c r="C4" s="14">
        <f>'REKAP A.R'!I4/'REKAP A.R'!J4</f>
        <v>0.91523926388480159</v>
      </c>
      <c r="D4" s="13">
        <f>'REKAP A.R'!H4/'REKAP A.R'!K4</f>
        <v>0.44800391592729477</v>
      </c>
      <c r="E4" s="13">
        <f>'REKAP A.R'!L4/'REKAP A.R'!G4</f>
        <v>1.0145371637026903</v>
      </c>
      <c r="F4" s="13">
        <f>'REKAP A.R'!F4/'REKAP A.R'!G4</f>
        <v>0.10200820793433653</v>
      </c>
    </row>
    <row r="5" spans="1:6" x14ac:dyDescent="0.25">
      <c r="A5" s="2">
        <v>4</v>
      </c>
      <c r="B5" s="13">
        <f>'REKAP A.R'!Q5+'REKAP A.R'!S5+'REKAP A.R'!T5</f>
        <v>6.4346553422127606</v>
      </c>
      <c r="C5" s="14">
        <f>'REKAP A.R'!I5/'REKAP A.R'!J5</f>
        <v>0.53402316953836881</v>
      </c>
      <c r="D5" s="13">
        <f>'REKAP A.R'!H5/'REKAP A.R'!K5</f>
        <v>1.4604134929270947</v>
      </c>
      <c r="E5" s="13">
        <f>'REKAP A.R'!L5/'REKAP A.R'!G5</f>
        <v>0.85409613207341761</v>
      </c>
      <c r="F5" s="13">
        <f>'REKAP A.R'!F5/'REKAP A.R'!G5</f>
        <v>1.5544032637331534E-2</v>
      </c>
    </row>
    <row r="6" spans="1:6" x14ac:dyDescent="0.25">
      <c r="A6" s="2">
        <v>5</v>
      </c>
      <c r="B6" s="13">
        <f>'REKAP A.R'!Q6+'REKAP A.R'!S6+'REKAP A.R'!T6</f>
        <v>8.3497116796322786</v>
      </c>
      <c r="C6" s="14">
        <f>'REKAP A.R'!I6/'REKAP A.R'!J6</f>
        <v>0.5784775187872182</v>
      </c>
      <c r="D6" s="13">
        <f>'REKAP A.R'!H6/'REKAP A.R'!K6</f>
        <v>1.7664282615998252</v>
      </c>
      <c r="E6" s="13">
        <f>'REKAP A.R'!L6/'REKAP A.R'!G6</f>
        <v>0.78019705391720551</v>
      </c>
      <c r="F6" s="13">
        <f>'REKAP A.R'!F6/'REKAP A.R'!G6</f>
        <v>1.4873945617127127E-2</v>
      </c>
    </row>
    <row r="7" spans="1:6" x14ac:dyDescent="0.25">
      <c r="A7" s="2">
        <v>6</v>
      </c>
      <c r="B7" s="13">
        <f>'REKAP A.R'!Q7+'REKAP A.R'!S7+'REKAP A.R'!T7</f>
        <v>9.1099137535666284</v>
      </c>
      <c r="C7" s="14">
        <f>'REKAP A.R'!I7/'REKAP A.R'!J7</f>
        <v>0.5784775187872182</v>
      </c>
      <c r="D7" s="13">
        <f>'REKAP A.R'!H7/'REKAP A.R'!K7</f>
        <v>1.3338714621595589</v>
      </c>
      <c r="E7" s="13">
        <f>'REKAP A.R'!L7/'REKAP A.R'!G7</f>
        <v>1.0013337702561567</v>
      </c>
      <c r="F7" s="13">
        <f>'REKAP A.R'!F7/'REKAP A.R'!G7</f>
        <v>2.1341990894626149E-2</v>
      </c>
    </row>
    <row r="8" spans="1:6" x14ac:dyDescent="0.25">
      <c r="A8" s="2">
        <v>7</v>
      </c>
      <c r="B8" s="13">
        <f>'REKAP A.R'!Q8+'REKAP A.R'!S8+'REKAP A.R'!T8</f>
        <v>30.855690677766333</v>
      </c>
      <c r="C8" s="14">
        <f>'REKAP A.R'!I8/'REKAP A.R'!J8</f>
        <v>0.9201193277310924</v>
      </c>
      <c r="D8" s="13">
        <f>'REKAP A.R'!H8/'REKAP A.R'!K8</f>
        <v>0.54215758702145922</v>
      </c>
      <c r="E8" s="13">
        <f>'REKAP A.R'!L8/'REKAP A.R'!G8</f>
        <v>3.057322321069663</v>
      </c>
      <c r="F8" s="13">
        <f>'REKAP A.R'!F8/'REKAP A.R'!G8</f>
        <v>7.7134911457448121E-2</v>
      </c>
    </row>
    <row r="9" spans="1:6" x14ac:dyDescent="0.25">
      <c r="A9" s="2">
        <v>8</v>
      </c>
      <c r="B9" s="13">
        <f>'REKAP A.R'!Q9+'REKAP A.R'!S9+'REKAP A.R'!T9</f>
        <v>26.611652997125653</v>
      </c>
      <c r="C9" s="14">
        <f>'REKAP A.R'!I9/'REKAP A.R'!J9</f>
        <v>0.9201193277310924</v>
      </c>
      <c r="D9" s="13">
        <f>'REKAP A.R'!H9/'REKAP A.R'!K9</f>
        <v>0.19690671601596363</v>
      </c>
      <c r="E9" s="13">
        <f>'REKAP A.R'!L9/'REKAP A.R'!G9</f>
        <v>3.1047596752830162</v>
      </c>
      <c r="F9" s="13">
        <f>'REKAP A.R'!F9/'REKAP A.R'!G9</f>
        <v>7.9258460874650688E-2</v>
      </c>
    </row>
    <row r="10" spans="1:6" x14ac:dyDescent="0.25">
      <c r="A10" s="2">
        <v>9</v>
      </c>
      <c r="B10" s="13">
        <f>'REKAP A.R'!Q10+'REKAP A.R'!S10+'REKAP A.R'!T10</f>
        <v>29.769747181531997</v>
      </c>
      <c r="C10" s="14">
        <f>'REKAP A.R'!I10/'REKAP A.R'!J10</f>
        <v>0.9201193277310924</v>
      </c>
      <c r="D10" s="13">
        <f>'REKAP A.R'!H10/'REKAP A.R'!K10</f>
        <v>0.2314028749296019</v>
      </c>
      <c r="E10" s="13">
        <f>'REKAP A.R'!L10/'REKAP A.R'!G10</f>
        <v>2.2403150751417873</v>
      </c>
      <c r="F10" s="13">
        <f>'REKAP A.R'!F10/'REKAP A.R'!G10</f>
        <v>0.15466396119867423</v>
      </c>
    </row>
    <row r="11" spans="1:6" x14ac:dyDescent="0.25">
      <c r="A11" s="2">
        <v>10</v>
      </c>
      <c r="B11" s="13">
        <f>'REKAP A.R'!Q11+'REKAP A.R'!S11+'REKAP A.R'!T11</f>
        <v>12.660866081518202</v>
      </c>
      <c r="C11" s="14">
        <f>'REKAP A.R'!I11/'REKAP A.R'!J11</f>
        <v>0.6784</v>
      </c>
      <c r="D11" s="13">
        <f>'REKAP A.R'!H11/'REKAP A.R'!K11</f>
        <v>0.24669253174039829</v>
      </c>
      <c r="E11" s="13">
        <f>'REKAP A.R'!L11/'REKAP A.R'!G11</f>
        <v>7.8466898710088913</v>
      </c>
      <c r="F11" s="13">
        <f>'REKAP A.R'!F11/'REKAP A.R'!G11</f>
        <v>0.62210741885234977</v>
      </c>
    </row>
    <row r="12" spans="1:6" x14ac:dyDescent="0.25">
      <c r="A12" s="2">
        <v>11</v>
      </c>
      <c r="B12" s="13">
        <f>'REKAP A.R'!Q12+'REKAP A.R'!S12+'REKAP A.R'!T12</f>
        <v>6.7253160163909387</v>
      </c>
      <c r="C12" s="14">
        <f>'REKAP A.R'!I12/'REKAP A.R'!J12</f>
        <v>0.72249050000000004</v>
      </c>
      <c r="D12" s="13">
        <f>'REKAP A.R'!H12/'REKAP A.R'!K12</f>
        <v>0.2642375041143864</v>
      </c>
      <c r="E12" s="13">
        <f>'REKAP A.R'!L12/'REKAP A.R'!G12</f>
        <v>0.75377345924029726</v>
      </c>
      <c r="F12" s="13">
        <f>'REKAP A.R'!F12/'REKAP A.R'!G12</f>
        <v>2.7583735651321911E-2</v>
      </c>
    </row>
    <row r="13" spans="1:6" x14ac:dyDescent="0.25">
      <c r="A13" s="2">
        <v>12</v>
      </c>
      <c r="B13" s="13">
        <f>'REKAP A.R'!Q13+'REKAP A.R'!S13+'REKAP A.R'!T13</f>
        <v>8.0462815114492123</v>
      </c>
      <c r="C13" s="14">
        <f>'REKAP A.R'!I13/'REKAP A.R'!J13</f>
        <v>0.78786480000000003</v>
      </c>
      <c r="D13" s="13">
        <f>'REKAP A.R'!H13/'REKAP A.R'!K13</f>
        <v>0.33829113100812302</v>
      </c>
      <c r="E13" s="13">
        <f>'REKAP A.R'!L13/'REKAP A.R'!G13</f>
        <v>0.78962260137177509</v>
      </c>
      <c r="F13" s="13">
        <f>'REKAP A.R'!F13/'REKAP A.R'!G13</f>
        <v>1.3846887777803553E-2</v>
      </c>
    </row>
    <row r="14" spans="1:6" x14ac:dyDescent="0.25">
      <c r="A14" s="2">
        <v>13</v>
      </c>
      <c r="B14" s="13">
        <f>'REKAP A.R'!Q14+'REKAP A.R'!S14+'REKAP A.R'!T14</f>
        <v>23.574700304145022</v>
      </c>
      <c r="C14" s="14">
        <f>'REKAP A.R'!I14/'REKAP A.R'!J14</f>
        <v>0.81671112066990315</v>
      </c>
      <c r="D14" s="13">
        <f>'REKAP A.R'!H14/'REKAP A.R'!K14</f>
        <v>0.17140450064258461</v>
      </c>
      <c r="E14" s="13">
        <f>'REKAP A.R'!L14/'REKAP A.R'!G14</f>
        <v>0.57971624137450595</v>
      </c>
      <c r="F14" s="13">
        <f>'REKAP A.R'!F14/'REKAP A.R'!G14</f>
        <v>0.20865431973300763</v>
      </c>
    </row>
    <row r="15" spans="1:6" x14ac:dyDescent="0.25">
      <c r="A15" s="2">
        <v>14</v>
      </c>
      <c r="B15" s="13">
        <f>'REKAP A.R'!Q15+'REKAP A.R'!S15+'REKAP A.R'!T15</f>
        <v>33.163802051904227</v>
      </c>
      <c r="C15" s="14">
        <f>'REKAP A.R'!I15/'REKAP A.R'!J15</f>
        <v>0.81671112066990315</v>
      </c>
      <c r="D15" s="13">
        <f>'REKAP A.R'!H15/'REKAP A.R'!K15</f>
        <v>0.18638849139849692</v>
      </c>
      <c r="E15" s="13">
        <f>'REKAP A.R'!L15/'REKAP A.R'!G15</f>
        <v>0.58614787387003986</v>
      </c>
      <c r="F15" s="13">
        <f>'REKAP A.R'!F15/'REKAP A.R'!G15</f>
        <v>0.22194038351402368</v>
      </c>
    </row>
    <row r="16" spans="1:6" x14ac:dyDescent="0.25">
      <c r="A16" s="2">
        <v>15</v>
      </c>
      <c r="B16" s="13">
        <f>'REKAP A.R'!Q16+'REKAP A.R'!S16+'REKAP A.R'!T16</f>
        <v>33.320605579619723</v>
      </c>
      <c r="C16" s="14">
        <f>'REKAP A.R'!I16/'REKAP A.R'!J16</f>
        <v>0.84588046559893382</v>
      </c>
      <c r="D16" s="13">
        <f>'REKAP A.R'!H16/'REKAP A.R'!K16</f>
        <v>0.17503856980411797</v>
      </c>
      <c r="E16" s="13">
        <f>'REKAP A.R'!L16/'REKAP A.R'!G16</f>
        <v>0.58004640182000622</v>
      </c>
      <c r="F16" s="13">
        <f>'REKAP A.R'!F16/'REKAP A.R'!G16</f>
        <v>0.2228743372710113</v>
      </c>
    </row>
    <row r="17" spans="1:7" x14ac:dyDescent="0.25">
      <c r="A17" s="2">
        <v>16</v>
      </c>
      <c r="B17" s="13">
        <f>'REKAP A.R'!Q17+'REKAP A.R'!S17+'REKAP A.R'!T17</f>
        <v>18.188238127405246</v>
      </c>
      <c r="C17" s="14">
        <f>'REKAP A.R'!I17/'REKAP A.R'!J17</f>
        <v>0.92461467806133624</v>
      </c>
      <c r="D17" s="13">
        <f>'REKAP A.R'!H17/'REKAP A.R'!K17</f>
        <v>0.46993285458625195</v>
      </c>
      <c r="E17" s="13">
        <f>'REKAP A.R'!L17/'REKAP A.R'!G17</f>
        <v>0.96024170286325172</v>
      </c>
      <c r="F17" s="13">
        <f>'REKAP A.R'!F17/'REKAP A.R'!G17</f>
        <v>9.8879068055170799E-2</v>
      </c>
    </row>
    <row r="18" spans="1:7" x14ac:dyDescent="0.25">
      <c r="A18" s="2">
        <v>17</v>
      </c>
      <c r="B18" s="13">
        <f>'REKAP A.R'!Q18+'REKAP A.R'!S18+'REKAP A.R'!T18</f>
        <v>13.609305038300654</v>
      </c>
      <c r="C18" s="14">
        <f>'REKAP A.R'!I18/'REKAP A.R'!J18</f>
        <v>0.92227569314972691</v>
      </c>
      <c r="D18" s="13">
        <f>'REKAP A.R'!H18/'REKAP A.R'!K18</f>
        <v>0.40204549596690803</v>
      </c>
      <c r="E18" s="13">
        <f>'REKAP A.R'!L18/'REKAP A.R'!G18</f>
        <v>1.0100043614898893</v>
      </c>
      <c r="F18" s="13">
        <f>'REKAP A.R'!F18/'REKAP A.R'!G18</f>
        <v>0.11923542663481126</v>
      </c>
      <c r="G18" s="1"/>
    </row>
    <row r="19" spans="1:7" x14ac:dyDescent="0.25">
      <c r="A19" s="2">
        <v>18</v>
      </c>
      <c r="B19" s="13">
        <f>'REKAP A.R'!Q19+'REKAP A.R'!S19+'REKAP A.R'!T19</f>
        <v>13.026522988239499</v>
      </c>
      <c r="C19" s="14">
        <f>'REKAP A.R'!I19/'REKAP A.R'!J19</f>
        <v>0.92459744426724555</v>
      </c>
      <c r="D19" s="13">
        <f>'REKAP A.R'!H19/'REKAP A.R'!K19</f>
        <v>0.40111029333855264</v>
      </c>
      <c r="E19" s="13">
        <f>'REKAP A.R'!L19/'REKAP A.R'!G19</f>
        <v>0.99074273241474631</v>
      </c>
      <c r="F19" s="13">
        <f>'REKAP A.R'!F19/'REKAP A.R'!G19</f>
        <v>0.12119563403916878</v>
      </c>
    </row>
    <row r="20" spans="1:7" x14ac:dyDescent="0.25">
      <c r="A20" s="2">
        <v>19</v>
      </c>
      <c r="B20" s="13">
        <f>'REKAP A.R'!Q20+'REKAP A.R'!S20+'REKAP A.R'!T20</f>
        <v>5.4216215018024343</v>
      </c>
      <c r="C20" s="14">
        <f>'REKAP A.R'!I20/'REKAP A.R'!J20</f>
        <v>0.92499999993552162</v>
      </c>
      <c r="D20" s="13">
        <f>'REKAP A.R'!H20/'REKAP A.R'!K20</f>
        <v>0.26465224312677416</v>
      </c>
      <c r="E20" s="13">
        <f>'REKAP A.R'!L20/'REKAP A.R'!G20</f>
        <v>2.2969179966659605</v>
      </c>
      <c r="F20" s="13">
        <f>'REKAP A.R'!F20/'REKAP A.R'!G20</f>
        <v>0.29370008801127595</v>
      </c>
    </row>
    <row r="21" spans="1:7" x14ac:dyDescent="0.25">
      <c r="A21" s="2">
        <v>20</v>
      </c>
      <c r="B21" s="13">
        <f>'REKAP A.R'!Q21+'REKAP A.R'!S21+'REKAP A.R'!T21</f>
        <v>5.6040279076320942</v>
      </c>
      <c r="C21" s="14">
        <f>'REKAP A.R'!I21/'REKAP A.R'!J21</f>
        <v>0.92499999993552162</v>
      </c>
      <c r="D21" s="13">
        <f>'REKAP A.R'!H21/'REKAP A.R'!K21</f>
        <v>0.31800685967148884</v>
      </c>
      <c r="E21" s="13">
        <f>'REKAP A.R'!L21/'REKAP A.R'!G21</f>
        <v>2.290479571661729</v>
      </c>
      <c r="F21" s="13">
        <f>'REKAP A.R'!F21/'REKAP A.R'!G21</f>
        <v>0.29050890490236342</v>
      </c>
    </row>
    <row r="22" spans="1:7" x14ac:dyDescent="0.25">
      <c r="A22" s="2">
        <v>21</v>
      </c>
      <c r="B22" s="13">
        <f>'REKAP A.R'!Q22+'REKAP A.R'!S22+'REKAP A.R'!T22</f>
        <v>5.825223282072475</v>
      </c>
      <c r="C22" s="14">
        <f>'REKAP A.R'!I22/'REKAP A.R'!J22</f>
        <v>0.92499999993552162</v>
      </c>
      <c r="D22" s="13">
        <f>'REKAP A.R'!H22/'REKAP A.R'!K22</f>
        <v>0.42665894612991745</v>
      </c>
      <c r="E22" s="13">
        <f>'REKAP A.R'!L22/'REKAP A.R'!G22</f>
        <v>20.83484130538988</v>
      </c>
      <c r="F22" s="13">
        <f>'REKAP A.R'!F22/'REKAP A.R'!G22</f>
        <v>2.6956302993155581</v>
      </c>
    </row>
    <row r="23" spans="1:7" x14ac:dyDescent="0.25">
      <c r="A23" s="2">
        <v>22</v>
      </c>
      <c r="B23" s="13">
        <f>'REKAP A.R'!Q23+'REKAP A.R'!S23+'REKAP A.R'!T23</f>
        <v>22.416513305127086</v>
      </c>
      <c r="C23" s="14">
        <f>'REKAP A.R'!I23/'REKAP A.R'!J23</f>
        <v>0.8053294538080733</v>
      </c>
      <c r="D23" s="13">
        <f>'REKAP A.R'!H23/'REKAP A.R'!K23</f>
        <v>0.55574692991109675</v>
      </c>
      <c r="E23" s="13">
        <f>'REKAP A.R'!L23/'REKAP A.R'!G23</f>
        <v>1.1260955181031562</v>
      </c>
      <c r="F23" s="13">
        <f>'REKAP A.R'!F23/'REKAP A.R'!G23</f>
        <v>0.11205652939510709</v>
      </c>
    </row>
    <row r="24" spans="1:7" x14ac:dyDescent="0.25">
      <c r="A24" s="2">
        <v>23</v>
      </c>
      <c r="B24" s="13">
        <f>'REKAP A.R'!Q24+'REKAP A.R'!S24+'REKAP A.R'!T24</f>
        <v>24.363481927739794</v>
      </c>
      <c r="C24" s="14">
        <f>'REKAP A.R'!I24/'REKAP A.R'!J24</f>
        <v>0.8053294538080733</v>
      </c>
      <c r="D24" s="13">
        <f>'REKAP A.R'!H24/'REKAP A.R'!K24</f>
        <v>0.51349478027845852</v>
      </c>
      <c r="E24" s="13">
        <f>'REKAP A.R'!L24/'REKAP A.R'!G24</f>
        <v>1.117736083637769</v>
      </c>
      <c r="F24" s="13">
        <f>'REKAP A.R'!F24/'REKAP A.R'!G24</f>
        <v>0.13555911948830909</v>
      </c>
    </row>
    <row r="25" spans="1:7" x14ac:dyDescent="0.25">
      <c r="A25" s="2">
        <v>24</v>
      </c>
      <c r="B25" s="13">
        <f>'REKAP A.R'!Q25+'REKAP A.R'!S25+'REKAP A.R'!T25</f>
        <v>25.427959191550134</v>
      </c>
      <c r="C25" s="14">
        <f>'REKAP A.R'!I25/'REKAP A.R'!J25</f>
        <v>0.8053294538080733</v>
      </c>
      <c r="D25" s="13">
        <f>'REKAP A.R'!H25/'REKAP A.R'!K25</f>
        <v>0.45135776906722719</v>
      </c>
      <c r="E25" s="13">
        <f>'REKAP A.R'!L25/'REKAP A.R'!G25</f>
        <v>1.0926750858979315</v>
      </c>
      <c r="F25" s="13">
        <f>'REKAP A.R'!F25/'REKAP A.R'!G25</f>
        <v>0.13846871582379372</v>
      </c>
    </row>
    <row r="26" spans="1:7" x14ac:dyDescent="0.25">
      <c r="A26" s="2">
        <v>25</v>
      </c>
      <c r="B26" s="13">
        <f>'REKAP A.R'!Q26+'REKAP A.R'!S26+'REKAP A.R'!T26</f>
        <v>15.702856513096963</v>
      </c>
      <c r="C26" s="14">
        <f>'REKAP A.R'!I26/'REKAP A.R'!J26</f>
        <v>0.50067083301705217</v>
      </c>
      <c r="D26" s="13">
        <f>'REKAP A.R'!H26/'REKAP A.R'!K26</f>
        <v>0.88078805521105374</v>
      </c>
      <c r="E26" s="13">
        <f>'REKAP A.R'!L26/'REKAP A.R'!G26</f>
        <v>0.7981240236468059</v>
      </c>
      <c r="F26" s="13">
        <f>'REKAP A.R'!F26/'REKAP A.R'!G26</f>
        <v>5.8506856442011583E-2</v>
      </c>
    </row>
    <row r="27" spans="1:7" x14ac:dyDescent="0.25">
      <c r="A27" s="2">
        <v>26</v>
      </c>
      <c r="B27" s="13">
        <f>'REKAP A.R'!Q27+'REKAP A.R'!S27+'REKAP A.R'!T27</f>
        <v>15.421580428342176</v>
      </c>
      <c r="C27" s="14">
        <f>'REKAP A.R'!I27/'REKAP A.R'!J27</f>
        <v>0.49333333333333335</v>
      </c>
      <c r="D27" s="13">
        <f>'REKAP A.R'!H27/'REKAP A.R'!K27</f>
        <v>3239.1760597834796</v>
      </c>
      <c r="E27" s="13">
        <f>'REKAP A.R'!L27/'REKAP A.R'!G27</f>
        <v>1.3680942450371446E-4</v>
      </c>
      <c r="F27" s="13">
        <f>'REKAP A.R'!F27/'REKAP A.R'!G27</f>
        <v>0.12578267445275945</v>
      </c>
    </row>
    <row r="28" spans="1:7" x14ac:dyDescent="0.25">
      <c r="A28" s="2">
        <v>27</v>
      </c>
      <c r="B28" s="13">
        <f>'REKAP A.R'!Q28+'REKAP A.R'!S28+'REKAP A.R'!T28</f>
        <v>15.122259844298609</v>
      </c>
      <c r="C28" s="14">
        <f>'REKAP A.R'!I28/'REKAP A.R'!J28</f>
        <v>0.5</v>
      </c>
      <c r="D28" s="13">
        <f>'REKAP A.R'!H28/'REKAP A.R'!K28</f>
        <v>4254.7753487994869</v>
      </c>
      <c r="E28" s="13">
        <f>'REKAP A.R'!L28/'REKAP A.R'!G28</f>
        <v>1.1495034698678321E-4</v>
      </c>
      <c r="F28" s="13">
        <f>'REKAP A.R'!F28/'REKAP A.R'!G28</f>
        <v>0.14714947666377576</v>
      </c>
    </row>
    <row r="29" spans="1:7" x14ac:dyDescent="0.25">
      <c r="A29" s="2">
        <v>28</v>
      </c>
      <c r="B29" s="13">
        <f>'REKAP A.R'!Q29+'REKAP A.R'!S29+'REKAP A.R'!T29</f>
        <v>18.311203287467581</v>
      </c>
      <c r="C29" s="14">
        <f>'REKAP A.R'!I29/'REKAP A.R'!J29</f>
        <v>0.10713947464302627</v>
      </c>
      <c r="D29" s="13">
        <f>'REKAP A.R'!H29/'REKAP A.R'!K29</f>
        <v>0.5753411312942931</v>
      </c>
      <c r="E29" s="13">
        <f>'REKAP A.R'!L29/'REKAP A.R'!G29</f>
        <v>0.9762299037406359</v>
      </c>
      <c r="F29" s="13">
        <f>'REKAP A.R'!F29/'REKAP A.R'!G29</f>
        <v>3.3881938404455109E-2</v>
      </c>
    </row>
    <row r="30" spans="1:7" x14ac:dyDescent="0.25">
      <c r="A30" s="2">
        <v>29</v>
      </c>
      <c r="B30" s="13">
        <f>'REKAP A.R'!Q30+'REKAP A.R'!S30+'REKAP A.R'!T30</f>
        <v>19.115031339467009</v>
      </c>
      <c r="C30" s="14">
        <f>'REKAP A.R'!I30/'REKAP A.R'!J30</f>
        <v>0.10727898463605076</v>
      </c>
      <c r="D30" s="13">
        <f>'REKAP A.R'!H30/'REKAP A.R'!K30</f>
        <v>0.64258265023189143</v>
      </c>
      <c r="E30" s="13">
        <f>'REKAP A.R'!L30/'REKAP A.R'!G30</f>
        <v>0.76913859431289078</v>
      </c>
      <c r="F30" s="13">
        <f>'REKAP A.R'!F30/'REKAP A.R'!G30</f>
        <v>3.196838989098566E-2</v>
      </c>
    </row>
    <row r="31" spans="1:7" x14ac:dyDescent="0.25">
      <c r="A31" s="2">
        <v>30</v>
      </c>
      <c r="B31" s="13">
        <f>'REKAP A.R'!Q31+'REKAP A.R'!S31+'REKAP A.R'!T31</f>
        <v>16.770084442993927</v>
      </c>
      <c r="C31" s="14">
        <f>'REKAP A.R'!I31/'REKAP A.R'!J31</f>
        <v>0.10727898463605076</v>
      </c>
      <c r="D31" s="13">
        <f>'REKAP A.R'!H31/'REKAP A.R'!K31</f>
        <v>0.73733052110756314</v>
      </c>
      <c r="E31" s="13">
        <f>'REKAP A.R'!L31/'REKAP A.R'!G31</f>
        <v>1.3025208123219889</v>
      </c>
      <c r="F31" s="13">
        <f>'REKAP A.R'!F31/'REKAP A.R'!G31</f>
        <v>0.1435355708051318</v>
      </c>
    </row>
    <row r="32" spans="1:7" x14ac:dyDescent="0.25">
      <c r="A32" s="2">
        <v>31</v>
      </c>
      <c r="B32" s="13">
        <f>'REKAP A.R'!Q32+'REKAP A.R'!S32+'REKAP A.R'!T32</f>
        <v>25.909086024955691</v>
      </c>
      <c r="C32" s="14">
        <f>'REKAP A.R'!I32/'REKAP A.R'!J32</f>
        <v>0.8178220218319886</v>
      </c>
      <c r="D32" s="13">
        <f>'REKAP A.R'!H32/'REKAP A.R'!K32</f>
        <v>1.3570910081180951</v>
      </c>
      <c r="E32" s="13">
        <f>'REKAP A.R'!L32/'REKAP A.R'!G32</f>
        <v>1.3504504640891637</v>
      </c>
      <c r="F32" s="13">
        <f>'REKAP A.R'!F32/'REKAP A.R'!G32</f>
        <v>0.52670355263860325</v>
      </c>
    </row>
    <row r="33" spans="1:6" x14ac:dyDescent="0.25">
      <c r="A33" s="2">
        <v>32</v>
      </c>
      <c r="B33" s="13">
        <f>'REKAP A.R'!Q33+'REKAP A.R'!S33+'REKAP A.R'!T33</f>
        <v>25.05322105303199</v>
      </c>
      <c r="C33" s="14">
        <f>'REKAP A.R'!I33/'REKAP A.R'!J33</f>
        <v>0.8178220218319886</v>
      </c>
      <c r="D33" s="13">
        <f>'REKAP A.R'!H33/'REKAP A.R'!K33</f>
        <v>1.4748710104013922</v>
      </c>
      <c r="E33" s="13">
        <f>'REKAP A.R'!L33/'REKAP A.R'!G33</f>
        <v>1.2371689783114801</v>
      </c>
      <c r="F33" s="13">
        <f>'REKAP A.R'!F33/'REKAP A.R'!G33</f>
        <v>0.4238818398055581</v>
      </c>
    </row>
    <row r="34" spans="1:6" x14ac:dyDescent="0.25">
      <c r="A34" s="2">
        <v>33</v>
      </c>
      <c r="B34" s="13">
        <f>'REKAP A.R'!Q34+'REKAP A.R'!S34+'REKAP A.R'!T34</f>
        <v>24.127467901155647</v>
      </c>
      <c r="C34" s="14">
        <f>'REKAP A.R'!I34/'REKAP A.R'!J34</f>
        <v>0.8178220218319886</v>
      </c>
      <c r="D34" s="13">
        <f>'REKAP A.R'!H34/'REKAP A.R'!K34</f>
        <v>1.5278641404459135</v>
      </c>
      <c r="E34" s="13">
        <f>'REKAP A.R'!L34/'REKAP A.R'!G34</f>
        <v>1.2811422357997204</v>
      </c>
      <c r="F34" s="13">
        <f>'REKAP A.R'!F34/'REKAP A.R'!G34</f>
        <v>0.41632026786793008</v>
      </c>
    </row>
    <row r="35" spans="1:6" x14ac:dyDescent="0.25">
      <c r="A35" s="2">
        <v>34</v>
      </c>
      <c r="B35" s="13">
        <f>'REKAP A.R'!Q35+'REKAP A.R'!S35+'REKAP A.R'!T35</f>
        <v>8.6838345068993323</v>
      </c>
      <c r="C35" s="14">
        <f>'REKAP A.R'!I35/'REKAP A.R'!J35</f>
        <v>0.81</v>
      </c>
      <c r="D35" s="13">
        <f>'REKAP A.R'!H35/'REKAP A.R'!K35</f>
        <v>9.0588822338057887E-2</v>
      </c>
      <c r="E35" s="13">
        <f>'REKAP A.R'!L35/'REKAP A.R'!G35</f>
        <v>0.81497106894501237</v>
      </c>
      <c r="F35" s="13">
        <f>'REKAP A.R'!F35/'REKAP A.R'!G35</f>
        <v>0.16902011843462633</v>
      </c>
    </row>
    <row r="36" spans="1:6" x14ac:dyDescent="0.25">
      <c r="A36" s="2">
        <v>35</v>
      </c>
      <c r="B36" s="13">
        <f>'REKAP A.R'!Q36+'REKAP A.R'!S36+'REKAP A.R'!T36</f>
        <v>83.187134397740436</v>
      </c>
      <c r="C36" s="14">
        <f>'REKAP A.R'!I36/'REKAP A.R'!J36</f>
        <v>0.81</v>
      </c>
      <c r="D36" s="13">
        <f>'REKAP A.R'!H36/'REKAP A.R'!K36</f>
        <v>0.14986973810503224</v>
      </c>
      <c r="E36" s="13">
        <f>'REKAP A.R'!L36/'REKAP A.R'!G36</f>
        <v>0.82792090670380281</v>
      </c>
      <c r="F36" s="13">
        <f>'REKAP A.R'!F36/'REKAP A.R'!G36</f>
        <v>0.19889843925086917</v>
      </c>
    </row>
    <row r="37" spans="1:6" x14ac:dyDescent="0.25">
      <c r="A37" s="2">
        <v>36</v>
      </c>
      <c r="B37" s="13">
        <f>'REKAP A.R'!Q37+'REKAP A.R'!S37+'REKAP A.R'!T37</f>
        <v>83.900592445226692</v>
      </c>
      <c r="C37" s="14">
        <f>'REKAP A.R'!I37/'REKAP A.R'!J37</f>
        <v>0.81</v>
      </c>
      <c r="D37" s="13">
        <f>'REKAP A.R'!H37/'REKAP A.R'!K37</f>
        <v>0.15407378258345741</v>
      </c>
      <c r="E37" s="13">
        <f>'REKAP A.R'!L37/'REKAP A.R'!G37</f>
        <v>0.86726674051669006</v>
      </c>
      <c r="F37" s="13">
        <f>'REKAP A.R'!F37/'REKAP A.R'!G37</f>
        <v>0.22836084048790778</v>
      </c>
    </row>
    <row r="38" spans="1:6" x14ac:dyDescent="0.25">
      <c r="A38" s="2">
        <v>37</v>
      </c>
      <c r="B38" s="13">
        <f>'REKAP A.R'!Q38+'REKAP A.R'!S38+'REKAP A.R'!T38</f>
        <v>31.068238565728716</v>
      </c>
      <c r="C38" s="14">
        <f>'REKAP A.R'!I38/'REKAP A.R'!J38</f>
        <v>0.54344304086278172</v>
      </c>
      <c r="D38" s="13">
        <f>'REKAP A.R'!H38/'REKAP A.R'!K38</f>
        <v>2.5061688332792493</v>
      </c>
      <c r="E38" s="13">
        <f>'REKAP A.R'!L38/'REKAP A.R'!G38</f>
        <v>0.63993133152972592</v>
      </c>
      <c r="F38" s="13">
        <f>'REKAP A.R'!F38/'REKAP A.R'!G38</f>
        <v>6.804933884920987E-2</v>
      </c>
    </row>
    <row r="39" spans="1:6" x14ac:dyDescent="0.25">
      <c r="A39" s="2">
        <v>38</v>
      </c>
      <c r="B39" s="13">
        <f>'REKAP A.R'!Q39+'REKAP A.R'!S39+'REKAP A.R'!T39</f>
        <v>29.913801129681275</v>
      </c>
      <c r="C39" s="14">
        <f>'REKAP A.R'!I39/'REKAP A.R'!J39</f>
        <v>0.55262482513149125</v>
      </c>
      <c r="D39" s="13">
        <f>'REKAP A.R'!H39/'REKAP A.R'!K39</f>
        <v>2.4158084595419029</v>
      </c>
      <c r="E39" s="13">
        <f>'REKAP A.R'!L39/'REKAP A.R'!G39</f>
        <v>0.52722969934484365</v>
      </c>
      <c r="F39" s="13">
        <f>'REKAP A.R'!F39/'REKAP A.R'!G39</f>
        <v>4.6779922246846309E-2</v>
      </c>
    </row>
    <row r="40" spans="1:6" x14ac:dyDescent="0.25">
      <c r="A40" s="2">
        <v>39</v>
      </c>
      <c r="B40" s="13">
        <f>'REKAP A.R'!Q40+'REKAP A.R'!S40+'REKAP A.R'!T40</f>
        <v>30.824823456560928</v>
      </c>
      <c r="C40" s="14">
        <f>'REKAP A.R'!I40/'REKAP A.R'!J40</f>
        <v>0.55262482513149125</v>
      </c>
      <c r="D40" s="13">
        <f>'REKAP A.R'!H40/'REKAP A.R'!K40</f>
        <v>2.2376000480334981</v>
      </c>
      <c r="E40" s="13">
        <f>'REKAP A.R'!L40/'REKAP A.R'!G40</f>
        <v>0.49145778526905742</v>
      </c>
      <c r="F40" s="13">
        <f>'REKAP A.R'!F40/'REKAP A.R'!G40</f>
        <v>3.8071409651890285E-2</v>
      </c>
    </row>
    <row r="41" spans="1:6" x14ac:dyDescent="0.25">
      <c r="A41" s="2">
        <v>40</v>
      </c>
      <c r="B41" s="13">
        <f>'REKAP A.R'!Q41+'REKAP A.R'!S41+'REKAP A.R'!T41</f>
        <v>6.3148093033371069</v>
      </c>
      <c r="C41" s="14">
        <f>'REKAP A.R'!I41/'REKAP A.R'!J41</f>
        <v>0.73820538339156927</v>
      </c>
      <c r="D41" s="13">
        <f>'REKAP A.R'!H41/'REKAP A.R'!K41</f>
        <v>0.27093242082273578</v>
      </c>
      <c r="E41" s="13">
        <f>'REKAP A.R'!L41/'REKAP A.R'!G41</f>
        <v>1.1458999955759144</v>
      </c>
      <c r="F41" s="13">
        <f>'REKAP A.R'!F41/'REKAP A.R'!G41</f>
        <v>7.5842932001248781E-2</v>
      </c>
    </row>
    <row r="42" spans="1:6" x14ac:dyDescent="0.25">
      <c r="A42" s="2">
        <v>41</v>
      </c>
      <c r="B42" s="13">
        <f>'REKAP A.R'!Q42+'REKAP A.R'!S42+'REKAP A.R'!T42</f>
        <v>5.7368592291614586</v>
      </c>
      <c r="C42" s="14">
        <f>'REKAP A.R'!I42/'REKAP A.R'!J42</f>
        <v>0.75897343541284246</v>
      </c>
      <c r="D42" s="13">
        <f>'REKAP A.R'!H42/'REKAP A.R'!K42</f>
        <v>0.23963963181471634</v>
      </c>
      <c r="E42" s="13">
        <f>'REKAP A.R'!L42/'REKAP A.R'!G42</f>
        <v>1.0832715264209698</v>
      </c>
      <c r="F42" s="13">
        <f>'REKAP A.R'!F42/'REKAP A.R'!G42</f>
        <v>7.077271412529007E-2</v>
      </c>
    </row>
    <row r="43" spans="1:6" x14ac:dyDescent="0.25">
      <c r="A43" s="2">
        <v>42</v>
      </c>
      <c r="B43" s="13">
        <f>'REKAP A.R'!Q43+'REKAP A.R'!S43+'REKAP A.R'!T43</f>
        <v>5.668991903504117</v>
      </c>
      <c r="C43" s="14">
        <f>'REKAP A.R'!I43/'REKAP A.R'!J43</f>
        <v>0.73825329287424857</v>
      </c>
      <c r="D43" s="13">
        <f>'REKAP A.R'!H43/'REKAP A.R'!K43</f>
        <v>0.26350218308115325</v>
      </c>
      <c r="E43" s="13">
        <f>'REKAP A.R'!L43/'REKAP A.R'!G43</f>
        <v>1.099153253954182</v>
      </c>
      <c r="F43" s="13">
        <f>'REKAP A.R'!F43/'REKAP A.R'!G43</f>
        <v>5.6894702254028894E-2</v>
      </c>
    </row>
    <row r="44" spans="1:6" x14ac:dyDescent="0.25">
      <c r="A44" s="2">
        <v>43</v>
      </c>
      <c r="B44" s="13">
        <f>'REKAP A.R'!Q44+'REKAP A.R'!S44+'REKAP A.R'!T44</f>
        <v>34.254478885691221</v>
      </c>
      <c r="C44" s="14">
        <f>'REKAP A.R'!I44/'REKAP A.R'!J44</f>
        <v>0.4533428628900194</v>
      </c>
      <c r="D44" s="13">
        <f>'REKAP A.R'!H44/'REKAP A.R'!K44</f>
        <v>0.23241671230565808</v>
      </c>
      <c r="E44" s="13">
        <f>'REKAP A.R'!L44/'REKAP A.R'!G44</f>
        <v>0.9407394340401084</v>
      </c>
      <c r="F44" s="13">
        <f>'REKAP A.R'!F44/'REKAP A.R'!G44</f>
        <v>0.13720632974354821</v>
      </c>
    </row>
    <row r="45" spans="1:6" x14ac:dyDescent="0.25">
      <c r="A45" s="2">
        <v>44</v>
      </c>
      <c r="B45" s="13">
        <f>'REKAP A.R'!Q45+'REKAP A.R'!S45+'REKAP A.R'!T45</f>
        <v>39.711723075250696</v>
      </c>
      <c r="C45" s="14">
        <f>'REKAP A.R'!I45/'REKAP A.R'!J45</f>
        <v>0.52496978931457128</v>
      </c>
      <c r="D45" s="13">
        <f>'REKAP A.R'!H45/'REKAP A.R'!K45</f>
        <v>0.16354391537848725</v>
      </c>
      <c r="E45" s="13">
        <f>'REKAP A.R'!L45/'REKAP A.R'!G45</f>
        <v>0.98506282813261858</v>
      </c>
      <c r="F45" s="13">
        <f>'REKAP A.R'!F45/'REKAP A.R'!G45</f>
        <v>0.12628208970294666</v>
      </c>
    </row>
    <row r="46" spans="1:6" x14ac:dyDescent="0.25">
      <c r="A46" s="2">
        <v>45</v>
      </c>
      <c r="B46" s="13">
        <f>'REKAP A.R'!Q46+'REKAP A.R'!S46+'REKAP A.R'!T46</f>
        <v>41.128648673213732</v>
      </c>
      <c r="C46" s="14">
        <f>'REKAP A.R'!I46/'REKAP A.R'!J46</f>
        <v>0.53216381697434756</v>
      </c>
      <c r="D46" s="13">
        <f>'REKAP A.R'!H46/'REKAP A.R'!K46</f>
        <v>0.16856933136391519</v>
      </c>
      <c r="E46" s="13">
        <f>'REKAP A.R'!L46/'REKAP A.R'!G46</f>
        <v>0.94446435170151055</v>
      </c>
      <c r="F46" s="13">
        <f>'REKAP A.R'!F46/'REKAP A.R'!G46</f>
        <v>0.15674922091839777</v>
      </c>
    </row>
  </sheetData>
  <pageMargins left="0.7" right="0.7" top="0.75" bottom="0.75" header="0.3" footer="0.3"/>
  <pageSetup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REKAP A.R</vt:lpstr>
      <vt:lpstr>Sheet1</vt:lpstr>
      <vt:lpstr>TABULASI OLAH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 I N D O W S</cp:lastModifiedBy>
  <dcterms:created xsi:type="dcterms:W3CDTF">2021-05-02T09:09:32Z</dcterms:created>
  <dcterms:modified xsi:type="dcterms:W3CDTF">2023-08-06T06:08:25Z</dcterms:modified>
</cp:coreProperties>
</file>