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ph\Documents\tika\Acopen dan Archive\"/>
    </mc:Choice>
  </mc:AlternateContent>
  <bookViews>
    <workbookView xWindow="240" yWindow="195" windowWidth="20115" windowHeight="7875" firstSheet="1" activeTab="2"/>
  </bookViews>
  <sheets>
    <sheet name="database" sheetId="4" r:id="rId1"/>
    <sheet name="Bulan Januari" sheetId="5" r:id="rId2"/>
    <sheet name="FEB" sheetId="6" r:id="rId3"/>
    <sheet name="MAR" sheetId="7" r:id="rId4"/>
    <sheet name="APRIL" sheetId="8" r:id="rId5"/>
    <sheet name="MEI" sheetId="9" r:id="rId6"/>
    <sheet name="JUNI" sheetId="10" r:id="rId7"/>
    <sheet name="JULI" sheetId="11" r:id="rId8"/>
    <sheet name="AGUST" sheetId="12" r:id="rId9"/>
    <sheet name="SEPT" sheetId="13" r:id="rId10"/>
    <sheet name="OKT" sheetId="14" r:id="rId11"/>
    <sheet name="NOV" sheetId="15" r:id="rId12"/>
    <sheet name="DES" sheetId="16" r:id="rId13"/>
    <sheet name="HASIL" sheetId="17" r:id="rId14"/>
    <sheet name="Sheet5" sheetId="20" r:id="rId15"/>
  </sheets>
  <calcPr calcId="162913"/>
</workbook>
</file>

<file path=xl/calcChain.xml><?xml version="1.0" encoding="utf-8"?>
<calcChain xmlns="http://schemas.openxmlformats.org/spreadsheetml/2006/main">
  <c r="F18" i="20" l="1"/>
  <c r="G6" i="17"/>
  <c r="L44" i="4" l="1"/>
  <c r="L24" i="4" l="1"/>
  <c r="L22" i="4"/>
  <c r="H18" i="17" l="1"/>
  <c r="Q23" i="4" l="1"/>
  <c r="Q24" i="4"/>
  <c r="Q25" i="4"/>
  <c r="Q26" i="4"/>
  <c r="Q27" i="4"/>
  <c r="Q28" i="4"/>
  <c r="Q29" i="4"/>
  <c r="Q30" i="4"/>
  <c r="Q31" i="4"/>
  <c r="Q32" i="4"/>
  <c r="Q33" i="4"/>
  <c r="Q22" i="4"/>
  <c r="L30" i="4" l="1"/>
  <c r="L29" i="4"/>
  <c r="L32" i="4" l="1"/>
  <c r="L31" i="4"/>
  <c r="E34" i="4" l="1"/>
  <c r="D34" i="4"/>
  <c r="F38" i="4"/>
  <c r="L38" i="4"/>
  <c r="I38" i="4"/>
  <c r="L40" i="4" l="1"/>
  <c r="Q35" i="4"/>
  <c r="C34" i="4"/>
  <c r="C38" i="4"/>
  <c r="F40" i="4" s="1"/>
  <c r="L23" i="4"/>
  <c r="E7" i="17" l="1"/>
  <c r="E8" i="17"/>
  <c r="E9" i="17"/>
  <c r="E10" i="17"/>
  <c r="M9" i="17" s="1"/>
  <c r="E11" i="17"/>
  <c r="E12" i="17"/>
  <c r="E13" i="17"/>
  <c r="E14" i="17"/>
  <c r="E15" i="17"/>
  <c r="E16" i="17"/>
  <c r="E17" i="17"/>
  <c r="M16" i="17" s="1"/>
  <c r="E6" i="17"/>
  <c r="D17" i="17"/>
  <c r="D7" i="17"/>
  <c r="D8" i="17"/>
  <c r="N7" i="17" s="1"/>
  <c r="D9" i="17"/>
  <c r="N8" i="17" s="1"/>
  <c r="D10" i="17"/>
  <c r="D11" i="17"/>
  <c r="D12" i="17"/>
  <c r="D13" i="17"/>
  <c r="D14" i="17"/>
  <c r="D15" i="17"/>
  <c r="D16" i="17"/>
  <c r="N15" i="17" s="1"/>
  <c r="D6" i="17"/>
  <c r="C7" i="17"/>
  <c r="C8" i="17"/>
  <c r="C9" i="17"/>
  <c r="C10" i="17"/>
  <c r="C11" i="17"/>
  <c r="C12" i="17"/>
  <c r="C13" i="17"/>
  <c r="C14" i="17"/>
  <c r="C15" i="17"/>
  <c r="C16" i="17"/>
  <c r="C17" i="17"/>
  <c r="C6" i="17"/>
  <c r="M12" i="17" l="1"/>
  <c r="M11" i="17"/>
  <c r="M5" i="17"/>
  <c r="N13" i="17"/>
  <c r="M14" i="17"/>
  <c r="M10" i="17"/>
  <c r="M6" i="17"/>
  <c r="M8" i="17"/>
  <c r="O8" i="17" s="1"/>
  <c r="L14" i="17"/>
  <c r="Q13" i="17"/>
  <c r="P13" i="17"/>
  <c r="R13" i="17" s="1"/>
  <c r="L10" i="17"/>
  <c r="N9" i="17"/>
  <c r="O9" i="17" s="1"/>
  <c r="Q9" i="17"/>
  <c r="P9" i="17"/>
  <c r="R9" i="17" s="1"/>
  <c r="Q16" i="17"/>
  <c r="P16" i="17"/>
  <c r="L17" i="17"/>
  <c r="N16" i="17"/>
  <c r="O16" i="17" s="1"/>
  <c r="N5" i="17"/>
  <c r="O5" i="17" s="1"/>
  <c r="L6" i="17"/>
  <c r="Q5" i="17"/>
  <c r="P5" i="17"/>
  <c r="R5" i="17" s="1"/>
  <c r="N12" i="17"/>
  <c r="O12" i="17" s="1"/>
  <c r="Q12" i="17"/>
  <c r="L13" i="17"/>
  <c r="P12" i="17"/>
  <c r="Q8" i="17"/>
  <c r="P8" i="17"/>
  <c r="L9" i="17"/>
  <c r="M13" i="17"/>
  <c r="P15" i="17"/>
  <c r="L16" i="17"/>
  <c r="Q15" i="17"/>
  <c r="P11" i="17"/>
  <c r="Q11" i="17"/>
  <c r="L12" i="17"/>
  <c r="N11" i="17"/>
  <c r="J8" i="17"/>
  <c r="P7" i="17"/>
  <c r="L8" i="17"/>
  <c r="Q7" i="17"/>
  <c r="P14" i="17"/>
  <c r="R14" i="17" s="1"/>
  <c r="N14" i="17"/>
  <c r="L15" i="17"/>
  <c r="Q14" i="17"/>
  <c r="L11" i="17"/>
  <c r="P10" i="17"/>
  <c r="N10" i="17"/>
  <c r="O10" i="17" s="1"/>
  <c r="Q10" i="17"/>
  <c r="N6" i="17"/>
  <c r="O6" i="17" s="1"/>
  <c r="L7" i="17"/>
  <c r="Q6" i="17"/>
  <c r="P6" i="17"/>
  <c r="M15" i="17"/>
  <c r="O15" i="17" s="1"/>
  <c r="M7" i="17"/>
  <c r="O7" i="17" s="1"/>
  <c r="J17" i="17"/>
  <c r="J14" i="17"/>
  <c r="J10" i="17"/>
  <c r="J6" i="17"/>
  <c r="J9" i="17"/>
  <c r="J16" i="17"/>
  <c r="J12" i="17"/>
  <c r="J13" i="17"/>
  <c r="J15" i="17"/>
  <c r="J11" i="17"/>
  <c r="J7" i="17"/>
  <c r="D18" i="17"/>
  <c r="C18" i="17"/>
  <c r="E18" i="17"/>
  <c r="E19" i="17" l="1"/>
  <c r="E20" i="17" s="1"/>
  <c r="H21" i="17"/>
  <c r="H22" i="17" s="1"/>
  <c r="H19" i="17"/>
  <c r="H20" i="17" s="1"/>
  <c r="O14" i="17"/>
  <c r="O13" i="17"/>
  <c r="M17" i="17"/>
  <c r="E21" i="17"/>
  <c r="E22" i="17" s="1"/>
  <c r="O11" i="17"/>
  <c r="R10" i="17"/>
  <c r="R7" i="17"/>
  <c r="R15" i="17"/>
  <c r="R11" i="17"/>
  <c r="R8" i="17"/>
  <c r="R16" i="17"/>
  <c r="L18" i="17"/>
  <c r="L19" i="17" s="1"/>
  <c r="Q17" i="17"/>
  <c r="N17" i="17"/>
  <c r="O17" i="17" s="1"/>
  <c r="P17" i="17"/>
  <c r="R12" i="17"/>
  <c r="R6" i="17"/>
  <c r="J18" i="17"/>
  <c r="J19" i="17" s="1"/>
  <c r="C41" i="4"/>
  <c r="D42" i="4"/>
  <c r="D43" i="4"/>
  <c r="D44" i="4"/>
  <c r="D45" i="4"/>
  <c r="C42" i="4"/>
  <c r="C43" i="4"/>
  <c r="C44" i="4"/>
  <c r="C45" i="4"/>
  <c r="C46" i="4"/>
  <c r="C47" i="4"/>
  <c r="C48" i="4"/>
  <c r="C49" i="4"/>
  <c r="C50" i="4"/>
  <c r="C51" i="4"/>
  <c r="R17" i="17" l="1"/>
  <c r="D28" i="14"/>
  <c r="N19" i="14" s="1"/>
  <c r="C66" i="20"/>
  <c r="C49" i="20"/>
  <c r="C62" i="20"/>
  <c r="C45" i="20"/>
  <c r="C58" i="20"/>
  <c r="C41" i="20"/>
  <c r="C24" i="20"/>
  <c r="C7" i="20"/>
  <c r="C65" i="20"/>
  <c r="C48" i="20"/>
  <c r="C44" i="20"/>
  <c r="C61" i="20"/>
  <c r="C27" i="20"/>
  <c r="C10" i="20"/>
  <c r="C57" i="20"/>
  <c r="C40" i="20"/>
  <c r="C64" i="20"/>
  <c r="C47" i="20"/>
  <c r="C43" i="20"/>
  <c r="C60" i="20"/>
  <c r="C26" i="20"/>
  <c r="C9" i="20"/>
  <c r="D28" i="15"/>
  <c r="N19" i="15" s="1"/>
  <c r="C67" i="20"/>
  <c r="C50" i="20"/>
  <c r="C46" i="20"/>
  <c r="C63" i="20"/>
  <c r="C59" i="20"/>
  <c r="C42" i="20"/>
  <c r="C8" i="20"/>
  <c r="C25" i="20"/>
  <c r="D35" i="14"/>
  <c r="N20" i="14" s="1"/>
  <c r="D35" i="15"/>
  <c r="D34" i="13"/>
  <c r="N20" i="13" s="1"/>
  <c r="D28" i="13"/>
  <c r="N19" i="13" s="1"/>
  <c r="D35" i="12"/>
  <c r="N20" i="12" s="1"/>
  <c r="D28" i="12"/>
  <c r="N19" i="12" s="1"/>
  <c r="D35" i="11"/>
  <c r="N20" i="11" s="1"/>
  <c r="D28" i="11"/>
  <c r="N19" i="11" s="1"/>
  <c r="C35" i="10"/>
  <c r="M20" i="10" s="1"/>
  <c r="C28" i="10"/>
  <c r="D35" i="9"/>
  <c r="D28" i="9"/>
  <c r="D21" i="9"/>
  <c r="N18" i="9" s="1"/>
  <c r="D14" i="9"/>
  <c r="N17" i="9" s="1"/>
  <c r="N20" i="15" l="1"/>
  <c r="N19" i="9"/>
  <c r="N20" i="9"/>
  <c r="M19" i="10"/>
  <c r="C21" i="8"/>
  <c r="N18" i="8" s="1"/>
  <c r="C35" i="8"/>
  <c r="N20" i="8" s="1"/>
  <c r="C28" i="8"/>
  <c r="N19" i="8" s="1"/>
  <c r="C14" i="8"/>
  <c r="N17" i="8" s="1"/>
  <c r="D35" i="7"/>
  <c r="N18" i="7" s="1"/>
  <c r="D28" i="7"/>
  <c r="N17" i="7" s="1"/>
  <c r="D21" i="7"/>
  <c r="N16" i="7" s="1"/>
  <c r="D14" i="7"/>
  <c r="N15" i="7" s="1"/>
  <c r="D37" i="6"/>
  <c r="N20" i="6" s="1"/>
  <c r="D30" i="6"/>
  <c r="D23" i="6"/>
  <c r="N18" i="6" s="1"/>
  <c r="D16" i="6"/>
  <c r="N17" i="6" s="1"/>
  <c r="D34" i="5"/>
  <c r="D28" i="5"/>
  <c r="O22" i="5" s="1"/>
  <c r="N19" i="6" l="1"/>
  <c r="O23" i="5"/>
  <c r="J42" i="4"/>
  <c r="J43" i="4"/>
  <c r="J44" i="4"/>
  <c r="J45" i="4"/>
  <c r="J46" i="4"/>
  <c r="J47" i="4"/>
  <c r="J48" i="4"/>
  <c r="J49" i="4"/>
  <c r="J50" i="4"/>
  <c r="J51" i="4"/>
  <c r="J52" i="4"/>
  <c r="J41" i="4"/>
  <c r="I41" i="4"/>
  <c r="I43" i="4"/>
  <c r="I42" i="4"/>
  <c r="I44" i="4"/>
  <c r="I45" i="4"/>
  <c r="I46" i="4"/>
  <c r="I47" i="4"/>
  <c r="I48" i="4"/>
  <c r="I49" i="4"/>
  <c r="I50" i="4"/>
  <c r="I51" i="4"/>
  <c r="I52" i="4"/>
  <c r="D46" i="4"/>
  <c r="D47" i="4"/>
  <c r="D48" i="4"/>
  <c r="D49" i="4"/>
  <c r="D50" i="4"/>
  <c r="D51" i="4"/>
  <c r="D52" i="4"/>
  <c r="D41" i="4"/>
  <c r="C52" i="4"/>
  <c r="E28" i="12" l="1"/>
  <c r="O19" i="12" s="1"/>
  <c r="P19" i="12" s="1"/>
  <c r="E21" i="12"/>
  <c r="O18" i="12" s="1"/>
  <c r="E35" i="12"/>
  <c r="C33" i="20"/>
  <c r="C16" i="20"/>
  <c r="E28" i="14"/>
  <c r="D29" i="14" s="1"/>
  <c r="D66" i="20"/>
  <c r="E66" i="20" s="1"/>
  <c r="D32" i="20"/>
  <c r="D28" i="20"/>
  <c r="D62" i="20"/>
  <c r="E62" i="20" s="1"/>
  <c r="D25" i="20"/>
  <c r="E25" i="20" s="1"/>
  <c r="D59" i="20"/>
  <c r="E59" i="20" s="1"/>
  <c r="D50" i="20"/>
  <c r="E50" i="20" s="1"/>
  <c r="D16" i="20"/>
  <c r="D42" i="20"/>
  <c r="E42" i="20" s="1"/>
  <c r="D8" i="20"/>
  <c r="E8" i="20" s="1"/>
  <c r="C51" i="20"/>
  <c r="C68" i="20"/>
  <c r="C32" i="20"/>
  <c r="C15" i="20"/>
  <c r="C11" i="20"/>
  <c r="C28" i="20"/>
  <c r="D65" i="20"/>
  <c r="E65" i="20" s="1"/>
  <c r="D31" i="20"/>
  <c r="D61" i="20"/>
  <c r="E61" i="20" s="1"/>
  <c r="D27" i="20"/>
  <c r="E27" i="20" s="1"/>
  <c r="D23" i="20"/>
  <c r="D57" i="20"/>
  <c r="E57" i="20" s="1"/>
  <c r="D15" i="20"/>
  <c r="D49" i="20"/>
  <c r="E49" i="20" s="1"/>
  <c r="D45" i="20"/>
  <c r="E45" i="20" s="1"/>
  <c r="D11" i="20"/>
  <c r="D41" i="20"/>
  <c r="E41" i="20" s="1"/>
  <c r="D7" i="20"/>
  <c r="E7" i="20" s="1"/>
  <c r="C23" i="20"/>
  <c r="E23" i="20" s="1"/>
  <c r="C6" i="20"/>
  <c r="C31" i="20"/>
  <c r="C14" i="20"/>
  <c r="D68" i="20"/>
  <c r="D34" i="20"/>
  <c r="D29" i="12"/>
  <c r="D64" i="20"/>
  <c r="E64" i="20" s="1"/>
  <c r="D30" i="20"/>
  <c r="D60" i="20"/>
  <c r="E60" i="20" s="1"/>
  <c r="D26" i="20"/>
  <c r="E26" i="20" s="1"/>
  <c r="D6" i="20"/>
  <c r="D40" i="20"/>
  <c r="E40" i="20" s="1"/>
  <c r="D48" i="20"/>
  <c r="E48" i="20" s="1"/>
  <c r="D14" i="20"/>
  <c r="D10" i="20"/>
  <c r="E10" i="20" s="1"/>
  <c r="D44" i="20"/>
  <c r="E44" i="20" s="1"/>
  <c r="C17" i="20"/>
  <c r="C34" i="20"/>
  <c r="C13" i="20"/>
  <c r="C30" i="20"/>
  <c r="E30" i="20" s="1"/>
  <c r="D67" i="20"/>
  <c r="E67" i="20" s="1"/>
  <c r="D33" i="20"/>
  <c r="D29" i="20"/>
  <c r="D63" i="20"/>
  <c r="E63" i="20" s="1"/>
  <c r="D24" i="20"/>
  <c r="E24" i="20" s="1"/>
  <c r="D58" i="20"/>
  <c r="E58" i="20" s="1"/>
  <c r="D51" i="20"/>
  <c r="D17" i="20"/>
  <c r="D47" i="20"/>
  <c r="E47" i="20" s="1"/>
  <c r="D13" i="20"/>
  <c r="D43" i="20"/>
  <c r="E43" i="20" s="1"/>
  <c r="D9" i="20"/>
  <c r="E9" i="20" s="1"/>
  <c r="D46" i="20"/>
  <c r="E46" i="20" s="1"/>
  <c r="D12" i="20"/>
  <c r="C29" i="20"/>
  <c r="E29" i="20" s="1"/>
  <c r="C12" i="20"/>
  <c r="D14" i="13"/>
  <c r="D21" i="13"/>
  <c r="D21" i="15"/>
  <c r="D14" i="15"/>
  <c r="D14" i="11"/>
  <c r="D21" i="11"/>
  <c r="O19" i="14"/>
  <c r="P19" i="14" s="1"/>
  <c r="D35" i="10"/>
  <c r="D21" i="10"/>
  <c r="N18" i="10" s="1"/>
  <c r="E35" i="7"/>
  <c r="E21" i="7"/>
  <c r="E28" i="15"/>
  <c r="E14" i="15"/>
  <c r="O17" i="15" s="1"/>
  <c r="E14" i="11"/>
  <c r="O17" i="11" s="1"/>
  <c r="E28" i="11"/>
  <c r="E28" i="7"/>
  <c r="E14" i="7"/>
  <c r="D35" i="16"/>
  <c r="D28" i="16"/>
  <c r="D14" i="14"/>
  <c r="D21" i="14"/>
  <c r="C14" i="10"/>
  <c r="C21" i="10"/>
  <c r="E34" i="13"/>
  <c r="E21" i="13"/>
  <c r="O18" i="13" s="1"/>
  <c r="E35" i="9"/>
  <c r="E21" i="9"/>
  <c r="E34" i="5"/>
  <c r="E21" i="5"/>
  <c r="P21" i="5" s="1"/>
  <c r="E14" i="14"/>
  <c r="O17" i="14" s="1"/>
  <c r="E35" i="14"/>
  <c r="E21" i="14"/>
  <c r="O18" i="14" s="1"/>
  <c r="D14" i="10"/>
  <c r="N17" i="10" s="1"/>
  <c r="D28" i="10"/>
  <c r="E30" i="6"/>
  <c r="E16" i="6"/>
  <c r="D21" i="5"/>
  <c r="D14" i="5"/>
  <c r="E21" i="16"/>
  <c r="O18" i="16" s="1"/>
  <c r="E35" i="16"/>
  <c r="O20" i="16" s="1"/>
  <c r="D35" i="8"/>
  <c r="D21" i="8"/>
  <c r="E28" i="5"/>
  <c r="E14" i="5"/>
  <c r="P20" i="5" s="1"/>
  <c r="E14" i="9"/>
  <c r="E28" i="9"/>
  <c r="E14" i="13"/>
  <c r="O17" i="13" s="1"/>
  <c r="E28" i="13"/>
  <c r="D21" i="16"/>
  <c r="D14" i="16"/>
  <c r="D14" i="12"/>
  <c r="D21" i="12"/>
  <c r="E21" i="15"/>
  <c r="O18" i="15" s="1"/>
  <c r="E35" i="15"/>
  <c r="E21" i="11"/>
  <c r="O18" i="11" s="1"/>
  <c r="E35" i="11"/>
  <c r="E37" i="6"/>
  <c r="E23" i="6"/>
  <c r="E28" i="16"/>
  <c r="O19" i="16" s="1"/>
  <c r="E14" i="16"/>
  <c r="O17" i="16" s="1"/>
  <c r="E14" i="12"/>
  <c r="O17" i="12" s="1"/>
  <c r="D28" i="8"/>
  <c r="D14" i="8"/>
  <c r="M23" i="4"/>
  <c r="M22" i="4"/>
  <c r="D30" i="14" l="1"/>
  <c r="F49" i="20" s="1"/>
  <c r="E34" i="20"/>
  <c r="D30" i="12"/>
  <c r="F47" i="20" s="1"/>
  <c r="E32" i="20"/>
  <c r="E12" i="20"/>
  <c r="E11" i="20"/>
  <c r="E51" i="20"/>
  <c r="E16" i="20"/>
  <c r="E13" i="20"/>
  <c r="E14" i="20"/>
  <c r="E28" i="20"/>
  <c r="E68" i="20"/>
  <c r="E17" i="20"/>
  <c r="E6" i="20"/>
  <c r="E15" i="20"/>
  <c r="E33" i="20"/>
  <c r="E31" i="20"/>
  <c r="O20" i="5"/>
  <c r="D15" i="5"/>
  <c r="Q20" i="5" s="1"/>
  <c r="O19" i="6"/>
  <c r="P19" i="6" s="1"/>
  <c r="D31" i="6"/>
  <c r="O18" i="9"/>
  <c r="P18" i="9" s="1"/>
  <c r="D22" i="9"/>
  <c r="N19" i="16"/>
  <c r="P19" i="16" s="1"/>
  <c r="D29" i="16"/>
  <c r="O19" i="11"/>
  <c r="P19" i="11" s="1"/>
  <c r="D29" i="11"/>
  <c r="O16" i="7"/>
  <c r="P16" i="7" s="1"/>
  <c r="D22" i="7"/>
  <c r="N17" i="15"/>
  <c r="P17" i="15" s="1"/>
  <c r="D15" i="15"/>
  <c r="O17" i="8"/>
  <c r="P17" i="8" s="1"/>
  <c r="C15" i="8"/>
  <c r="O20" i="6"/>
  <c r="P20" i="6" s="1"/>
  <c r="D38" i="6"/>
  <c r="N18" i="16"/>
  <c r="P18" i="16" s="1"/>
  <c r="D22" i="16"/>
  <c r="O20" i="8"/>
  <c r="P20" i="8" s="1"/>
  <c r="C36" i="8"/>
  <c r="N19" i="10"/>
  <c r="O19" i="10" s="1"/>
  <c r="C29" i="10"/>
  <c r="O20" i="9"/>
  <c r="P20" i="9" s="1"/>
  <c r="D36" i="9"/>
  <c r="M17" i="10"/>
  <c r="O17" i="10" s="1"/>
  <c r="C15" i="10"/>
  <c r="D36" i="16"/>
  <c r="N20" i="16"/>
  <c r="P20" i="16" s="1"/>
  <c r="O18" i="7"/>
  <c r="P18" i="7" s="1"/>
  <c r="D36" i="7"/>
  <c r="N18" i="15"/>
  <c r="P18" i="15" s="1"/>
  <c r="D22" i="15"/>
  <c r="O20" i="15"/>
  <c r="P20" i="15" s="1"/>
  <c r="D36" i="15"/>
  <c r="O17" i="9"/>
  <c r="P17" i="9" s="1"/>
  <c r="D15" i="9"/>
  <c r="O19" i="8"/>
  <c r="P19" i="8" s="1"/>
  <c r="C29" i="8"/>
  <c r="O20" i="11"/>
  <c r="P20" i="11" s="1"/>
  <c r="D36" i="11"/>
  <c r="N18" i="12"/>
  <c r="P18" i="12" s="1"/>
  <c r="D22" i="12"/>
  <c r="O19" i="13"/>
  <c r="P19" i="13" s="1"/>
  <c r="D29" i="13"/>
  <c r="P22" i="5"/>
  <c r="D29" i="5"/>
  <c r="O21" i="5"/>
  <c r="D22" i="5"/>
  <c r="Q21" i="5" s="1"/>
  <c r="D22" i="14"/>
  <c r="N18" i="14"/>
  <c r="P18" i="14" s="1"/>
  <c r="O15" i="7"/>
  <c r="P15" i="7" s="1"/>
  <c r="D15" i="7"/>
  <c r="N18" i="11"/>
  <c r="P18" i="11" s="1"/>
  <c r="D22" i="11"/>
  <c r="N18" i="13"/>
  <c r="P18" i="13" s="1"/>
  <c r="D22" i="13"/>
  <c r="O18" i="6"/>
  <c r="P18" i="6" s="1"/>
  <c r="D24" i="6"/>
  <c r="N17" i="16"/>
  <c r="P17" i="16" s="1"/>
  <c r="D15" i="16"/>
  <c r="O18" i="8"/>
  <c r="P18" i="8" s="1"/>
  <c r="C22" i="8"/>
  <c r="O20" i="14"/>
  <c r="P20" i="14" s="1"/>
  <c r="D36" i="14"/>
  <c r="C22" i="10"/>
  <c r="M18" i="10"/>
  <c r="O18" i="10" s="1"/>
  <c r="O20" i="12"/>
  <c r="P20" i="12" s="1"/>
  <c r="D36" i="12"/>
  <c r="N17" i="12"/>
  <c r="P17" i="12" s="1"/>
  <c r="D15" i="12"/>
  <c r="O19" i="9"/>
  <c r="P19" i="9" s="1"/>
  <c r="D29" i="9"/>
  <c r="O17" i="6"/>
  <c r="P17" i="6" s="1"/>
  <c r="D17" i="6"/>
  <c r="D18" i="6" s="1"/>
  <c r="P23" i="5"/>
  <c r="D35" i="5"/>
  <c r="O20" i="13"/>
  <c r="P20" i="13" s="1"/>
  <c r="D35" i="13"/>
  <c r="N17" i="14"/>
  <c r="P17" i="14" s="1"/>
  <c r="D15" i="14"/>
  <c r="O17" i="7"/>
  <c r="P17" i="7" s="1"/>
  <c r="D29" i="7"/>
  <c r="O19" i="15"/>
  <c r="P19" i="15" s="1"/>
  <c r="D29" i="15"/>
  <c r="C36" i="10"/>
  <c r="N20" i="10"/>
  <c r="O20" i="10" s="1"/>
  <c r="N17" i="11"/>
  <c r="P17" i="11" s="1"/>
  <c r="D15" i="11"/>
  <c r="N17" i="13"/>
  <c r="P17" i="13" s="1"/>
  <c r="D15" i="13"/>
  <c r="P21" i="16" l="1"/>
  <c r="L17" i="20" s="1"/>
  <c r="P21" i="6"/>
  <c r="L7" i="20" s="1"/>
  <c r="D31" i="14"/>
  <c r="R19" i="14" s="1"/>
  <c r="Q19" i="14"/>
  <c r="Q19" i="12"/>
  <c r="D31" i="12"/>
  <c r="R19" i="12" s="1"/>
  <c r="D30" i="7"/>
  <c r="F42" i="20" s="1"/>
  <c r="D16" i="13"/>
  <c r="F14" i="20" s="1"/>
  <c r="D36" i="13"/>
  <c r="F65" i="20" s="1"/>
  <c r="D16" i="12"/>
  <c r="F13" i="20" s="1"/>
  <c r="C23" i="8"/>
  <c r="F26" i="20" s="1"/>
  <c r="D25" i="6"/>
  <c r="F24" i="20" s="1"/>
  <c r="D23" i="11"/>
  <c r="F29" i="20" s="1"/>
  <c r="D30" i="5"/>
  <c r="F40" i="20" s="1"/>
  <c r="D23" i="12"/>
  <c r="F30" i="20" s="1"/>
  <c r="C30" i="8"/>
  <c r="F43" i="20" s="1"/>
  <c r="D16" i="9"/>
  <c r="F10" i="20" s="1"/>
  <c r="D23" i="15"/>
  <c r="F33" i="20" s="1"/>
  <c r="D37" i="9"/>
  <c r="F61" i="20" s="1"/>
  <c r="C37" i="8"/>
  <c r="F60" i="20" s="1"/>
  <c r="D39" i="6"/>
  <c r="F58" i="20" s="1"/>
  <c r="D16" i="15"/>
  <c r="F16" i="20" s="1"/>
  <c r="D30" i="11"/>
  <c r="F46" i="20" s="1"/>
  <c r="D23" i="9"/>
  <c r="F27" i="20" s="1"/>
  <c r="D16" i="5"/>
  <c r="F6" i="20" s="1"/>
  <c r="C37" i="10"/>
  <c r="F62" i="20" s="1"/>
  <c r="C23" i="10"/>
  <c r="F28" i="20" s="1"/>
  <c r="D23" i="14"/>
  <c r="F32" i="20" s="1"/>
  <c r="D37" i="16"/>
  <c r="F68" i="20" s="1"/>
  <c r="D16" i="11"/>
  <c r="D17" i="11" s="1"/>
  <c r="R17" i="11" s="1"/>
  <c r="D30" i="15"/>
  <c r="F50" i="20" s="1"/>
  <c r="D16" i="14"/>
  <c r="D17" i="14" s="1"/>
  <c r="R17" i="14" s="1"/>
  <c r="D36" i="5"/>
  <c r="F57" i="20" s="1"/>
  <c r="D30" i="9"/>
  <c r="F44" i="20" s="1"/>
  <c r="D37" i="12"/>
  <c r="F64" i="20" s="1"/>
  <c r="D37" i="14"/>
  <c r="Q20" i="14" s="1"/>
  <c r="D16" i="16"/>
  <c r="F17" i="20" s="1"/>
  <c r="D23" i="13"/>
  <c r="F31" i="20" s="1"/>
  <c r="D16" i="7"/>
  <c r="F8" i="20" s="1"/>
  <c r="D23" i="5"/>
  <c r="F23" i="20" s="1"/>
  <c r="D30" i="13"/>
  <c r="F48" i="20" s="1"/>
  <c r="D37" i="11"/>
  <c r="F63" i="20" s="1"/>
  <c r="D37" i="15"/>
  <c r="F67" i="20" s="1"/>
  <c r="D37" i="7"/>
  <c r="F59" i="20" s="1"/>
  <c r="C16" i="10"/>
  <c r="F11" i="20" s="1"/>
  <c r="C30" i="10"/>
  <c r="F45" i="20" s="1"/>
  <c r="D23" i="16"/>
  <c r="F34" i="20" s="1"/>
  <c r="C16" i="8"/>
  <c r="F9" i="20" s="1"/>
  <c r="D23" i="7"/>
  <c r="F25" i="20" s="1"/>
  <c r="D30" i="16"/>
  <c r="F51" i="20" s="1"/>
  <c r="D32" i="6"/>
  <c r="F41" i="20" s="1"/>
  <c r="F7" i="20"/>
  <c r="P21" i="15"/>
  <c r="L16" i="20" s="1"/>
  <c r="P19" i="7"/>
  <c r="L8" i="20" s="1"/>
  <c r="D31" i="15"/>
  <c r="R19" i="15" s="1"/>
  <c r="Q23" i="5"/>
  <c r="P21" i="11"/>
  <c r="L12" i="20" s="1"/>
  <c r="Q22" i="5"/>
  <c r="Q20" i="12"/>
  <c r="P21" i="9"/>
  <c r="L10" i="20" s="1"/>
  <c r="Q17" i="6"/>
  <c r="D19" i="6"/>
  <c r="R17" i="6" s="1"/>
  <c r="Q20" i="15"/>
  <c r="P21" i="13"/>
  <c r="L14" i="20" s="1"/>
  <c r="P21" i="12"/>
  <c r="L13" i="20" s="1"/>
  <c r="P21" i="14"/>
  <c r="L15" i="20" s="1"/>
  <c r="O21" i="10"/>
  <c r="L11" i="20" s="1"/>
  <c r="P21" i="8"/>
  <c r="L9" i="20" s="1"/>
  <c r="Q18" i="8" l="1"/>
  <c r="Q24" i="5"/>
  <c r="L6" i="20" s="1"/>
  <c r="C31" i="8"/>
  <c r="R19" i="8" s="1"/>
  <c r="C24" i="10"/>
  <c r="Q18" i="10" s="1"/>
  <c r="D31" i="11"/>
  <c r="R19" i="11" s="1"/>
  <c r="Q18" i="16"/>
  <c r="D31" i="7"/>
  <c r="R17" i="7" s="1"/>
  <c r="D24" i="12"/>
  <c r="R18" i="12" s="1"/>
  <c r="Q20" i="9"/>
  <c r="D37" i="13"/>
  <c r="R20" i="13" s="1"/>
  <c r="C31" i="10"/>
  <c r="Q19" i="10" s="1"/>
  <c r="C38" i="10"/>
  <c r="Q20" i="10" s="1"/>
  <c r="D17" i="15"/>
  <c r="R17" i="15" s="1"/>
  <c r="Q19" i="13"/>
  <c r="D24" i="13"/>
  <c r="R18" i="13" s="1"/>
  <c r="Q19" i="9"/>
  <c r="Q18" i="15"/>
  <c r="Q19" i="16"/>
  <c r="D38" i="11"/>
  <c r="R20" i="11" s="1"/>
  <c r="D17" i="12"/>
  <c r="R17" i="12" s="1"/>
  <c r="Q17" i="11"/>
  <c r="C24" i="8"/>
  <c r="R18" i="8" s="1"/>
  <c r="D38" i="12"/>
  <c r="R20" i="12" s="1"/>
  <c r="D17" i="9"/>
  <c r="R17" i="9" s="1"/>
  <c r="Q15" i="7"/>
  <c r="D38" i="9"/>
  <c r="R20" i="9" s="1"/>
  <c r="Q19" i="15"/>
  <c r="D24" i="11"/>
  <c r="R18" i="11" s="1"/>
  <c r="Q16" i="7"/>
  <c r="Q17" i="7"/>
  <c r="D17" i="16"/>
  <c r="R17" i="16" s="1"/>
  <c r="Q19" i="11"/>
  <c r="P18" i="10"/>
  <c r="Q18" i="12"/>
  <c r="D33" i="6"/>
  <c r="R19" i="6" s="1"/>
  <c r="D17" i="7"/>
  <c r="R15" i="7" s="1"/>
  <c r="D24" i="9"/>
  <c r="R18" i="9" s="1"/>
  <c r="D26" i="6"/>
  <c r="R18" i="6" s="1"/>
  <c r="D38" i="14"/>
  <c r="R20" i="14" s="1"/>
  <c r="C17" i="8"/>
  <c r="R17" i="8" s="1"/>
  <c r="D38" i="7"/>
  <c r="R18" i="7" s="1"/>
  <c r="Q17" i="12"/>
  <c r="Q18" i="13"/>
  <c r="D31" i="9"/>
  <c r="R19" i="9" s="1"/>
  <c r="Q17" i="15"/>
  <c r="D24" i="15"/>
  <c r="R18" i="15" s="1"/>
  <c r="P20" i="10"/>
  <c r="D31" i="16"/>
  <c r="R19" i="16" s="1"/>
  <c r="P19" i="10"/>
  <c r="Q20" i="11"/>
  <c r="Q17" i="13"/>
  <c r="D24" i="14"/>
  <c r="R18" i="14" s="1"/>
  <c r="C38" i="8"/>
  <c r="R20" i="8" s="1"/>
  <c r="Q18" i="6"/>
  <c r="Q17" i="8"/>
  <c r="P17" i="10"/>
  <c r="Q20" i="6"/>
  <c r="D38" i="16"/>
  <c r="R20" i="16" s="1"/>
  <c r="Q17" i="9"/>
  <c r="Q20" i="16"/>
  <c r="Q18" i="11"/>
  <c r="Q18" i="7"/>
  <c r="Q20" i="13"/>
  <c r="D17" i="13"/>
  <c r="R17" i="13" s="1"/>
  <c r="D40" i="6"/>
  <c r="R20" i="6" s="1"/>
  <c r="Q18" i="14"/>
  <c r="Q18" i="9"/>
  <c r="Q20" i="8"/>
  <c r="Q19" i="8"/>
  <c r="Q17" i="14"/>
  <c r="Q19" i="6"/>
  <c r="F66" i="20"/>
  <c r="F15" i="20"/>
  <c r="F12" i="20"/>
  <c r="D24" i="7"/>
  <c r="R16" i="7" s="1"/>
  <c r="D24" i="16"/>
  <c r="R18" i="16" s="1"/>
  <c r="C17" i="10"/>
  <c r="Q17" i="10" s="1"/>
  <c r="D38" i="15"/>
  <c r="R20" i="15" s="1"/>
  <c r="D31" i="13"/>
  <c r="R19" i="13" s="1"/>
  <c r="Q17" i="16"/>
  <c r="R23" i="5"/>
  <c r="D37" i="5"/>
  <c r="S23" i="5" s="1"/>
  <c r="R21" i="5"/>
  <c r="D24" i="5"/>
  <c r="S21" i="5" s="1"/>
  <c r="R20" i="5"/>
  <c r="D17" i="5"/>
  <c r="S20" i="5" s="1"/>
  <c r="D31" i="5"/>
  <c r="S22" i="5" s="1"/>
  <c r="R22" i="5"/>
  <c r="M24" i="4"/>
  <c r="R21" i="6" l="1"/>
  <c r="R21" i="16"/>
  <c r="S24" i="5"/>
  <c r="Q21" i="10"/>
  <c r="R21" i="12"/>
  <c r="R21" i="15"/>
  <c r="R19" i="7"/>
  <c r="R21" i="11"/>
  <c r="R21" i="14"/>
  <c r="R21" i="9"/>
  <c r="R21" i="13"/>
  <c r="R21" i="8"/>
  <c r="Q24" i="8" l="1"/>
  <c r="K9" i="20"/>
  <c r="Q24" i="11"/>
  <c r="K12" i="20"/>
  <c r="P24" i="10"/>
  <c r="K11" i="20"/>
  <c r="Q27" i="5"/>
  <c r="K6" i="20"/>
  <c r="Q24" i="13"/>
  <c r="K14" i="20"/>
  <c r="Q22" i="7"/>
  <c r="K8" i="20"/>
  <c r="Q24" i="9"/>
  <c r="K10" i="20"/>
  <c r="Q24" i="15"/>
  <c r="K16" i="20"/>
  <c r="Q24" i="16"/>
  <c r="K17" i="20"/>
  <c r="Q24" i="14"/>
  <c r="K15" i="20"/>
  <c r="Q24" i="12"/>
  <c r="K13" i="20"/>
  <c r="Q24" i="6"/>
  <c r="K7" i="20"/>
  <c r="G13" i="17" l="1"/>
  <c r="K13" i="17" s="1"/>
  <c r="M13" i="20"/>
  <c r="G17" i="17"/>
  <c r="K17" i="17" s="1"/>
  <c r="M17" i="20"/>
  <c r="G10" i="17"/>
  <c r="K10" i="17" s="1"/>
  <c r="M10" i="20"/>
  <c r="G14" i="17"/>
  <c r="K14" i="17" s="1"/>
  <c r="M14" i="20"/>
  <c r="G11" i="17"/>
  <c r="K11" i="17" s="1"/>
  <c r="M11" i="20"/>
  <c r="G9" i="17"/>
  <c r="K9" i="17" s="1"/>
  <c r="M9" i="20"/>
  <c r="G7" i="17"/>
  <c r="K7" i="17" s="1"/>
  <c r="M7" i="20"/>
  <c r="G15" i="17"/>
  <c r="K15" i="17" s="1"/>
  <c r="M15" i="20"/>
  <c r="G16" i="17"/>
  <c r="K16" i="17" s="1"/>
  <c r="M16" i="20"/>
  <c r="G8" i="17"/>
  <c r="K8" i="17" s="1"/>
  <c r="M8" i="20"/>
  <c r="M6" i="20"/>
  <c r="G12" i="17"/>
  <c r="K12" i="17" s="1"/>
  <c r="M12" i="20"/>
  <c r="K6" i="17" l="1"/>
  <c r="K18" i="17" s="1"/>
  <c r="K19" i="17" s="1"/>
  <c r="G18" i="17"/>
  <c r="G19" i="17" l="1"/>
  <c r="G20" i="17" s="1"/>
  <c r="G21" i="17"/>
  <c r="G22" i="17" s="1"/>
</calcChain>
</file>

<file path=xl/sharedStrings.xml><?xml version="1.0" encoding="utf-8"?>
<sst xmlns="http://schemas.openxmlformats.org/spreadsheetml/2006/main" count="649" uniqueCount="127">
  <si>
    <t>bulan</t>
  </si>
  <si>
    <t xml:space="preserve">januari </t>
  </si>
  <si>
    <t>februari</t>
  </si>
  <si>
    <t xml:space="preserve">maret 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</si>
  <si>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</si>
  <si>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</si>
  <si>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</si>
  <si>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</si>
  <si>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</si>
  <si>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</si>
  <si>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</si>
  <si>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</si>
  <si>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</si>
  <si>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permintaan</t>
  </si>
  <si>
    <t>Permintaan</t>
  </si>
  <si>
    <t>Persediaan</t>
  </si>
  <si>
    <t>Produksi</t>
  </si>
  <si>
    <t>perhitungan nilai domain</t>
  </si>
  <si>
    <t xml:space="preserve">produksi turun </t>
  </si>
  <si>
    <t>permintaan sedikit</t>
  </si>
  <si>
    <t>persediaan berkurang</t>
  </si>
  <si>
    <t>perhitungan drajat keanggotaan:</t>
  </si>
  <si>
    <t>PRODUKSI</t>
  </si>
  <si>
    <t>max</t>
  </si>
  <si>
    <t>min</t>
  </si>
  <si>
    <t>Januari</t>
  </si>
  <si>
    <t>TURUN</t>
  </si>
  <si>
    <t>NAIK</t>
  </si>
  <si>
    <t>perhitungan derajat keanggotaan :</t>
  </si>
  <si>
    <t>PERMINTAAN</t>
  </si>
  <si>
    <t>SEDIKIT</t>
  </si>
  <si>
    <t>BANYAK</t>
  </si>
  <si>
    <t>RULES ATURAN FUZZY YANG TELAH DIBUAT</t>
  </si>
  <si>
    <t>R[1]</t>
  </si>
  <si>
    <t>IF Produksi Naik AND Permintaan Banyak THEN Persediaan Bertambah</t>
  </si>
  <si>
    <t xml:space="preserve">min = </t>
  </si>
  <si>
    <t>IF Produksi Naik AND Permintaan Sedikit THEN Persediaan Bertambah</t>
  </si>
  <si>
    <t>R[3]</t>
  </si>
  <si>
    <t>IF Produksi Turun AND Permintaan Banyak THEN Persediaan Berkurang</t>
  </si>
  <si>
    <t xml:space="preserve">min= </t>
  </si>
  <si>
    <t>R[4]</t>
  </si>
  <si>
    <t>IF Produksi Turun AND Permintaan Sedikit THEN Persediaan Berkurang</t>
  </si>
  <si>
    <t>DENGAN ATURAN MIN</t>
  </si>
  <si>
    <r>
      <rPr>
        <sz val="11"/>
        <color theme="1"/>
        <rFont val="Calibri"/>
        <family val="2"/>
      </rPr>
      <t>α</t>
    </r>
    <r>
      <rPr>
        <sz val="10"/>
        <color theme="1"/>
        <rFont val="Calibri"/>
        <family val="2"/>
        <charset val="1"/>
      </rPr>
      <t xml:space="preserve"> predikat</t>
    </r>
  </si>
  <si>
    <t xml:space="preserve">d1 = </t>
  </si>
  <si>
    <t>nilai d=</t>
  </si>
  <si>
    <t>d3=</t>
  </si>
  <si>
    <t>nilai d3=</t>
  </si>
  <si>
    <t>d4=</t>
  </si>
  <si>
    <t>nilai d4=</t>
  </si>
  <si>
    <t>PREDIKSI NILAI PERSEDIAAN BULAN JANUARI</t>
  </si>
  <si>
    <t>NILAI ATURAN</t>
  </si>
  <si>
    <t>MIN</t>
  </si>
  <si>
    <t>PERSEDIAAN (Z)</t>
  </si>
  <si>
    <t>PREDIKSI</t>
  </si>
  <si>
    <t>R1</t>
  </si>
  <si>
    <t>R3</t>
  </si>
  <si>
    <t>R[6]</t>
  </si>
  <si>
    <t>d6=</t>
  </si>
  <si>
    <t>nilai d6=</t>
  </si>
  <si>
    <t>R6</t>
  </si>
  <si>
    <t>R8</t>
  </si>
  <si>
    <t>NILAI PREDIKSI PERSEDIAAN JANUARI</t>
  </si>
  <si>
    <t>FEBRUARI</t>
  </si>
  <si>
    <t>PREDIKSI (Z)</t>
  </si>
  <si>
    <t>NILAI PREDIKSI PERSEDIAAN BULAN FEBRUARI</t>
  </si>
  <si>
    <t xml:space="preserve"> </t>
  </si>
  <si>
    <t xml:space="preserve">Bulan </t>
  </si>
  <si>
    <t>Prediksi</t>
  </si>
  <si>
    <t>PERSEDIAAN</t>
  </si>
  <si>
    <t>Optimal</t>
  </si>
  <si>
    <t>ATURAN 1</t>
  </si>
  <si>
    <t>Prod</t>
  </si>
  <si>
    <t>Naik</t>
  </si>
  <si>
    <t>banyak</t>
  </si>
  <si>
    <t>A1</t>
  </si>
  <si>
    <t>Z1</t>
  </si>
  <si>
    <t>ATURAN 2</t>
  </si>
  <si>
    <t>sedikit</t>
  </si>
  <si>
    <t>ATURAN 3</t>
  </si>
  <si>
    <t>ATURAN 4</t>
  </si>
  <si>
    <t>turun</t>
  </si>
  <si>
    <t>Banyak</t>
  </si>
  <si>
    <t>A4</t>
  </si>
  <si>
    <t>D4</t>
  </si>
  <si>
    <t>A3</t>
  </si>
  <si>
    <t>D3</t>
  </si>
  <si>
    <t>D2</t>
  </si>
  <si>
    <t>A2</t>
  </si>
  <si>
    <t>PREDIKSI (Z*)</t>
  </si>
  <si>
    <t xml:space="preserve">persediaan max </t>
  </si>
  <si>
    <t>persediaan min</t>
  </si>
  <si>
    <t>R[2]</t>
  </si>
  <si>
    <t>R2</t>
  </si>
  <si>
    <t>R4</t>
  </si>
  <si>
    <t>kurang</t>
  </si>
  <si>
    <t xml:space="preserve">selisih data </t>
  </si>
  <si>
    <t>real</t>
  </si>
  <si>
    <t>selisih data</t>
  </si>
  <si>
    <t>optimasi</t>
  </si>
  <si>
    <t xml:space="preserve">lebih </t>
  </si>
  <si>
    <t>contoh :</t>
  </si>
  <si>
    <t>Turun =</t>
  </si>
  <si>
    <t>Naik =</t>
  </si>
  <si>
    <r>
      <rPr>
        <b/>
        <sz val="14"/>
        <color theme="1"/>
        <rFont val="Calibri"/>
        <family val="2"/>
        <scheme val="minor"/>
      </rPr>
      <t>CONTOH PERHITUNGAN</t>
    </r>
    <r>
      <rPr>
        <sz val="11"/>
        <color theme="1"/>
        <rFont val="Calibri"/>
        <family val="2"/>
        <charset val="1"/>
        <scheme val="minor"/>
      </rPr>
      <t xml:space="preserve"> </t>
    </r>
  </si>
  <si>
    <t>Persediaan Bertambah</t>
  </si>
  <si>
    <t>R3 =</t>
  </si>
  <si>
    <t>R1 =</t>
  </si>
  <si>
    <t>Persediaan Berkurang</t>
  </si>
  <si>
    <t xml:space="preserve">w1 = </t>
  </si>
  <si>
    <t>nilai z*=</t>
  </si>
  <si>
    <t xml:space="preserve">min (z) = </t>
  </si>
  <si>
    <t xml:space="preserve">w2 = </t>
  </si>
  <si>
    <t xml:space="preserve">w3 = </t>
  </si>
  <si>
    <t xml:space="preserve">w4 = </t>
  </si>
  <si>
    <t xml:space="preserve">total </t>
  </si>
  <si>
    <t>python</t>
  </si>
  <si>
    <t xml:space="preserve">prediksi </t>
  </si>
  <si>
    <t>lebih</t>
  </si>
  <si>
    <t>Sedikit =</t>
  </si>
  <si>
    <t>Banyak =</t>
  </si>
  <si>
    <t>Bulan</t>
  </si>
  <si>
    <t>WnZn</t>
  </si>
  <si>
    <r>
      <rPr>
        <sz val="11"/>
        <color theme="1"/>
        <rFont val="Calibri"/>
        <family val="2"/>
      </rPr>
      <t>∑</t>
    </r>
    <r>
      <rPr>
        <sz val="10.45"/>
        <color theme="1"/>
        <rFont val="Calibri"/>
        <family val="2"/>
        <charset val="1"/>
      </rPr>
      <t>W</t>
    </r>
  </si>
  <si>
    <t>z*</t>
  </si>
  <si>
    <t>d2=</t>
  </si>
  <si>
    <t>nilai d2=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</si>
</sst>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"/>
    <numFmt numFmtId="166" formatCode="0.00000"/>
    <numFmt numFmtId="167" formatCode="#,##0.0000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charset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.45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2">
    <xf numFmtId="0" fontId="0" fillId="0" borderId="0" xfId="0"/>
    <xf numFmtId="3" fontId="0" fillId="0" borderId="0" xfId="0" applyNumberFormat="1"/>
    <xf numFmtId="9" fontId="0" fillId="0" borderId="0" xfId="1" applyFont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/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 applyAlignment="1"/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0" fillId="0" borderId="0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/>
    <xf numFmtId="0" fontId="0" fillId="0" borderId="1" xfId="1" applyNumberFormat="1" applyFont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3" fontId="8" fillId="0" borderId="1" xfId="0" applyNumberFormat="1" applyFont="1" applyBorder="1"/>
    <xf numFmtId="0" fontId="8" fillId="0" borderId="1" xfId="1" applyNumberFormat="1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/>
    <xf numFmtId="0" fontId="0" fillId="0" borderId="1" xfId="0" applyNumberForma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9" fontId="0" fillId="0" borderId="11" xfId="1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3" fontId="8" fillId="0" borderId="0" xfId="0" applyNumberFormat="1" applyFont="1"/>
    <xf numFmtId="166" fontId="0" fillId="2" borderId="1" xfId="0" applyNumberFormat="1" applyFill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9" fontId="0" fillId="0" borderId="0" xfId="0" applyNumberFormat="1"/>
    <xf numFmtId="0" fontId="8" fillId="0" borderId="3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9" fontId="8" fillId="0" borderId="0" xfId="0" applyNumberFormat="1" applyFont="1"/>
    <xf numFmtId="9" fontId="8" fillId="0" borderId="0" xfId="1" applyFont="1"/>
    <xf numFmtId="0" fontId="9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57150</xdr:colOff>
      <xdr:row>44</xdr:row>
      <xdr:rowOff>161925</xdr:rowOff>
    </xdr:from>
    <xdr:ext cx="2846292" cy="651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010775" y="5305425"/>
              <a:ext cx="2846292" cy="6519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n-US" sz="1100" b="0" i="1">
                        <a:latin typeface="Cambria Math" panose="02040503050406030204" pitchFamily="18" charset="0"/>
                      </a:rPr>
                      <m:t>L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𝑖𝑛𝑖𝑒𝑟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𝑁𝑎𝑖𝑘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𝑏𝑎𝑛𝑦𝑎𝑘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𝑎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𝑥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𝑎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𝑏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𝑎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𝑎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𝑏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𝑏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010775" y="5305425"/>
              <a:ext cx="2846292" cy="6519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L𝑖𝑛𝑖𝑒𝑟 𝑁𝑎𝑖𝑘/𝑏𝑎𝑛𝑦𝑎𝑘= {■8(0;&amp;𝑥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≥𝑎@(</a:t>
              </a:r>
              <a:r>
                <a:rPr lang="en-US" sz="1100" b="0" i="0">
                  <a:latin typeface="Cambria Math" panose="02040503050406030204" pitchFamily="18" charset="0"/>
                </a:rPr>
                <a:t>𝑥 −𝑎)/(𝑏−𝑎);&amp;𝑎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≤𝑥 ≤𝑏@</a:t>
              </a:r>
              <a:r>
                <a:rPr lang="en-US" sz="1100" b="0" i="0">
                  <a:latin typeface="Cambria Math" panose="02040503050406030204" pitchFamily="18" charset="0"/>
                </a:rPr>
                <a:t>1;&amp;𝑥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≥𝑏)┤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12</xdr:col>
      <xdr:colOff>561975</xdr:colOff>
      <xdr:row>39</xdr:row>
      <xdr:rowOff>114300</xdr:rowOff>
    </xdr:from>
    <xdr:ext cx="2981008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06000" y="4305300"/>
              <a:ext cx="2981008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𝐿𝑖𝑛𝑖𝑒𝑟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𝑇𝑢𝑟𝑢𝑛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𝑆𝑒𝑑𝑖𝑘𝑖𝑡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𝑎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𝑏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𝑥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𝑏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𝑎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𝑎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𝑏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𝑏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06000" y="4305300"/>
              <a:ext cx="2981008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𝐿𝑖𝑛𝑖𝑒𝑟 𝑇𝑢𝑟𝑢𝑛/𝑆𝑒𝑑𝑖𝑘𝑖𝑡= {■8(1;&amp;𝑥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≥𝑎@(</a:t>
              </a:r>
              <a:r>
                <a:rPr lang="en-US" sz="1100" b="0" i="0">
                  <a:latin typeface="Cambria Math" panose="02040503050406030204" pitchFamily="18" charset="0"/>
                </a:rPr>
                <a:t>𝑏 −𝑥)/(𝑏−𝑎);&amp;𝑎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≤𝑥 ≤𝑏@0</a:t>
              </a:r>
              <a:r>
                <a:rPr lang="en-US" sz="1100" b="0" i="0">
                  <a:latin typeface="Cambria Math" panose="02040503050406030204" pitchFamily="18" charset="0"/>
                </a:rPr>
                <a:t>;&amp;𝑥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≥𝑏)┤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533399</xdr:colOff>
      <xdr:row>59</xdr:row>
      <xdr:rowOff>28575</xdr:rowOff>
    </xdr:from>
    <xdr:ext cx="2657475" cy="3524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1933574" y="8029575"/>
              <a:ext cx="2657475" cy="3524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(9871 −997)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(22133 −997)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8874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21136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=0,42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1933574" y="8029575"/>
              <a:ext cx="2657475" cy="3524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(9871 −997))/((22133 −997))=  8874/21136=0,42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55</xdr:row>
      <xdr:rowOff>0</xdr:rowOff>
    </xdr:from>
    <xdr:ext cx="2657475" cy="3626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171700" y="7239000"/>
              <a:ext cx="2657475" cy="362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(22133−9871 )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(22133 −997)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12262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21136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=0,58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171700" y="7239000"/>
              <a:ext cx="2657475" cy="362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(22133−9871 ))/((22133 −997))=  12262/21136=0,58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533399</xdr:colOff>
      <xdr:row>59</xdr:row>
      <xdr:rowOff>28575</xdr:rowOff>
    </xdr:from>
    <xdr:ext cx="2657475" cy="3524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1933574" y="8029575"/>
              <a:ext cx="2657475" cy="3524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(12982−4781)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(25219 −4781)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8201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20438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=0,40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1933574" y="8029575"/>
              <a:ext cx="2657475" cy="3524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(12982−4781))/((25219 −4781))=  8201/20438=0,40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0</xdr:colOff>
      <xdr:row>55</xdr:row>
      <xdr:rowOff>0</xdr:rowOff>
    </xdr:from>
    <xdr:ext cx="2657475" cy="3626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2171700" y="7239000"/>
              <a:ext cx="2657475" cy="362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(25219−12982 )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(25219 −4781)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12237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20438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=0,60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2171700" y="7239000"/>
              <a:ext cx="2657475" cy="362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(25219−12982 ))/((25219 −4781))=  12237/20438=0,60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438400" y="582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438400" y="582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480395</xdr:colOff>
      <xdr:row>3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185995" y="571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185995" y="571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420938" y="576639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420938" y="576639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510955</xdr:colOff>
      <xdr:row>3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168533" y="565547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168533" y="565547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5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438400" y="963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438400" y="963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480395</xdr:colOff>
      <xdr:row>5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185995" y="952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185995" y="952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438400" y="7730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438400" y="7730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480395</xdr:colOff>
      <xdr:row>4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185995" y="7620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185995" y="7620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124591</xdr:colOff>
      <xdr:row>2</xdr:row>
      <xdr:rowOff>95919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729825" y="472950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729825" y="472950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496639</xdr:colOff>
      <xdr:row>2</xdr:row>
      <xdr:rowOff>84827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5477420" y="461858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5477420" y="461858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12</xdr:col>
      <xdr:colOff>594519</xdr:colOff>
      <xdr:row>31</xdr:row>
      <xdr:rowOff>5000</xdr:rowOff>
    </xdr:from>
    <xdr:ext cx="3056731" cy="9475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996238" y="5898594"/>
              <a:ext cx="3056731" cy="9475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l"/>
              <a:r>
                <a:rPr lang="en-US" sz="1100" baseline="0"/>
                <a:t>  µ Bertambah </a:t>
              </a:r>
              <a:r>
                <a:rPr lang="en-US" sz="1100"/>
                <a:t>  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𝑧</m:t>
                      </m:r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 −6347</m:t>
                      </m:r>
                    </m:num>
                    <m:den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24187 −6347</m:t>
                      </m:r>
                    </m:den>
                  </m:f>
                </m:oMath>
              </a14:m>
              <a:endParaRPr lang="en-US" sz="1100"/>
            </a:p>
            <a:p>
              <a:pPr algn="l"/>
              <a:r>
                <a:rPr lang="en-US" sz="1100"/>
                <a:t>	= 0,40 * (24187 - 6347)</a:t>
              </a:r>
              <a:r>
                <a:rPr lang="en-US" sz="1100" baseline="0"/>
                <a:t> + 6347</a:t>
              </a:r>
            </a:p>
            <a:p>
              <a:pPr algn="l"/>
              <a:r>
                <a:rPr lang="en-US" sz="1100"/>
                <a:t>	=  13505,52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996238" y="5898594"/>
              <a:ext cx="3056731" cy="9475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l"/>
              <a:r>
                <a:rPr lang="en-US" sz="1100" baseline="0"/>
                <a:t>  µ Bertambah </a:t>
              </a:r>
              <a:r>
                <a:rPr lang="en-US" sz="1100"/>
                <a:t>   =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(𝑧 −6347)/(24187 −6347)</a:t>
              </a:r>
              <a:endParaRPr lang="en-US" sz="1100"/>
            </a:p>
            <a:p>
              <a:pPr algn="l"/>
              <a:r>
                <a:rPr lang="en-US" sz="1100"/>
                <a:t>	= 0,40 * (24187 - 6347)</a:t>
              </a:r>
              <a:r>
                <a:rPr lang="en-US" sz="1100" baseline="0"/>
                <a:t> + 6347</a:t>
              </a:r>
            </a:p>
            <a:p>
              <a:pPr algn="l"/>
              <a:r>
                <a:rPr lang="en-US" sz="1100"/>
                <a:t>	=  13505,52</a:t>
              </a:r>
            </a:p>
          </xdr:txBody>
        </xdr:sp>
      </mc:Fallback>
    </mc:AlternateContent>
    <xdr:clientData/>
  </xdr:oneCellAnchor>
  <xdr:oneCellAnchor>
    <xdr:from>
      <xdr:col>13</xdr:col>
      <xdr:colOff>59532</xdr:colOff>
      <xdr:row>37</xdr:row>
      <xdr:rowOff>-1</xdr:rowOff>
    </xdr:from>
    <xdr:ext cx="3056731" cy="9475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8066485" y="7024687"/>
              <a:ext cx="3056731" cy="9475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l"/>
              <a:r>
                <a:rPr lang="en-US" sz="1100" baseline="0"/>
                <a:t>  µ Berkurang </a:t>
              </a:r>
              <a:r>
                <a:rPr lang="en-US" sz="1100"/>
                <a:t>  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24187 −</m:t>
                      </m:r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𝑧</m:t>
                      </m:r>
                    </m:num>
                    <m:den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24187−6347</m:t>
                      </m:r>
                    </m:den>
                  </m:f>
                </m:oMath>
              </a14:m>
              <a:endParaRPr lang="en-US" sz="1100"/>
            </a:p>
            <a:p>
              <a:pPr algn="l"/>
              <a:r>
                <a:rPr lang="en-US" sz="1100"/>
                <a:t>	= 24187</a:t>
              </a:r>
              <a:r>
                <a:rPr lang="en-US" sz="1100" baseline="0"/>
                <a:t> - </a:t>
              </a:r>
              <a:r>
                <a:rPr lang="en-US" sz="1100"/>
                <a:t>(24187</a:t>
              </a:r>
              <a:r>
                <a:rPr lang="en-US" sz="1100" baseline="0"/>
                <a:t> - 6347)*0,40</a:t>
              </a:r>
            </a:p>
            <a:p>
              <a:pPr algn="l"/>
              <a:r>
                <a:rPr lang="en-US" sz="1100"/>
                <a:t>	=  17028,4796</a:t>
              </a: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8066485" y="7024687"/>
              <a:ext cx="3056731" cy="9475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 algn="l"/>
              <a:r>
                <a:rPr lang="en-US" sz="1100" baseline="0"/>
                <a:t>  µ Berkurang </a:t>
              </a:r>
              <a:r>
                <a:rPr lang="en-US" sz="1100"/>
                <a:t>   =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(24187 −𝑧)/(24187−6347)</a:t>
              </a:r>
              <a:endParaRPr lang="en-US" sz="1100"/>
            </a:p>
            <a:p>
              <a:pPr algn="l"/>
              <a:r>
                <a:rPr lang="en-US" sz="1100"/>
                <a:t>	= 24187</a:t>
              </a:r>
              <a:r>
                <a:rPr lang="en-US" sz="1100" baseline="0"/>
                <a:t> - </a:t>
              </a:r>
              <a:r>
                <a:rPr lang="en-US" sz="1100"/>
                <a:t>(24187</a:t>
              </a:r>
              <a:r>
                <a:rPr lang="en-US" sz="1100" baseline="0"/>
                <a:t> - 6347)*0,40</a:t>
              </a:r>
            </a:p>
            <a:p>
              <a:pPr algn="l"/>
              <a:r>
                <a:rPr lang="en-US" sz="1100"/>
                <a:t>	=  17028,4796</a:t>
              </a:r>
            </a:p>
          </xdr:txBody>
        </xdr:sp>
      </mc:Fallback>
    </mc:AlternateContent>
    <xdr:clientData/>
  </xdr:oneCellAnchor>
  <xdr:oneCellAnchor>
    <xdr:from>
      <xdr:col>17</xdr:col>
      <xdr:colOff>594517</xdr:colOff>
      <xdr:row>25</xdr:row>
      <xdr:rowOff>98425</xdr:rowOff>
    </xdr:from>
    <xdr:ext cx="3433763" cy="15386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1657408" y="4811316"/>
              <a:ext cx="3433763" cy="15386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US" sz="1100" b="0" i="0">
                  <a:latin typeface="+mn-lt"/>
                </a:rPr>
                <a:t>Z*</a:t>
              </a:r>
              <a14:m>
                <m:oMath xmlns:m="http://schemas.openxmlformats.org/officeDocument/2006/math">
                  <m:r>
                    <a:rPr lang="en-US" sz="1100" b="0" i="1">
                      <a:latin typeface="Cambria Math" panose="02040503050406030204" pitchFamily="18" charset="0"/>
                    </a:rPr>
                    <m:t>= </m:t>
                  </m:r>
                  <m:f>
                    <m:fPr>
                      <m:ctrlPr>
                        <a:rPr lang="en-US" sz="11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1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𝑧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1+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2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𝑧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2+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3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𝑧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3+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4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𝑧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4</m:t>
                      </m:r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1+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2+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3+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𝑤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4</m:t>
                      </m:r>
                    </m:den>
                  </m:f>
                </m:oMath>
              </a14:m>
              <a:endParaRPr lang="en-US" sz="1100" b="0"/>
            </a:p>
            <a:p>
              <a:endParaRPr lang="en-US" sz="1100" b="0"/>
            </a:p>
            <a:p>
              <a:pPr algn="l"/>
              <a:r>
                <a:rPr lang="en-US" sz="1100"/>
                <a:t>Z*</a:t>
              </a:r>
              <a:r>
                <a:rPr lang="en-US" sz="1100" baseline="0"/>
                <a:t> </a:t>
              </a:r>
              <a:r>
                <a:rPr lang="en-US" sz="1600" baseline="0"/>
                <a:t>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600" i="1" baseline="0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 baseline="0">
                          <a:latin typeface="Cambria Math" panose="02040503050406030204" pitchFamily="18" charset="0"/>
                        </a:rPr>
                        <m:t>5419,26+5809,57+6832,8878+8027,5992</m:t>
                      </m:r>
                    </m:num>
                    <m:den>
                      <m:r>
                        <a:rPr lang="en-US" sz="1600" b="0" i="1" baseline="0">
                          <a:latin typeface="Cambria Math" panose="02040503050406030204" pitchFamily="18" charset="0"/>
                        </a:rPr>
                        <m:t>0,40+0,42+0,40+0,58</m:t>
                      </m:r>
                    </m:den>
                  </m:f>
                </m:oMath>
              </a14:m>
              <a:endParaRPr lang="en-US" sz="1400"/>
            </a:p>
            <a:p>
              <a:pPr algn="l"/>
              <a:endParaRPr lang="en-US" sz="1400"/>
            </a:p>
            <a:p>
              <a:pPr algn="l"/>
              <a:r>
                <a:rPr lang="en-US" sz="1100"/>
                <a:t>Z* </a:t>
              </a:r>
              <a:r>
                <a:rPr lang="en-US" sz="1400"/>
                <a:t>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400" b="0" i="1">
                          <a:latin typeface="Cambria Math" panose="02040503050406030204" pitchFamily="18" charset="0"/>
                        </a:rPr>
                        <m:t>26089,311</m:t>
                      </m:r>
                    </m:num>
                    <m:den>
                      <m:r>
                        <a:rPr lang="en-US" sz="1400" b="0" i="1">
                          <a:latin typeface="Cambria Math" panose="02040503050406030204" pitchFamily="18" charset="0"/>
                        </a:rPr>
                        <m:t>1,80</m:t>
                      </m:r>
                    </m:den>
                  </m:f>
                  <m:r>
                    <a:rPr lang="en-US" sz="1400" b="0" i="1">
                      <a:latin typeface="Cambria Math" panose="02040503050406030204" pitchFamily="18" charset="0"/>
                    </a:rPr>
                    <m:t>=14473,76</m:t>
                  </m:r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1657408" y="4811316"/>
              <a:ext cx="3433763" cy="15386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+mn-lt"/>
                </a:rPr>
                <a:t>Z*</a:t>
              </a:r>
              <a:r>
                <a:rPr lang="en-US" sz="1100" b="0" i="0">
                  <a:latin typeface="Cambria Math" panose="02040503050406030204" pitchFamily="18" charset="0"/>
                </a:rPr>
                <a:t>=  (𝑤1𝑧1+𝑤2𝑧2+𝑤3𝑧3+𝑤4𝑧4)/(𝑤1+𝑤2+𝑤3+𝑤4)</a:t>
              </a:r>
              <a:endParaRPr lang="en-US" sz="1100" b="0"/>
            </a:p>
            <a:p>
              <a:pPr/>
              <a:endParaRPr lang="en-US" sz="1100" b="0"/>
            </a:p>
            <a:p>
              <a:pPr algn="l"/>
              <a:r>
                <a:rPr lang="en-US" sz="1100"/>
                <a:t>Z*</a:t>
              </a:r>
              <a:r>
                <a:rPr lang="en-US" sz="1100" baseline="0"/>
                <a:t> </a:t>
              </a:r>
              <a:r>
                <a:rPr lang="en-US" sz="1600" baseline="0"/>
                <a:t>= </a:t>
              </a:r>
              <a:r>
                <a:rPr lang="en-US" sz="1600" i="0" baseline="0">
                  <a:latin typeface="Cambria Math" panose="02040503050406030204" pitchFamily="18" charset="0"/>
                </a:rPr>
                <a:t>(</a:t>
              </a:r>
              <a:r>
                <a:rPr lang="en-US" sz="1600" b="0" i="0" baseline="0">
                  <a:latin typeface="Cambria Math" panose="02040503050406030204" pitchFamily="18" charset="0"/>
                </a:rPr>
                <a:t>5419,26+5809,57+6832,8878+8027,5992)/(0,40+0,42+0,40+0,58)</a:t>
              </a:r>
              <a:endParaRPr lang="en-US" sz="1400"/>
            </a:p>
            <a:p>
              <a:pPr algn="l"/>
              <a:endParaRPr lang="en-US" sz="1400"/>
            </a:p>
            <a:p>
              <a:pPr algn="l"/>
              <a:r>
                <a:rPr lang="en-US" sz="1100"/>
                <a:t>Z* </a:t>
              </a:r>
              <a:r>
                <a:rPr lang="en-US" sz="1400"/>
                <a:t>= </a:t>
              </a:r>
              <a:r>
                <a:rPr lang="en-US" sz="1400" b="0" i="0">
                  <a:latin typeface="Cambria Math" panose="02040503050406030204" pitchFamily="18" charset="0"/>
                </a:rPr>
                <a:t>26089,311/1,80=14473,76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55333" y="582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55333" y="582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450761</xdr:colOff>
      <xdr:row>3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202928" y="571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202928" y="571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1214438" y="7730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1214438" y="7730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497064</xdr:colOff>
      <xdr:row>4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5962033" y="7620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5962033" y="7620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227667" y="582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227667" y="5825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323762</xdr:colOff>
      <xdr:row>3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5975262" y="571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5975262" y="5715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6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424545" y="1124404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424545" y="1124404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504640</xdr:colOff>
      <xdr:row>6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172140" y="1113312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172140" y="1113312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6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821656" y="11540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821656" y="1154092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497063</xdr:colOff>
      <xdr:row>6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569251" y="11430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569251" y="1143000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6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843548" y="1178673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843548" y="1178673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445982</xdr:colOff>
      <xdr:row>6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6591143" y="1167581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6591143" y="1167581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</xdr:row>
      <xdr:rowOff>11092</xdr:rowOff>
    </xdr:from>
    <xdr:ext cx="4080989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449286" y="594255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𝐵𝑒𝑟𝑘𝑢𝑟𝑎𝑛𝑔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≤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≤24187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≥6347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449286" y="594255"/>
              <a:ext cx="4080989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𝐵𝑒𝑟𝑘𝑢𝑟𝑎𝑛𝑔= {■8(0;&amp;𝑧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≥24187@(</a:t>
              </a:r>
              <a:r>
                <a:rPr lang="en-US" sz="1100" b="0" i="0">
                  <a:latin typeface="Cambria Math" panose="02040503050406030204" pitchFamily="18" charset="0"/>
                </a:rPr>
                <a:t>24187 −𝑧)/(24187−6347);&amp;6347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≤𝑧 ≤24187@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≥6347)┤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461345</xdr:colOff>
      <xdr:row>3</xdr:row>
      <xdr:rowOff>0</xdr:rowOff>
    </xdr:from>
    <xdr:ext cx="4125745" cy="7631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196881" y="583163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𝑃𝑒𝑟𝑠𝑒𝑑𝑖𝑎𝑎𝑛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𝐵𝑒𝑟𝑡𝑎𝑚𝑏𝑎h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d>
                      <m:dPr>
                        <m:begChr m:val="{"/>
                        <m:endChr m:val=""/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mcs>
                              <m:mc>
                                <m:mcPr>
                                  <m:count m:val="2"/>
                                  <m:mcJc m:val="center"/>
                                </m:mcPr>
                              </m:mc>
                            </m:mcs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m:rPr>
                                  <m:brk m:alnAt="7"/>
                                </m:rP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0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 ≤6347</m:t>
                              </m:r>
                            </m:e>
                          </m:mr>
                          <m:mr>
                            <m:e>
                              <m:f>
                                <m:fPr>
                                  <m:ctrlP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𝑧</m:t>
                                  </m:r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 −6347</m:t>
                                  </m:r>
                                </m:num>
                                <m:den>
                                  <m:r>
                                    <a:rPr lang="en-US" sz="1100" b="0" i="1">
                                      <a:latin typeface="Cambria Math" panose="02040503050406030204" pitchFamily="18" charset="0"/>
                                    </a:rPr>
                                    <m:t>24187 −6347</m:t>
                                  </m:r>
                                </m:den>
                              </m:f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6347 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 ≥24187</m:t>
                              </m:r>
                            </m:e>
                          </m:mr>
                          <m:mr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1;</m:t>
                              </m:r>
                            </m:e>
                            <m:e>
                              <m:r>
                                <a:rPr lang="en-US" sz="1100" b="0" i="1">
                                  <a:latin typeface="Cambria Math" panose="02040503050406030204" pitchFamily="18" charset="0"/>
                                </a:rPr>
                                <m:t>𝑧</m:t>
                              </m:r>
                              <m:r>
                                <a:rPr lang="en-US" sz="1100" b="0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≥24187</m:t>
                              </m:r>
                            </m:e>
                          </m:mr>
                        </m:m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196881" y="583163"/>
              <a:ext cx="4125745" cy="7631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𝑃𝑒𝑟𝑠𝑒𝑑𝑖𝑎𝑎𝑛 𝐵𝑒𝑟𝑡𝑎𝑚𝑏𝑎ℎ= {■8(0;&amp;𝑧 ≤6347@(𝑧 −6347)/(24187 −6347);&amp;6347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≥𝑧 ≥24187@</a:t>
              </a:r>
              <a:r>
                <a:rPr lang="en-US" sz="1100" b="0" i="0">
                  <a:latin typeface="Cambria Math" panose="02040503050406030204" pitchFamily="18" charset="0"/>
                </a:rPr>
                <a:t>1;&amp;𝑧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≥24187)┤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topLeftCell="H18" workbookViewId="0">
      <selection activeCell="I22" sqref="I22"/>
    </sheetView>
  </sheetViews>
  <sheetFormatPr defaultRowHeight="15" x14ac:dyDescent="0.25"/>
  <cols>
    <col min="2" max="2" width="11.85546875" customWidth="1"/>
    <col min="3" max="4" width="11.5703125" bestFit="1" customWidth="1"/>
    <col min="5" max="5" width="10.85546875" bestFit="1" customWidth="1"/>
    <col min="6" max="6" width="11.28515625" bestFit="1" customWidth="1"/>
    <col min="8" max="8" width="13.85546875" customWidth="1"/>
    <col min="10" max="10" width="11.5703125" customWidth="1"/>
    <col min="11" max="11" width="20.5703125" bestFit="1" customWidth="1"/>
    <col min="12" max="12" width="13.140625" bestFit="1" customWidth="1"/>
  </cols>
  <sheetData>
    <row r="1" spans="1:24" hidden="1" x14ac:dyDescent="0.25"/>
    <row r="2" spans="1:24" hidden="1" x14ac:dyDescent="0.25"/>
    <row r="3" spans="1:24" hidden="1" x14ac:dyDescent="0.25"/>
    <row r="4" spans="1:24" hidden="1" x14ac:dyDescent="0.25">
      <c r="A4" s="10"/>
      <c r="B4" s="10"/>
      <c r="C4" s="10"/>
      <c r="D4" s="10"/>
      <c r="E4" s="10"/>
      <c r="F4" s="10"/>
      <c r="G4" s="6"/>
    </row>
    <row r="5" spans="1:24" hidden="1" x14ac:dyDescent="0.25">
      <c r="A5" s="10"/>
      <c r="B5" s="27"/>
      <c r="C5" s="27"/>
      <c r="D5" s="10"/>
      <c r="E5" s="10"/>
      <c r="F5" s="10"/>
      <c r="G5" s="6"/>
      <c r="H5" s="5"/>
    </row>
    <row r="6" spans="1:24" hidden="1" x14ac:dyDescent="0.25">
      <c r="A6" s="10"/>
      <c r="B6" s="27"/>
      <c r="C6" s="28"/>
      <c r="D6" s="28"/>
      <c r="E6" s="29"/>
      <c r="F6" s="10"/>
      <c r="G6" s="7"/>
      <c r="H6" s="5"/>
      <c r="Q6" s="70"/>
      <c r="R6" s="70"/>
      <c r="S6" s="70"/>
      <c r="T6" s="70"/>
      <c r="U6" s="70"/>
      <c r="V6" s="70"/>
      <c r="W6" s="70"/>
      <c r="X6" s="70"/>
    </row>
    <row r="7" spans="1:24" hidden="1" x14ac:dyDescent="0.25">
      <c r="A7" s="10"/>
      <c r="B7" s="27"/>
      <c r="C7" s="28"/>
      <c r="D7" s="28"/>
      <c r="E7" s="29"/>
      <c r="F7" s="10"/>
      <c r="G7" s="7"/>
      <c r="H7" s="5"/>
      <c r="Q7" s="12"/>
      <c r="R7" s="12"/>
    </row>
    <row r="8" spans="1:24" hidden="1" x14ac:dyDescent="0.25">
      <c r="A8" s="10"/>
      <c r="B8" s="27"/>
      <c r="C8" s="28"/>
      <c r="D8" s="28"/>
      <c r="E8" s="29"/>
      <c r="F8" s="10"/>
      <c r="G8" s="7"/>
      <c r="H8" s="5"/>
    </row>
    <row r="9" spans="1:24" hidden="1" x14ac:dyDescent="0.25">
      <c r="A9" s="10"/>
      <c r="B9" s="27"/>
      <c r="C9" s="28"/>
      <c r="D9" s="28"/>
      <c r="E9" s="29"/>
      <c r="F9" s="10"/>
      <c r="G9" s="7"/>
      <c r="H9" s="5"/>
    </row>
    <row r="10" spans="1:24" hidden="1" x14ac:dyDescent="0.25">
      <c r="A10" s="10"/>
      <c r="B10" s="27"/>
      <c r="C10" s="28"/>
      <c r="D10" s="28"/>
      <c r="E10" s="29"/>
      <c r="F10" s="10"/>
      <c r="G10" s="7"/>
      <c r="H10" s="5"/>
    </row>
    <row r="11" spans="1:24" hidden="1" x14ac:dyDescent="0.25">
      <c r="A11" s="10"/>
      <c r="B11" s="27"/>
      <c r="C11" s="28"/>
      <c r="D11" s="28"/>
      <c r="E11" s="29"/>
      <c r="F11" s="10"/>
      <c r="G11" s="7"/>
      <c r="H11" s="5"/>
    </row>
    <row r="12" spans="1:24" hidden="1" x14ac:dyDescent="0.25">
      <c r="A12" s="10"/>
      <c r="B12" s="27"/>
      <c r="C12" s="28"/>
      <c r="D12" s="28"/>
      <c r="E12" s="29"/>
      <c r="F12" s="10"/>
      <c r="G12" s="7"/>
      <c r="H12" s="5"/>
    </row>
    <row r="13" spans="1:24" hidden="1" x14ac:dyDescent="0.25">
      <c r="A13" s="10"/>
      <c r="B13" s="27"/>
      <c r="C13" s="28"/>
      <c r="D13" s="28"/>
      <c r="E13" s="29"/>
      <c r="F13" s="10"/>
      <c r="G13" s="7"/>
      <c r="H13" s="5"/>
    </row>
    <row r="14" spans="1:24" hidden="1" x14ac:dyDescent="0.25">
      <c r="A14" s="10"/>
      <c r="B14" s="27"/>
      <c r="C14" s="28"/>
      <c r="D14" s="28"/>
      <c r="E14" s="29"/>
      <c r="F14" s="10"/>
      <c r="G14" s="7"/>
      <c r="H14" s="5"/>
    </row>
    <row r="15" spans="1:24" hidden="1" x14ac:dyDescent="0.25">
      <c r="A15" s="10"/>
      <c r="B15" s="27"/>
      <c r="C15" s="28"/>
      <c r="D15" s="28"/>
      <c r="E15" s="29"/>
      <c r="F15" s="10"/>
      <c r="G15" s="7"/>
      <c r="H15" s="5"/>
    </row>
    <row r="16" spans="1:24" hidden="1" x14ac:dyDescent="0.25">
      <c r="A16" s="10"/>
      <c r="B16" s="27"/>
      <c r="C16" s="28"/>
      <c r="D16" s="28"/>
      <c r="E16" s="29"/>
      <c r="F16" s="10"/>
      <c r="G16" s="7"/>
      <c r="H16" s="5"/>
    </row>
    <row r="17" spans="1:17" hidden="1" x14ac:dyDescent="0.25">
      <c r="A17" s="10"/>
      <c r="B17" s="27"/>
      <c r="C17" s="28"/>
      <c r="D17" s="28"/>
      <c r="E17" s="29"/>
      <c r="F17" s="10"/>
      <c r="G17" s="7"/>
      <c r="H17" s="5"/>
    </row>
    <row r="18" spans="1:17" x14ac:dyDescent="0.25">
      <c r="H18" s="5"/>
    </row>
    <row r="19" spans="1:17" x14ac:dyDescent="0.25">
      <c r="H19" s="5"/>
    </row>
    <row r="20" spans="1:17" x14ac:dyDescent="0.25">
      <c r="B20" s="10"/>
      <c r="C20" s="10"/>
      <c r="D20" s="10"/>
      <c r="F20" s="26"/>
    </row>
    <row r="21" spans="1:17" x14ac:dyDescent="0.25">
      <c r="B21" s="22" t="s">
        <v>0</v>
      </c>
      <c r="C21" s="22" t="s">
        <v>16</v>
      </c>
      <c r="D21" s="3" t="s">
        <v>13</v>
      </c>
      <c r="E21" s="18" t="s">
        <v>15</v>
      </c>
      <c r="F21" s="10"/>
      <c r="G21" s="27"/>
      <c r="H21" s="27"/>
      <c r="I21" s="10"/>
      <c r="J21" s="26"/>
      <c r="K21" s="70" t="s">
        <v>17</v>
      </c>
      <c r="L21" s="70"/>
      <c r="M21" s="70"/>
      <c r="N21" s="70"/>
      <c r="O21" s="70"/>
    </row>
    <row r="22" spans="1:17" x14ac:dyDescent="0.25">
      <c r="B22" s="22" t="s">
        <v>1</v>
      </c>
      <c r="C22" s="32">
        <v>9871</v>
      </c>
      <c r="D22" s="4">
        <v>12982</v>
      </c>
      <c r="E22" s="19">
        <v>24187</v>
      </c>
      <c r="F22" s="36"/>
      <c r="G22" s="27"/>
      <c r="I22" s="28"/>
      <c r="J22" s="35"/>
      <c r="K22" t="s">
        <v>18</v>
      </c>
      <c r="L22">
        <f>C32+C23</f>
        <v>23130</v>
      </c>
      <c r="M22" s="8">
        <f>L22/2</f>
        <v>11565</v>
      </c>
      <c r="P22" t="s">
        <v>100</v>
      </c>
      <c r="Q22">
        <f>E22-D22</f>
        <v>11205</v>
      </c>
    </row>
    <row r="23" spans="1:17" x14ac:dyDescent="0.25">
      <c r="B23" s="22" t="s">
        <v>2</v>
      </c>
      <c r="C23" s="19">
        <v>997</v>
      </c>
      <c r="D23" s="4">
        <v>6356</v>
      </c>
      <c r="E23" s="4">
        <v>21076</v>
      </c>
      <c r="F23" s="36"/>
      <c r="G23" s="27"/>
      <c r="H23" s="34"/>
      <c r="I23" s="28"/>
      <c r="J23" s="28"/>
      <c r="K23" t="s">
        <v>19</v>
      </c>
      <c r="L23">
        <f>D26+D25</f>
        <v>30000</v>
      </c>
      <c r="M23" s="8">
        <f t="shared" ref="M23:M24" si="0">L23/2</f>
        <v>15000</v>
      </c>
      <c r="P23" t="s">
        <v>100</v>
      </c>
      <c r="Q23">
        <f t="shared" ref="Q23:Q33" si="1">E23-D23</f>
        <v>14720</v>
      </c>
    </row>
    <row r="24" spans="1:17" x14ac:dyDescent="0.25">
      <c r="B24" s="22" t="s">
        <v>3</v>
      </c>
      <c r="C24" s="4">
        <v>12038</v>
      </c>
      <c r="D24" s="4">
        <v>17005</v>
      </c>
      <c r="E24" s="4">
        <v>15717</v>
      </c>
      <c r="F24" s="28"/>
      <c r="G24" s="27"/>
      <c r="H24" s="34"/>
      <c r="I24" s="28"/>
      <c r="J24" s="28"/>
      <c r="K24" t="s">
        <v>20</v>
      </c>
      <c r="L24" s="1">
        <f>E26+E22</f>
        <v>30534</v>
      </c>
      <c r="M24" s="8">
        <f t="shared" si="0"/>
        <v>15267</v>
      </c>
      <c r="P24" t="s">
        <v>95</v>
      </c>
      <c r="Q24">
        <f t="shared" si="1"/>
        <v>-1288</v>
      </c>
    </row>
    <row r="25" spans="1:17" x14ac:dyDescent="0.25">
      <c r="B25" s="22" t="s">
        <v>4</v>
      </c>
      <c r="C25" s="32">
        <v>20816</v>
      </c>
      <c r="D25" s="19">
        <v>25219</v>
      </c>
      <c r="E25" s="4">
        <v>10750</v>
      </c>
      <c r="F25" s="28"/>
      <c r="G25" s="27"/>
      <c r="H25" s="34"/>
      <c r="I25" s="35"/>
      <c r="J25" s="28"/>
      <c r="P25" t="s">
        <v>95</v>
      </c>
      <c r="Q25">
        <f t="shared" si="1"/>
        <v>-14469</v>
      </c>
    </row>
    <row r="26" spans="1:17" x14ac:dyDescent="0.25">
      <c r="B26" s="22" t="s">
        <v>5</v>
      </c>
      <c r="C26" s="4">
        <v>11002</v>
      </c>
      <c r="D26" s="19">
        <v>4781</v>
      </c>
      <c r="E26" s="19">
        <v>6347</v>
      </c>
      <c r="F26" s="37"/>
      <c r="G26" s="27"/>
      <c r="H26" s="34"/>
      <c r="I26" s="35"/>
      <c r="J26" s="28"/>
      <c r="P26" t="s">
        <v>100</v>
      </c>
      <c r="Q26">
        <f t="shared" si="1"/>
        <v>1566</v>
      </c>
    </row>
    <row r="27" spans="1:17" x14ac:dyDescent="0.25">
      <c r="B27" s="22" t="s">
        <v>6</v>
      </c>
      <c r="C27" s="4">
        <v>9122</v>
      </c>
      <c r="D27" s="4">
        <v>7754</v>
      </c>
      <c r="E27" s="4">
        <v>12568</v>
      </c>
      <c r="F27" s="37"/>
      <c r="G27" s="27"/>
      <c r="H27" s="34"/>
      <c r="I27" s="28"/>
      <c r="J27" s="28"/>
      <c r="P27" t="s">
        <v>100</v>
      </c>
      <c r="Q27">
        <f t="shared" si="1"/>
        <v>4814</v>
      </c>
    </row>
    <row r="28" spans="1:17" x14ac:dyDescent="0.25">
      <c r="B28" s="22" t="s">
        <v>7</v>
      </c>
      <c r="C28" s="4">
        <v>13455</v>
      </c>
      <c r="D28" s="4">
        <v>12854</v>
      </c>
      <c r="E28" s="4">
        <v>17258</v>
      </c>
      <c r="F28" s="37"/>
      <c r="G28" s="27"/>
      <c r="H28" s="34"/>
      <c r="I28" s="28"/>
      <c r="J28" s="28"/>
      <c r="P28" t="s">
        <v>100</v>
      </c>
      <c r="Q28">
        <f t="shared" si="1"/>
        <v>4404</v>
      </c>
    </row>
    <row r="29" spans="1:17" x14ac:dyDescent="0.25">
      <c r="B29" s="22" t="s">
        <v>8</v>
      </c>
      <c r="C29" s="50">
        <v>22123</v>
      </c>
      <c r="D29" s="4">
        <v>15002</v>
      </c>
      <c r="E29" s="4">
        <v>17859</v>
      </c>
      <c r="F29" s="37"/>
      <c r="G29" s="27"/>
      <c r="H29" s="34"/>
      <c r="I29" s="28"/>
      <c r="J29" s="28"/>
      <c r="K29" t="s">
        <v>90</v>
      </c>
      <c r="L29">
        <f>MAX(E22:E33)</f>
        <v>24187</v>
      </c>
      <c r="P29" t="s">
        <v>100</v>
      </c>
      <c r="Q29">
        <f t="shared" si="1"/>
        <v>2857</v>
      </c>
    </row>
    <row r="30" spans="1:17" x14ac:dyDescent="0.25">
      <c r="B30" s="22" t="s">
        <v>9</v>
      </c>
      <c r="C30" s="4">
        <v>14027</v>
      </c>
      <c r="D30" s="4">
        <v>22102</v>
      </c>
      <c r="E30" s="4">
        <v>20429</v>
      </c>
      <c r="F30" s="37"/>
      <c r="G30" s="27"/>
      <c r="H30" s="34"/>
      <c r="I30" s="28"/>
      <c r="J30" s="28"/>
      <c r="K30" t="s">
        <v>91</v>
      </c>
      <c r="L30">
        <f>MIN(E22:E33)</f>
        <v>6347</v>
      </c>
      <c r="P30" t="s">
        <v>95</v>
      </c>
      <c r="Q30">
        <f t="shared" si="1"/>
        <v>-1673</v>
      </c>
    </row>
    <row r="31" spans="1:17" x14ac:dyDescent="0.25">
      <c r="B31" s="22" t="s">
        <v>10</v>
      </c>
      <c r="C31" s="32">
        <v>8371</v>
      </c>
      <c r="D31" s="4">
        <v>14009</v>
      </c>
      <c r="E31" s="50">
        <v>16905</v>
      </c>
      <c r="F31" s="38"/>
      <c r="G31" s="27"/>
      <c r="H31" s="34"/>
      <c r="I31" s="28"/>
      <c r="J31" s="28"/>
      <c r="L31">
        <f>SUM(L29:L30)</f>
        <v>30534</v>
      </c>
      <c r="P31" t="s">
        <v>100</v>
      </c>
      <c r="Q31">
        <f t="shared" si="1"/>
        <v>2896</v>
      </c>
    </row>
    <row r="32" spans="1:17" x14ac:dyDescent="0.25">
      <c r="B32" s="22" t="s">
        <v>11</v>
      </c>
      <c r="C32" s="19">
        <v>22133</v>
      </c>
      <c r="D32" s="4">
        <v>16456</v>
      </c>
      <c r="E32" s="4">
        <v>11267</v>
      </c>
      <c r="F32" s="37"/>
      <c r="G32" s="27"/>
      <c r="H32" s="34"/>
      <c r="I32" s="28"/>
      <c r="J32" s="28"/>
      <c r="L32">
        <f>L29-L30</f>
        <v>17840</v>
      </c>
      <c r="P32" t="s">
        <v>95</v>
      </c>
      <c r="Q32">
        <f t="shared" si="1"/>
        <v>-5189</v>
      </c>
    </row>
    <row r="33" spans="2:17" x14ac:dyDescent="0.25">
      <c r="B33" s="22" t="s">
        <v>12</v>
      </c>
      <c r="C33" s="4">
        <v>11726</v>
      </c>
      <c r="D33" s="4">
        <v>6903</v>
      </c>
      <c r="E33" s="4">
        <v>16944</v>
      </c>
      <c r="F33" s="37"/>
      <c r="G33" s="27"/>
      <c r="H33" s="34"/>
      <c r="I33" s="28"/>
      <c r="J33" s="28"/>
      <c r="P33" t="s">
        <v>100</v>
      </c>
      <c r="Q33">
        <f t="shared" si="1"/>
        <v>10041</v>
      </c>
    </row>
    <row r="34" spans="2:17" x14ac:dyDescent="0.25">
      <c r="C34">
        <f>SUM(C22:C33)</f>
        <v>155681</v>
      </c>
      <c r="D34">
        <f t="shared" ref="D34:E34" si="2">SUM(D22:D33)</f>
        <v>161423</v>
      </c>
      <c r="E34">
        <f t="shared" si="2"/>
        <v>191307</v>
      </c>
      <c r="H34" s="34"/>
    </row>
    <row r="35" spans="2:17" x14ac:dyDescent="0.25">
      <c r="Q35">
        <f>SUM(Q22:Q34)</f>
        <v>29884</v>
      </c>
    </row>
    <row r="37" spans="2:17" x14ac:dyDescent="0.25">
      <c r="B37" s="74" t="s">
        <v>21</v>
      </c>
      <c r="C37" s="75"/>
      <c r="D37" s="76"/>
      <c r="E37" s="71" t="s">
        <v>22</v>
      </c>
      <c r="F37" s="72"/>
      <c r="G37" s="30"/>
      <c r="H37" s="74" t="s">
        <v>28</v>
      </c>
      <c r="I37" s="75"/>
      <c r="J37" s="76"/>
      <c r="K37" s="73" t="s">
        <v>29</v>
      </c>
      <c r="L37" s="72"/>
    </row>
    <row r="38" spans="2:17" x14ac:dyDescent="0.25">
      <c r="B38" s="39" t="s">
        <v>23</v>
      </c>
      <c r="C38" s="36">
        <f>MAX(C22:C33)</f>
        <v>22133</v>
      </c>
      <c r="D38" s="36"/>
      <c r="E38" s="36" t="s">
        <v>24</v>
      </c>
      <c r="F38" s="40">
        <f>MIN(C22:C33)</f>
        <v>997</v>
      </c>
      <c r="G38" s="30"/>
      <c r="H38" s="39" t="s">
        <v>23</v>
      </c>
      <c r="I38" s="36">
        <f>MAX(D22:D33)</f>
        <v>25219</v>
      </c>
      <c r="J38" s="36"/>
      <c r="K38" s="36" t="s">
        <v>24</v>
      </c>
      <c r="L38" s="40">
        <f>MIN(D22:D33)</f>
        <v>4781</v>
      </c>
    </row>
    <row r="39" spans="2:17" x14ac:dyDescent="0.25">
      <c r="B39" s="39"/>
      <c r="C39" s="36"/>
      <c r="D39" s="36"/>
      <c r="E39" s="36"/>
      <c r="F39" s="40"/>
      <c r="G39" s="30"/>
      <c r="H39" s="39"/>
      <c r="I39" s="36"/>
      <c r="J39" s="36"/>
      <c r="K39" s="36"/>
      <c r="L39" s="40"/>
    </row>
    <row r="40" spans="2:17" x14ac:dyDescent="0.25">
      <c r="B40" s="23"/>
      <c r="C40" s="23" t="s">
        <v>26</v>
      </c>
      <c r="D40" s="23" t="s">
        <v>27</v>
      </c>
      <c r="E40" s="36"/>
      <c r="F40" s="40">
        <f>C38+F38</f>
        <v>23130</v>
      </c>
      <c r="G40" s="30"/>
      <c r="H40" s="23"/>
      <c r="I40" s="23" t="s">
        <v>30</v>
      </c>
      <c r="J40" s="23" t="s">
        <v>31</v>
      </c>
      <c r="K40" s="36"/>
      <c r="L40" s="40">
        <f>I38+L38</f>
        <v>30000</v>
      </c>
    </row>
    <row r="41" spans="2:17" x14ac:dyDescent="0.25">
      <c r="B41" s="23" t="s">
        <v>25</v>
      </c>
      <c r="C41" s="52">
        <f t="shared" ref="C41:C52" si="3" xml:space="preserve"> ($C$38-C22)/($C$38-$F$38)</f>
        <v>0.58014761544284632</v>
      </c>
      <c r="D41" s="52">
        <f t="shared" ref="D41:D52" si="4">(C22-$F$38)/($C$38-$F$38)</f>
        <v>0.41985238455715368</v>
      </c>
      <c r="E41" s="36"/>
      <c r="F41" s="40"/>
      <c r="G41" s="30"/>
      <c r="H41" s="23" t="s">
        <v>25</v>
      </c>
      <c r="I41" s="52">
        <f t="shared" ref="I41:I51" si="5">($I$38-D22)/($I$38-$L$38)</f>
        <v>0.59873764556218811</v>
      </c>
      <c r="J41" s="52">
        <f t="shared" ref="J41:J51" si="6">(D22-$L$38)/($I$38-$L$38)</f>
        <v>0.40126235443781194</v>
      </c>
      <c r="K41" s="36"/>
      <c r="L41" s="40"/>
    </row>
    <row r="42" spans="2:17" x14ac:dyDescent="0.25">
      <c r="B42" s="31" t="s">
        <v>2</v>
      </c>
      <c r="C42" s="52">
        <f t="shared" si="3"/>
        <v>1</v>
      </c>
      <c r="D42" s="52">
        <f t="shared" si="4"/>
        <v>0</v>
      </c>
      <c r="E42" s="36"/>
      <c r="F42" s="40"/>
      <c r="G42" s="30"/>
      <c r="H42" s="31" t="s">
        <v>2</v>
      </c>
      <c r="I42" s="52">
        <f t="shared" si="5"/>
        <v>0.92293766513357467</v>
      </c>
      <c r="J42" s="52">
        <f t="shared" si="6"/>
        <v>7.7062334866425289E-2</v>
      </c>
      <c r="K42" s="36"/>
      <c r="L42" s="40"/>
    </row>
    <row r="43" spans="2:17" x14ac:dyDescent="0.25">
      <c r="B43" s="31" t="s">
        <v>3</v>
      </c>
      <c r="C43" s="52">
        <f t="shared" si="3"/>
        <v>0.47762112036336107</v>
      </c>
      <c r="D43" s="52">
        <f t="shared" si="4"/>
        <v>0.52237887963663887</v>
      </c>
      <c r="E43" s="36"/>
      <c r="F43" s="40"/>
      <c r="G43" s="30"/>
      <c r="H43" s="31" t="s">
        <v>3</v>
      </c>
      <c r="I43" s="52">
        <f t="shared" si="5"/>
        <v>0.40189842450337604</v>
      </c>
      <c r="J43" s="52">
        <f t="shared" si="6"/>
        <v>0.59810157549662391</v>
      </c>
      <c r="K43" s="36"/>
      <c r="L43" s="40"/>
    </row>
    <row r="44" spans="2:17" x14ac:dyDescent="0.25">
      <c r="B44" s="31" t="s">
        <v>4</v>
      </c>
      <c r="C44" s="52">
        <f t="shared" si="3"/>
        <v>6.2310749432248298E-2</v>
      </c>
      <c r="D44" s="52">
        <f t="shared" si="4"/>
        <v>0.93768925056775165</v>
      </c>
      <c r="E44" s="36"/>
      <c r="F44" s="40"/>
      <c r="G44" s="30"/>
      <c r="H44" s="31" t="s">
        <v>4</v>
      </c>
      <c r="I44" s="52">
        <f t="shared" si="5"/>
        <v>0</v>
      </c>
      <c r="J44" s="52">
        <f t="shared" si="6"/>
        <v>1</v>
      </c>
      <c r="K44" s="36"/>
      <c r="L44" s="40">
        <f>I38-L38</f>
        <v>20438</v>
      </c>
    </row>
    <row r="45" spans="2:17" x14ac:dyDescent="0.25">
      <c r="B45" s="31" t="s">
        <v>5</v>
      </c>
      <c r="C45" s="52">
        <f t="shared" si="3"/>
        <v>0.52663701741105229</v>
      </c>
      <c r="D45" s="52">
        <f t="shared" si="4"/>
        <v>0.47336298258894777</v>
      </c>
      <c r="E45" s="36"/>
      <c r="F45" s="40"/>
      <c r="G45" s="30"/>
      <c r="H45" s="31" t="s">
        <v>5</v>
      </c>
      <c r="I45" s="52">
        <f t="shared" si="5"/>
        <v>1</v>
      </c>
      <c r="J45" s="52">
        <f t="shared" si="6"/>
        <v>0</v>
      </c>
      <c r="K45" s="36"/>
      <c r="L45" s="40"/>
    </row>
    <row r="46" spans="2:17" x14ac:dyDescent="0.25">
      <c r="B46" s="31" t="s">
        <v>6</v>
      </c>
      <c r="C46" s="52">
        <f t="shared" si="3"/>
        <v>0.61558478425435281</v>
      </c>
      <c r="D46" s="52">
        <f t="shared" si="4"/>
        <v>0.38441521574564724</v>
      </c>
      <c r="E46" s="36"/>
      <c r="F46" s="40"/>
      <c r="G46" s="30"/>
      <c r="H46" s="31" t="s">
        <v>6</v>
      </c>
      <c r="I46" s="52">
        <f t="shared" si="5"/>
        <v>0.85453566885213816</v>
      </c>
      <c r="J46" s="52">
        <f t="shared" si="6"/>
        <v>0.14546433114786184</v>
      </c>
      <c r="K46" s="36"/>
      <c r="L46" s="40"/>
    </row>
    <row r="47" spans="2:17" x14ac:dyDescent="0.25">
      <c r="B47" s="31" t="s">
        <v>7</v>
      </c>
      <c r="C47" s="52">
        <f t="shared" si="3"/>
        <v>0.41057910673732023</v>
      </c>
      <c r="D47" s="52">
        <f t="shared" si="4"/>
        <v>0.58942089326267977</v>
      </c>
      <c r="E47" s="36"/>
      <c r="F47" s="40"/>
      <c r="G47" s="30"/>
      <c r="H47" s="31" t="s">
        <v>7</v>
      </c>
      <c r="I47" s="52">
        <f t="shared" si="5"/>
        <v>0.60500048928466577</v>
      </c>
      <c r="J47" s="52">
        <f t="shared" si="6"/>
        <v>0.39499951071533418</v>
      </c>
      <c r="K47" s="36"/>
      <c r="L47" s="40"/>
    </row>
    <row r="48" spans="2:17" x14ac:dyDescent="0.25">
      <c r="B48" s="31" t="s">
        <v>8</v>
      </c>
      <c r="C48" s="52">
        <f t="shared" si="3"/>
        <v>4.7312641937925814E-4</v>
      </c>
      <c r="D48" s="52">
        <f t="shared" si="4"/>
        <v>0.99952687358062076</v>
      </c>
      <c r="E48" s="36"/>
      <c r="F48" s="40"/>
      <c r="G48" s="30"/>
      <c r="H48" s="31" t="s">
        <v>8</v>
      </c>
      <c r="I48" s="52">
        <f t="shared" si="5"/>
        <v>0.49990214306683628</v>
      </c>
      <c r="J48" s="52">
        <f t="shared" si="6"/>
        <v>0.50009785693316366</v>
      </c>
      <c r="K48" s="36"/>
      <c r="L48" s="40"/>
    </row>
    <row r="49" spans="2:12" x14ac:dyDescent="0.25">
      <c r="B49" s="31" t="s">
        <v>9</v>
      </c>
      <c r="C49" s="52">
        <f t="shared" si="3"/>
        <v>0.38351627554882667</v>
      </c>
      <c r="D49" s="52">
        <f t="shared" si="4"/>
        <v>0.61648372445117339</v>
      </c>
      <c r="E49" s="36"/>
      <c r="F49" s="40"/>
      <c r="G49" s="30"/>
      <c r="H49" s="31" t="s">
        <v>9</v>
      </c>
      <c r="I49" s="52">
        <f t="shared" si="5"/>
        <v>0.15251003033564928</v>
      </c>
      <c r="J49" s="52">
        <f t="shared" si="6"/>
        <v>0.84748996966435075</v>
      </c>
      <c r="K49" s="36"/>
      <c r="L49" s="40"/>
    </row>
    <row r="50" spans="2:12" x14ac:dyDescent="0.25">
      <c r="B50" s="31" t="s">
        <v>10</v>
      </c>
      <c r="C50" s="52">
        <f t="shared" si="3"/>
        <v>0.65111657834973502</v>
      </c>
      <c r="D50" s="52">
        <f t="shared" si="4"/>
        <v>0.34888342165026492</v>
      </c>
      <c r="E50" s="36"/>
      <c r="F50" s="40"/>
      <c r="G50" s="30"/>
      <c r="H50" s="31" t="s">
        <v>10</v>
      </c>
      <c r="I50" s="52">
        <f t="shared" si="5"/>
        <v>0.54848811038262058</v>
      </c>
      <c r="J50" s="52">
        <f t="shared" si="6"/>
        <v>0.45151188961737937</v>
      </c>
      <c r="K50" s="36"/>
      <c r="L50" s="40"/>
    </row>
    <row r="51" spans="2:12" x14ac:dyDescent="0.25">
      <c r="B51" s="31" t="s">
        <v>11</v>
      </c>
      <c r="C51" s="52">
        <f t="shared" si="3"/>
        <v>0</v>
      </c>
      <c r="D51" s="52">
        <f t="shared" si="4"/>
        <v>1</v>
      </c>
      <c r="E51" s="36"/>
      <c r="F51" s="40"/>
      <c r="G51" s="30"/>
      <c r="H51" s="31" t="s">
        <v>11</v>
      </c>
      <c r="I51" s="52">
        <f t="shared" si="5"/>
        <v>0.42876015265681572</v>
      </c>
      <c r="J51" s="52">
        <f t="shared" si="6"/>
        <v>0.57123984734318423</v>
      </c>
      <c r="K51" s="36"/>
      <c r="L51" s="40"/>
    </row>
    <row r="52" spans="2:12" x14ac:dyDescent="0.25">
      <c r="B52" s="31" t="s">
        <v>12</v>
      </c>
      <c r="C52" s="52">
        <f t="shared" si="3"/>
        <v>0.49238266464799396</v>
      </c>
      <c r="D52" s="52">
        <f t="shared" si="4"/>
        <v>0.50761733535200604</v>
      </c>
      <c r="E52" s="41"/>
      <c r="F52" s="42"/>
      <c r="G52" s="30"/>
      <c r="H52" s="31" t="s">
        <v>12</v>
      </c>
      <c r="I52" s="52">
        <f t="shared" ref="I52" si="7">($I$38-D33)/($I$38-$L$38)</f>
        <v>0.89617379391329877</v>
      </c>
      <c r="J52" s="52">
        <f t="shared" ref="J52" si="8">(D33-$L$38)/($I$38-$L$38)</f>
        <v>0.10382620608670125</v>
      </c>
      <c r="K52" s="41"/>
      <c r="L52" s="42"/>
    </row>
    <row r="55" spans="2:12" x14ac:dyDescent="0.25">
      <c r="B55" s="43" t="s">
        <v>101</v>
      </c>
      <c r="C55" s="70" t="s">
        <v>22</v>
      </c>
      <c r="D55" s="70"/>
      <c r="H55" s="43" t="s">
        <v>101</v>
      </c>
      <c r="I55" s="70" t="s">
        <v>29</v>
      </c>
      <c r="J55" s="70"/>
    </row>
    <row r="56" spans="2:12" x14ac:dyDescent="0.25">
      <c r="B56" s="25" t="s">
        <v>25</v>
      </c>
      <c r="C56" t="s">
        <v>102</v>
      </c>
      <c r="H56" s="25" t="s">
        <v>25</v>
      </c>
      <c r="I56" t="s">
        <v>119</v>
      </c>
    </row>
    <row r="60" spans="2:12" x14ac:dyDescent="0.25">
      <c r="C60" t="s">
        <v>103</v>
      </c>
      <c r="I60" t="s">
        <v>120</v>
      </c>
    </row>
  </sheetData>
  <mergeCells count="8">
    <mergeCell ref="K21:O21"/>
    <mergeCell ref="Q6:X6"/>
    <mergeCell ref="C55:D55"/>
    <mergeCell ref="I55:J55"/>
    <mergeCell ref="E37:F37"/>
    <mergeCell ref="K37:L37"/>
    <mergeCell ref="B37:D37"/>
    <mergeCell ref="H37:J37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B61" workbookViewId="0">
      <selection activeCell="C60" sqref="C60:G82"/>
    </sheetView>
  </sheetViews>
  <sheetFormatPr defaultRowHeight="15" x14ac:dyDescent="0.25"/>
  <cols>
    <col min="15" max="15" width="13.140625" bestFit="1" customWidth="1"/>
    <col min="17" max="17" width="15.140625" bestFit="1" customWidth="1"/>
    <col min="18" max="18" width="12" bestFit="1" customWidth="1"/>
  </cols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</row>
    <row r="14" spans="3:18" x14ac:dyDescent="0.25">
      <c r="C14" s="14" t="s">
        <v>43</v>
      </c>
      <c r="D14" s="12">
        <f>database!D49</f>
        <v>0.61648372445117339</v>
      </c>
      <c r="E14" s="12">
        <f>database!J49</f>
        <v>0.84748996966435075</v>
      </c>
    </row>
    <row r="15" spans="3:18" x14ac:dyDescent="0.25">
      <c r="C15" t="s">
        <v>35</v>
      </c>
      <c r="D15" s="12">
        <f>MIN(D14:E14)</f>
        <v>0.61648372445117339</v>
      </c>
      <c r="M15" s="70" t="s">
        <v>50</v>
      </c>
      <c r="N15" s="70"/>
      <c r="O15" s="70"/>
      <c r="P15" s="70"/>
      <c r="Q15" s="70"/>
    </row>
    <row r="16" spans="3:18" x14ac:dyDescent="0.25">
      <c r="C16" t="s">
        <v>44</v>
      </c>
      <c r="D16">
        <f>D15*(database!L29-database!L30)+database!L30</f>
        <v>17345.069644208932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3:18" x14ac:dyDescent="0.25">
      <c r="C17" t="s">
        <v>45</v>
      </c>
      <c r="D17">
        <f>D16*D15</f>
        <v>10692.953135126911</v>
      </c>
      <c r="M17" t="s">
        <v>55</v>
      </c>
      <c r="N17" s="12">
        <f>D14</f>
        <v>0.61648372445117339</v>
      </c>
      <c r="O17" s="12">
        <f>E14</f>
        <v>0.84748996966435075</v>
      </c>
      <c r="P17" s="12">
        <f>MIN(N17:O17)</f>
        <v>0.61648372445117339</v>
      </c>
      <c r="Q17">
        <f>D16</f>
        <v>17345.069644208932</v>
      </c>
      <c r="R17">
        <f>D17</f>
        <v>10692.953135126911</v>
      </c>
    </row>
    <row r="18" spans="3:18" x14ac:dyDescent="0.25">
      <c r="M18" t="s">
        <v>56</v>
      </c>
      <c r="N18" s="12">
        <f>D21</f>
        <v>0.61648372445117339</v>
      </c>
      <c r="O18" s="12">
        <f>E21</f>
        <v>0.15251003033564928</v>
      </c>
      <c r="P18" s="12">
        <f t="shared" ref="P18:P20" si="0">MIN(N18:O18)</f>
        <v>0.15251003033564928</v>
      </c>
      <c r="Q18">
        <f>D23</f>
        <v>9067.7789411879821</v>
      </c>
      <c r="R18">
        <f>D24</f>
        <v>1382.9272413975409</v>
      </c>
    </row>
    <row r="19" spans="3:18" x14ac:dyDescent="0.25">
      <c r="M19" t="s">
        <v>60</v>
      </c>
      <c r="N19" s="12">
        <f>D28</f>
        <v>0.38351627554882667</v>
      </c>
      <c r="O19" s="12">
        <f>E28</f>
        <v>0.84748996966435075</v>
      </c>
      <c r="P19" s="12">
        <f t="shared" si="0"/>
        <v>0.38351627554882667</v>
      </c>
      <c r="Q19">
        <f>D30</f>
        <v>17345.069644208932</v>
      </c>
      <c r="R19">
        <f>D31</f>
        <v>6652.1165090820214</v>
      </c>
    </row>
    <row r="20" spans="3:18" x14ac:dyDescent="0.25">
      <c r="C20" t="s">
        <v>37</v>
      </c>
      <c r="D20" t="s">
        <v>36</v>
      </c>
      <c r="M20" t="s">
        <v>61</v>
      </c>
      <c r="N20" s="12">
        <f>D34</f>
        <v>0.38351627554882667</v>
      </c>
      <c r="O20" s="12">
        <f>E34</f>
        <v>0.15251003033564928</v>
      </c>
      <c r="P20" s="12">
        <f t="shared" si="0"/>
        <v>0.15251003033564928</v>
      </c>
      <c r="Q20">
        <f>D36</f>
        <v>21466.221058812018</v>
      </c>
      <c r="R20">
        <f>D37</f>
        <v>3273.8140248711743</v>
      </c>
    </row>
    <row r="21" spans="3:18" x14ac:dyDescent="0.25">
      <c r="C21" s="14" t="s">
        <v>43</v>
      </c>
      <c r="D21" s="12">
        <f>database!D49</f>
        <v>0.61648372445117339</v>
      </c>
      <c r="E21" s="12">
        <f>database!I49</f>
        <v>0.15251003033564928</v>
      </c>
      <c r="P21" s="12">
        <f>SUM(P17:P20)</f>
        <v>1.3050200606712985</v>
      </c>
      <c r="R21">
        <f>SUM(R17:R20)</f>
        <v>22001.810910477649</v>
      </c>
    </row>
    <row r="22" spans="3:18" x14ac:dyDescent="0.25">
      <c r="C22" t="s">
        <v>35</v>
      </c>
      <c r="D22" s="12">
        <f>MIN(D21:E21)</f>
        <v>0.15251003033564928</v>
      </c>
    </row>
    <row r="23" spans="3:18" x14ac:dyDescent="0.25">
      <c r="C23" t="s">
        <v>46</v>
      </c>
      <c r="D23">
        <f>D22*(database!L29-database!L30)+database!L30</f>
        <v>9067.7789411879821</v>
      </c>
    </row>
    <row r="24" spans="3:18" x14ac:dyDescent="0.25">
      <c r="C24" t="s">
        <v>47</v>
      </c>
      <c r="D24">
        <f>D23*D22</f>
        <v>1382.9272413975409</v>
      </c>
      <c r="M24" t="s">
        <v>65</v>
      </c>
      <c r="Q24">
        <f>R21/P21</f>
        <v>16859.366053852063</v>
      </c>
    </row>
    <row r="25" spans="3:18" x14ac:dyDescent="0.25">
      <c r="H25" s="11"/>
      <c r="I25" s="11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12">
        <f>database!C49</f>
        <v>0.38351627554882667</v>
      </c>
      <c r="E28" s="12">
        <f>database!J49</f>
        <v>0.84748996966435075</v>
      </c>
    </row>
    <row r="29" spans="3:18" x14ac:dyDescent="0.25">
      <c r="C29" t="s">
        <v>39</v>
      </c>
      <c r="D29" s="12">
        <f>MIN(D28:E28)</f>
        <v>0.38351627554882667</v>
      </c>
    </row>
    <row r="30" spans="3:18" x14ac:dyDescent="0.25">
      <c r="C30" t="s">
        <v>58</v>
      </c>
      <c r="D30">
        <f>database!L29 - (database!L29-database!L30)*D29</f>
        <v>17345.069644208932</v>
      </c>
    </row>
    <row r="31" spans="3:18" x14ac:dyDescent="0.25">
      <c r="C31" t="s">
        <v>59</v>
      </c>
      <c r="D31">
        <f>D30*D29</f>
        <v>6652.1165090820214</v>
      </c>
    </row>
    <row r="33" spans="3:5" x14ac:dyDescent="0.25">
      <c r="C33" t="s">
        <v>40</v>
      </c>
      <c r="D33" t="s">
        <v>41</v>
      </c>
    </row>
    <row r="34" spans="3:5" x14ac:dyDescent="0.25">
      <c r="C34" s="14" t="s">
        <v>43</v>
      </c>
      <c r="D34" s="12">
        <f>database!C49</f>
        <v>0.38351627554882667</v>
      </c>
      <c r="E34" s="12">
        <f>database!I49</f>
        <v>0.15251003033564928</v>
      </c>
    </row>
    <row r="35" spans="3:5" x14ac:dyDescent="0.25">
      <c r="C35" t="s">
        <v>39</v>
      </c>
      <c r="D35" s="12">
        <f>MIN(D34:E34)</f>
        <v>0.15251003033564928</v>
      </c>
    </row>
    <row r="36" spans="3:5" x14ac:dyDescent="0.25">
      <c r="C36" t="s">
        <v>48</v>
      </c>
      <c r="D36">
        <f>database!L29 - (database!L29-database!L30)*D35</f>
        <v>21466.221058812018</v>
      </c>
    </row>
    <row r="37" spans="3:5" x14ac:dyDescent="0.25">
      <c r="C37" t="s">
        <v>49</v>
      </c>
      <c r="D37">
        <f>D36*D35</f>
        <v>3273.8140248711743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5:Q1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A48" zoomScale="96" zoomScaleNormal="96" workbookViewId="0">
      <selection activeCell="C60" sqref="C60:G82"/>
    </sheetView>
  </sheetViews>
  <sheetFormatPr defaultRowHeight="15" x14ac:dyDescent="0.25"/>
  <cols>
    <col min="15" max="15" width="13.140625" bestFit="1" customWidth="1"/>
    <col min="17" max="17" width="15.140625" bestFit="1" customWidth="1"/>
    <col min="18" max="18" width="12" bestFit="1" customWidth="1"/>
  </cols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</row>
    <row r="14" spans="3:18" x14ac:dyDescent="0.25">
      <c r="C14" s="14" t="s">
        <v>43</v>
      </c>
      <c r="D14" s="12">
        <f>database!D50</f>
        <v>0.34888342165026492</v>
      </c>
      <c r="E14" s="12">
        <f>database!J50</f>
        <v>0.45151188961737937</v>
      </c>
    </row>
    <row r="15" spans="3:18" x14ac:dyDescent="0.25">
      <c r="C15" t="s">
        <v>35</v>
      </c>
      <c r="D15" s="12">
        <f>MIN(D14:E14)</f>
        <v>0.34888342165026492</v>
      </c>
      <c r="M15" s="70" t="s">
        <v>50</v>
      </c>
      <c r="N15" s="70"/>
      <c r="O15" s="70"/>
      <c r="P15" s="70"/>
      <c r="Q15" s="70"/>
    </row>
    <row r="16" spans="3:18" x14ac:dyDescent="0.25">
      <c r="C16" t="s">
        <v>44</v>
      </c>
      <c r="D16">
        <f>D15*(database!L29-database!L30)+database!L30</f>
        <v>12571.080242240725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3:18" x14ac:dyDescent="0.25">
      <c r="C17" t="s">
        <v>45</v>
      </c>
      <c r="D17">
        <f>D16*D15</f>
        <v>4385.8414887529852</v>
      </c>
      <c r="M17" t="s">
        <v>55</v>
      </c>
      <c r="N17" s="12">
        <f>D14</f>
        <v>0.34888342165026492</v>
      </c>
      <c r="O17" s="12">
        <f>E14</f>
        <v>0.45151188961737937</v>
      </c>
      <c r="P17" s="12">
        <f>MIN(N17:O17)</f>
        <v>0.34888342165026492</v>
      </c>
      <c r="Q17">
        <f>D16</f>
        <v>12571.080242240725</v>
      </c>
      <c r="R17">
        <f>D17</f>
        <v>4385.8414887529852</v>
      </c>
    </row>
    <row r="18" spans="3:18" x14ac:dyDescent="0.25">
      <c r="M18" t="s">
        <v>56</v>
      </c>
      <c r="N18" s="12">
        <f>D21</f>
        <v>0.34888342165026492</v>
      </c>
      <c r="O18" s="12">
        <f>E21</f>
        <v>0.45151188961737937</v>
      </c>
      <c r="P18" s="12">
        <f t="shared" ref="P18:P20" si="0">MIN(N18:O18)</f>
        <v>0.34888342165026492</v>
      </c>
      <c r="Q18">
        <f>D23</f>
        <v>12571.080242240725</v>
      </c>
      <c r="R18">
        <f>D24</f>
        <v>4385.8414887529852</v>
      </c>
    </row>
    <row r="19" spans="3:18" x14ac:dyDescent="0.25">
      <c r="M19" t="s">
        <v>60</v>
      </c>
      <c r="N19" s="12">
        <f>D28</f>
        <v>0.65111657834973502</v>
      </c>
      <c r="O19" s="12">
        <f>E28</f>
        <v>0.54848811038262058</v>
      </c>
      <c r="P19" s="12">
        <f t="shared" si="0"/>
        <v>0.54848811038262058</v>
      </c>
      <c r="Q19">
        <f>D30</f>
        <v>14401.97211077405</v>
      </c>
      <c r="R19">
        <f>D31</f>
        <v>7899.3104688216599</v>
      </c>
    </row>
    <row r="20" spans="3:18" x14ac:dyDescent="0.25">
      <c r="C20" t="s">
        <v>37</v>
      </c>
      <c r="D20" t="s">
        <v>36</v>
      </c>
      <c r="M20" t="s">
        <v>61</v>
      </c>
      <c r="N20" s="12">
        <f>D35</f>
        <v>0.65111657834973502</v>
      </c>
      <c r="O20" s="12">
        <f>E35</f>
        <v>0.45151188961737937</v>
      </c>
      <c r="P20" s="12">
        <f t="shared" si="0"/>
        <v>0.45151188961737937</v>
      </c>
      <c r="Q20">
        <f>D37</f>
        <v>16132.027889225952</v>
      </c>
      <c r="R20">
        <f>D38</f>
        <v>7283.8023956246734</v>
      </c>
    </row>
    <row r="21" spans="3:18" x14ac:dyDescent="0.25">
      <c r="C21" s="14" t="s">
        <v>43</v>
      </c>
      <c r="D21" s="12">
        <f>database!D50</f>
        <v>0.34888342165026492</v>
      </c>
      <c r="E21" s="12">
        <f>database!J50</f>
        <v>0.45151188961737937</v>
      </c>
      <c r="P21" s="12">
        <f>SUM(P17:P20)</f>
        <v>1.6977668433005297</v>
      </c>
      <c r="R21">
        <f>SUM(R17:R20)</f>
        <v>23954.795841952302</v>
      </c>
    </row>
    <row r="22" spans="3:18" x14ac:dyDescent="0.25">
      <c r="C22" t="s">
        <v>35</v>
      </c>
      <c r="D22" s="12">
        <f>MIN(D21:E21)</f>
        <v>0.34888342165026492</v>
      </c>
    </row>
    <row r="23" spans="3:18" x14ac:dyDescent="0.25">
      <c r="C23" t="s">
        <v>46</v>
      </c>
      <c r="D23">
        <f>D22*(database!L29-database!L30)+database!L30</f>
        <v>12571.080242240725</v>
      </c>
    </row>
    <row r="24" spans="3:18" x14ac:dyDescent="0.25">
      <c r="C24" t="s">
        <v>47</v>
      </c>
      <c r="D24">
        <f>D23*D22</f>
        <v>4385.8414887529852</v>
      </c>
      <c r="M24" t="s">
        <v>65</v>
      </c>
      <c r="Q24">
        <f>R21/P21</f>
        <v>14109.591041007243</v>
      </c>
    </row>
    <row r="25" spans="3:18" x14ac:dyDescent="0.25">
      <c r="H25" s="16"/>
      <c r="I25" s="16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12">
        <f>database!C50</f>
        <v>0.65111657834973502</v>
      </c>
      <c r="E28" s="12">
        <f>database!I50</f>
        <v>0.54848811038262058</v>
      </c>
    </row>
    <row r="29" spans="3:18" x14ac:dyDescent="0.25">
      <c r="C29" t="s">
        <v>39</v>
      </c>
      <c r="D29" s="12">
        <f>MIN(D28:E28)</f>
        <v>0.54848811038262058</v>
      </c>
    </row>
    <row r="30" spans="3:18" x14ac:dyDescent="0.25">
      <c r="C30" t="s">
        <v>58</v>
      </c>
      <c r="D30">
        <f>database!L29 - (database!L29-database!L30)*D29</f>
        <v>14401.97211077405</v>
      </c>
    </row>
    <row r="31" spans="3:18" x14ac:dyDescent="0.25">
      <c r="C31" t="s">
        <v>59</v>
      </c>
      <c r="D31">
        <f>D30*D29</f>
        <v>7899.3104688216599</v>
      </c>
    </row>
    <row r="34" spans="3:5" x14ac:dyDescent="0.25">
      <c r="C34" t="s">
        <v>40</v>
      </c>
      <c r="D34" t="s">
        <v>41</v>
      </c>
    </row>
    <row r="35" spans="3:5" x14ac:dyDescent="0.25">
      <c r="C35" s="14" t="s">
        <v>43</v>
      </c>
      <c r="D35" s="12">
        <f>database!C50</f>
        <v>0.65111657834973502</v>
      </c>
      <c r="E35" s="12">
        <f>database!J50</f>
        <v>0.45151188961737937</v>
      </c>
    </row>
    <row r="36" spans="3:5" x14ac:dyDescent="0.25">
      <c r="C36" t="s">
        <v>39</v>
      </c>
      <c r="D36" s="12">
        <f>MIN(D35:E35)</f>
        <v>0.45151188961737937</v>
      </c>
    </row>
    <row r="37" spans="3:5" x14ac:dyDescent="0.25">
      <c r="C37" t="s">
        <v>48</v>
      </c>
      <c r="D37">
        <f>database!L29 - (database!L29-database!L30)*D36</f>
        <v>16132.027889225952</v>
      </c>
    </row>
    <row r="38" spans="3:5" x14ac:dyDescent="0.25">
      <c r="C38" t="s">
        <v>49</v>
      </c>
      <c r="D38">
        <f>D37*D36</f>
        <v>7283.8023956246734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5:Q1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A49" workbookViewId="0">
      <selection activeCell="C60" sqref="C60:F82"/>
    </sheetView>
  </sheetViews>
  <sheetFormatPr defaultRowHeight="15" x14ac:dyDescent="0.25"/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</row>
    <row r="14" spans="3:18" x14ac:dyDescent="0.25">
      <c r="C14" s="14" t="s">
        <v>43</v>
      </c>
      <c r="D14" s="12">
        <f>database!D51</f>
        <v>1</v>
      </c>
      <c r="E14" s="12">
        <f>database!J51</f>
        <v>0.57123984734318423</v>
      </c>
    </row>
    <row r="15" spans="3:18" x14ac:dyDescent="0.25">
      <c r="C15" t="s">
        <v>35</v>
      </c>
      <c r="D15" s="12">
        <f>MIN(D14:E14)</f>
        <v>0.57123984734318423</v>
      </c>
      <c r="M15" s="70" t="s">
        <v>50</v>
      </c>
      <c r="N15" s="70"/>
      <c r="O15" s="70"/>
      <c r="P15" s="70"/>
      <c r="Q15" s="70"/>
    </row>
    <row r="16" spans="3:18" x14ac:dyDescent="0.25">
      <c r="C16" t="s">
        <v>44</v>
      </c>
      <c r="D16">
        <f>D15*(database!L29-database!L30)+database!L30</f>
        <v>16537.918876602409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3:18" x14ac:dyDescent="0.25">
      <c r="C17" t="s">
        <v>45</v>
      </c>
      <c r="D17">
        <f>D16*D15</f>
        <v>9447.1182544443254</v>
      </c>
      <c r="M17" t="s">
        <v>55</v>
      </c>
      <c r="N17" s="12">
        <f>D14</f>
        <v>1</v>
      </c>
      <c r="O17" s="12">
        <f>E14</f>
        <v>0.57123984734318423</v>
      </c>
      <c r="P17" s="12">
        <f>MIN(N17:O17)</f>
        <v>0.57123984734318423</v>
      </c>
      <c r="Q17">
        <f>D16</f>
        <v>16537.918876602409</v>
      </c>
      <c r="R17">
        <f>D17</f>
        <v>9447.1182544443254</v>
      </c>
    </row>
    <row r="18" spans="3:18" x14ac:dyDescent="0.25">
      <c r="M18" t="s">
        <v>56</v>
      </c>
      <c r="N18" s="12">
        <f>D21</f>
        <v>1</v>
      </c>
      <c r="O18" s="12">
        <f>E21</f>
        <v>0.42876015265681572</v>
      </c>
      <c r="P18" s="12">
        <f t="shared" ref="P18:P20" si="0">MIN(N18:O18)</f>
        <v>0.42876015265681572</v>
      </c>
      <c r="Q18">
        <f>D23</f>
        <v>13996.081123397593</v>
      </c>
      <c r="R18">
        <f>D24</f>
        <v>6000.9618790651284</v>
      </c>
    </row>
    <row r="19" spans="3:18" x14ac:dyDescent="0.25">
      <c r="M19" t="s">
        <v>60</v>
      </c>
      <c r="N19" s="12">
        <f>D28</f>
        <v>0</v>
      </c>
      <c r="O19" s="12">
        <f>E28</f>
        <v>0.57123984734318423</v>
      </c>
      <c r="P19" s="12">
        <f t="shared" si="0"/>
        <v>0</v>
      </c>
      <c r="Q19">
        <f>D30</f>
        <v>24187</v>
      </c>
      <c r="R19">
        <f>D31</f>
        <v>0</v>
      </c>
    </row>
    <row r="20" spans="3:18" x14ac:dyDescent="0.25">
      <c r="C20" t="s">
        <v>37</v>
      </c>
      <c r="D20" t="s">
        <v>36</v>
      </c>
      <c r="M20" t="s">
        <v>61</v>
      </c>
      <c r="N20" s="12">
        <f>D35</f>
        <v>0</v>
      </c>
      <c r="O20" s="12">
        <f>E35</f>
        <v>0.42876015265681572</v>
      </c>
      <c r="P20" s="12">
        <f t="shared" si="0"/>
        <v>0</v>
      </c>
      <c r="Q20">
        <f>D37</f>
        <v>24187</v>
      </c>
      <c r="R20">
        <f>D38</f>
        <v>0</v>
      </c>
    </row>
    <row r="21" spans="3:18" x14ac:dyDescent="0.25">
      <c r="C21" s="14" t="s">
        <v>43</v>
      </c>
      <c r="D21" s="12">
        <f>database!D51</f>
        <v>1</v>
      </c>
      <c r="E21" s="12">
        <f>database!I51</f>
        <v>0.42876015265681572</v>
      </c>
      <c r="P21" s="12">
        <f>SUM(P17:P20)</f>
        <v>1</v>
      </c>
      <c r="R21">
        <f>SUM(R17:R20)</f>
        <v>15448.080133509455</v>
      </c>
    </row>
    <row r="22" spans="3:18" x14ac:dyDescent="0.25">
      <c r="C22" t="s">
        <v>35</v>
      </c>
      <c r="D22" s="12">
        <f>MIN(D21:E21)</f>
        <v>0.42876015265681572</v>
      </c>
    </row>
    <row r="23" spans="3:18" x14ac:dyDescent="0.25">
      <c r="C23" t="s">
        <v>46</v>
      </c>
      <c r="D23">
        <f>D22*(database!L29-database!L30)+database!L30</f>
        <v>13996.081123397593</v>
      </c>
    </row>
    <row r="24" spans="3:18" x14ac:dyDescent="0.25">
      <c r="C24" t="s">
        <v>47</v>
      </c>
      <c r="D24">
        <f>D23*D22</f>
        <v>6000.9618790651284</v>
      </c>
      <c r="M24" t="s">
        <v>65</v>
      </c>
      <c r="Q24">
        <f>R21/P21</f>
        <v>15448.080133509455</v>
      </c>
    </row>
    <row r="25" spans="3:18" x14ac:dyDescent="0.25">
      <c r="H25" s="16"/>
      <c r="I25" s="16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12">
        <f>database!C51</f>
        <v>0</v>
      </c>
      <c r="E28" s="12">
        <f>database!J51</f>
        <v>0.57123984734318423</v>
      </c>
    </row>
    <row r="29" spans="3:18" x14ac:dyDescent="0.25">
      <c r="C29" t="s">
        <v>39</v>
      </c>
      <c r="D29" s="12">
        <f>MIN(D28:E28)</f>
        <v>0</v>
      </c>
    </row>
    <row r="30" spans="3:18" x14ac:dyDescent="0.25">
      <c r="C30" t="s">
        <v>58</v>
      </c>
      <c r="D30">
        <f>database!L29 - (database!L29-database!L30)*D29</f>
        <v>24187</v>
      </c>
    </row>
    <row r="31" spans="3:18" x14ac:dyDescent="0.25">
      <c r="C31" t="s">
        <v>59</v>
      </c>
      <c r="D31">
        <f>D30*D29</f>
        <v>0</v>
      </c>
    </row>
    <row r="34" spans="3:5" x14ac:dyDescent="0.25">
      <c r="C34" t="s">
        <v>40</v>
      </c>
      <c r="D34" t="s">
        <v>41</v>
      </c>
    </row>
    <row r="35" spans="3:5" x14ac:dyDescent="0.25">
      <c r="C35" s="14" t="s">
        <v>43</v>
      </c>
      <c r="D35" s="12">
        <f>database!C51</f>
        <v>0</v>
      </c>
      <c r="E35" s="12">
        <f>database!I51</f>
        <v>0.42876015265681572</v>
      </c>
    </row>
    <row r="36" spans="3:5" x14ac:dyDescent="0.25">
      <c r="C36" t="s">
        <v>39</v>
      </c>
      <c r="D36" s="12">
        <f>MIN(D35:E35)</f>
        <v>0</v>
      </c>
    </row>
    <row r="37" spans="3:5" x14ac:dyDescent="0.25">
      <c r="C37" t="s">
        <v>48</v>
      </c>
      <c r="D37">
        <f>database!L29 - (database!L29-database!L30)*D36</f>
        <v>24187</v>
      </c>
    </row>
    <row r="38" spans="3:5" x14ac:dyDescent="0.25">
      <c r="C38" t="s">
        <v>49</v>
      </c>
      <c r="D38">
        <f>D37*D36</f>
        <v>0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5:Q1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A49" workbookViewId="0">
      <selection activeCell="C60" sqref="C60:G82"/>
    </sheetView>
  </sheetViews>
  <sheetFormatPr defaultRowHeight="15" x14ac:dyDescent="0.25"/>
  <cols>
    <col min="15" max="15" width="13.140625" bestFit="1" customWidth="1"/>
    <col min="17" max="17" width="15.140625" bestFit="1" customWidth="1"/>
    <col min="18" max="18" width="12" bestFit="1" customWidth="1"/>
  </cols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  <c r="N13" s="12"/>
      <c r="O13" s="12"/>
      <c r="P13" s="12"/>
    </row>
    <row r="14" spans="3:18" x14ac:dyDescent="0.25">
      <c r="C14" s="14" t="s">
        <v>43</v>
      </c>
      <c r="D14" s="12">
        <f>database!D52</f>
        <v>0.50761733535200604</v>
      </c>
      <c r="E14" s="12">
        <f>database!J52</f>
        <v>0.10382620608670125</v>
      </c>
      <c r="N14" s="12"/>
      <c r="O14" s="12"/>
      <c r="P14" s="12"/>
    </row>
    <row r="15" spans="3:18" x14ac:dyDescent="0.25">
      <c r="C15" t="s">
        <v>35</v>
      </c>
      <c r="D15" s="12">
        <f>MIN(D14:E14)</f>
        <v>0.10382620608670125</v>
      </c>
      <c r="M15" s="70" t="s">
        <v>50</v>
      </c>
      <c r="N15" s="70"/>
      <c r="O15" s="70"/>
      <c r="P15" s="70"/>
      <c r="Q15" s="70"/>
    </row>
    <row r="16" spans="3:18" x14ac:dyDescent="0.25">
      <c r="C16" t="s">
        <v>44</v>
      </c>
      <c r="D16">
        <f>D15*(database!L29-database!L30)+database!L30</f>
        <v>8199.2595165867497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3:18" x14ac:dyDescent="0.25">
      <c r="C17" t="s">
        <v>45</v>
      </c>
      <c r="D17">
        <f>D16*D15</f>
        <v>851.29800832748231</v>
      </c>
      <c r="M17" t="s">
        <v>55</v>
      </c>
      <c r="N17" s="12">
        <f>D14</f>
        <v>0.50761733535200604</v>
      </c>
      <c r="O17" s="12">
        <f>E14</f>
        <v>0.10382620608670125</v>
      </c>
      <c r="P17" s="12">
        <f>MIN(N17:O17)</f>
        <v>0.10382620608670125</v>
      </c>
      <c r="Q17">
        <f>D16</f>
        <v>8199.2595165867497</v>
      </c>
      <c r="R17">
        <f>D17</f>
        <v>851.29800832748231</v>
      </c>
    </row>
    <row r="18" spans="3:18" x14ac:dyDescent="0.25">
      <c r="M18" t="s">
        <v>93</v>
      </c>
      <c r="N18" s="12">
        <f>D21</f>
        <v>0.50761733535200604</v>
      </c>
      <c r="O18" s="12">
        <f>E21</f>
        <v>0.89617379391329877</v>
      </c>
      <c r="P18" s="12">
        <f t="shared" ref="P18:P20" si="0">MIN(N18:O18)</f>
        <v>0.50761733535200604</v>
      </c>
      <c r="Q18">
        <f>D23</f>
        <v>15402.893262679787</v>
      </c>
      <c r="R18">
        <f>D24</f>
        <v>7818.7756347128798</v>
      </c>
    </row>
    <row r="19" spans="3:18" x14ac:dyDescent="0.25">
      <c r="M19" t="s">
        <v>56</v>
      </c>
      <c r="N19" s="12">
        <f>D28</f>
        <v>0.49238266464799396</v>
      </c>
      <c r="O19" s="12">
        <f>E28</f>
        <v>0.10382620608670125</v>
      </c>
      <c r="P19" s="12">
        <f t="shared" si="0"/>
        <v>0.10382620608670125</v>
      </c>
      <c r="Q19">
        <f>D30</f>
        <v>22334.74048341325</v>
      </c>
      <c r="R19">
        <f>D31</f>
        <v>2318.9313683238538</v>
      </c>
    </row>
    <row r="20" spans="3:18" x14ac:dyDescent="0.25">
      <c r="C20" t="s">
        <v>37</v>
      </c>
      <c r="D20" t="s">
        <v>36</v>
      </c>
      <c r="M20" t="s">
        <v>94</v>
      </c>
      <c r="N20" s="12">
        <f>D35</f>
        <v>0.49238266464799396</v>
      </c>
      <c r="O20" s="12">
        <f>E35</f>
        <v>0.89617379391329877</v>
      </c>
      <c r="P20" s="12">
        <f t="shared" si="0"/>
        <v>0.49238266464799396</v>
      </c>
      <c r="Q20">
        <f>D37</f>
        <v>15402.893262679787</v>
      </c>
      <c r="R20">
        <f>D38</f>
        <v>7584.1176279669071</v>
      </c>
    </row>
    <row r="21" spans="3:18" x14ac:dyDescent="0.25">
      <c r="C21" s="14" t="s">
        <v>43</v>
      </c>
      <c r="D21" s="12">
        <f>database!D52</f>
        <v>0.50761733535200604</v>
      </c>
      <c r="E21" s="12">
        <f>database!I52</f>
        <v>0.89617379391329877</v>
      </c>
      <c r="P21" s="12">
        <f>SUM(P13:P20)</f>
        <v>1.2076524121734025</v>
      </c>
      <c r="R21">
        <f>SUM(R13:R20)</f>
        <v>18573.122639331123</v>
      </c>
    </row>
    <row r="22" spans="3:18" x14ac:dyDescent="0.25">
      <c r="C22" t="s">
        <v>35</v>
      </c>
      <c r="D22" s="12">
        <f>MIN(D21:E21)</f>
        <v>0.50761733535200604</v>
      </c>
    </row>
    <row r="23" spans="3:18" x14ac:dyDescent="0.25">
      <c r="C23" t="s">
        <v>46</v>
      </c>
      <c r="D23">
        <f>D22*(database!L29-database!L30)+database!L30</f>
        <v>15402.893262679787</v>
      </c>
    </row>
    <row r="24" spans="3:18" x14ac:dyDescent="0.25">
      <c r="C24" t="s">
        <v>47</v>
      </c>
      <c r="D24">
        <f>D23*D22</f>
        <v>7818.7756347128798</v>
      </c>
      <c r="M24" t="s">
        <v>65</v>
      </c>
      <c r="Q24">
        <f>R21/P21</f>
        <v>15379.526801014888</v>
      </c>
    </row>
    <row r="25" spans="3:18" x14ac:dyDescent="0.25">
      <c r="H25" s="16"/>
      <c r="I25" s="16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12">
        <f>database!C52</f>
        <v>0.49238266464799396</v>
      </c>
      <c r="E28" s="12">
        <f>database!J52</f>
        <v>0.10382620608670125</v>
      </c>
    </row>
    <row r="29" spans="3:18" x14ac:dyDescent="0.25">
      <c r="C29" t="s">
        <v>39</v>
      </c>
      <c r="D29" s="12">
        <f>MIN(D28:E28)</f>
        <v>0.10382620608670125</v>
      </c>
    </row>
    <row r="30" spans="3:18" x14ac:dyDescent="0.25">
      <c r="C30" t="s">
        <v>58</v>
      </c>
      <c r="D30">
        <f>database!L29 - (database!L29-database!L30)*D29</f>
        <v>22334.74048341325</v>
      </c>
    </row>
    <row r="31" spans="3:18" x14ac:dyDescent="0.25">
      <c r="C31" t="s">
        <v>59</v>
      </c>
      <c r="D31">
        <f>D30*D29</f>
        <v>2318.9313683238538</v>
      </c>
    </row>
    <row r="34" spans="3:5" x14ac:dyDescent="0.25">
      <c r="C34" t="s">
        <v>40</v>
      </c>
      <c r="D34" t="s">
        <v>41</v>
      </c>
    </row>
    <row r="35" spans="3:5" x14ac:dyDescent="0.25">
      <c r="C35" s="14" t="s">
        <v>43</v>
      </c>
      <c r="D35" s="12">
        <f>database!C52</f>
        <v>0.49238266464799396</v>
      </c>
      <c r="E35" s="12">
        <f>database!I52</f>
        <v>0.89617379391329877</v>
      </c>
    </row>
    <row r="36" spans="3:5" x14ac:dyDescent="0.25">
      <c r="C36" t="s">
        <v>39</v>
      </c>
      <c r="D36" s="12">
        <f>MIN(D35:E35)</f>
        <v>0.49238266464799396</v>
      </c>
    </row>
    <row r="37" spans="3:5" x14ac:dyDescent="0.25">
      <c r="C37" t="s">
        <v>48</v>
      </c>
      <c r="D37">
        <f>database!L29 - (database!L29-database!L30)*D36</f>
        <v>15402.893262679787</v>
      </c>
    </row>
    <row r="38" spans="3:5" x14ac:dyDescent="0.25">
      <c r="C38" t="s">
        <v>49</v>
      </c>
      <c r="D38">
        <f>D37*D36</f>
        <v>7584.1176279669071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5:Q1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22"/>
  <sheetViews>
    <sheetView topLeftCell="B1" workbookViewId="0">
      <selection activeCell="G6" sqref="G6"/>
    </sheetView>
  </sheetViews>
  <sheetFormatPr defaultRowHeight="15" x14ac:dyDescent="0.25"/>
  <cols>
    <col min="2" max="2" width="10.7109375" bestFit="1" customWidth="1"/>
    <col min="4" max="4" width="11.28515625" bestFit="1" customWidth="1"/>
    <col min="5" max="5" width="12.140625" bestFit="1" customWidth="1"/>
    <col min="6" max="6" width="11.28515625" bestFit="1" customWidth="1"/>
    <col min="7" max="7" width="17.85546875" bestFit="1" customWidth="1"/>
    <col min="8" max="8" width="16.42578125" bestFit="1" customWidth="1"/>
    <col min="9" max="9" width="12.140625" bestFit="1" customWidth="1"/>
    <col min="10" max="10" width="11.42578125" bestFit="1" customWidth="1"/>
    <col min="11" max="12" width="12.7109375" bestFit="1" customWidth="1"/>
    <col min="13" max="13" width="11" bestFit="1" customWidth="1"/>
  </cols>
  <sheetData>
    <row r="4" spans="2:18" x14ac:dyDescent="0.25">
      <c r="B4" s="77" t="s">
        <v>67</v>
      </c>
      <c r="C4" s="77" t="s">
        <v>16</v>
      </c>
      <c r="D4" s="77" t="s">
        <v>13</v>
      </c>
      <c r="E4" s="77" t="s">
        <v>69</v>
      </c>
      <c r="F4" s="59"/>
      <c r="G4" s="58" t="s">
        <v>68</v>
      </c>
      <c r="H4" s="57" t="s">
        <v>117</v>
      </c>
      <c r="I4" s="8"/>
      <c r="J4" s="58" t="s">
        <v>96</v>
      </c>
      <c r="K4" s="58" t="s">
        <v>98</v>
      </c>
      <c r="L4" s="58" t="s">
        <v>98</v>
      </c>
      <c r="M4" s="65" t="s">
        <v>95</v>
      </c>
      <c r="N4" s="64" t="s">
        <v>118</v>
      </c>
    </row>
    <row r="5" spans="2:18" x14ac:dyDescent="0.25">
      <c r="B5" s="78"/>
      <c r="C5" s="78"/>
      <c r="D5" s="78"/>
      <c r="E5" s="78"/>
      <c r="F5" s="8"/>
      <c r="G5" s="58" t="s">
        <v>70</v>
      </c>
      <c r="H5" s="57" t="s">
        <v>116</v>
      </c>
      <c r="I5" s="8"/>
      <c r="J5" s="58" t="s">
        <v>97</v>
      </c>
      <c r="K5" s="58" t="s">
        <v>99</v>
      </c>
      <c r="L5" s="58" t="s">
        <v>116</v>
      </c>
      <c r="M5" s="2">
        <f>E6/D6</f>
        <v>1.863118163611154</v>
      </c>
      <c r="N5" s="2">
        <f>D6/E6</f>
        <v>0.53673460950097163</v>
      </c>
      <c r="O5" s="63">
        <f>N5-M5</f>
        <v>-1.3263835541101825</v>
      </c>
      <c r="P5" s="2">
        <f t="shared" ref="P5:P17" si="0">H6/D6</f>
        <v>1.0759758341711601</v>
      </c>
      <c r="Q5" s="2">
        <f t="shared" ref="Q5:Q17" si="1">D6/H6</f>
        <v>0.92938890283750164</v>
      </c>
      <c r="R5" s="63">
        <f t="shared" ref="R5:R17" si="2">P5-Q5</f>
        <v>0.14658693133365841</v>
      </c>
    </row>
    <row r="6" spans="2:18" x14ac:dyDescent="0.25">
      <c r="B6" s="15" t="s">
        <v>25</v>
      </c>
      <c r="C6" s="4">
        <f>database!C22</f>
        <v>9871</v>
      </c>
      <c r="D6" s="4">
        <f>database!D22</f>
        <v>12982</v>
      </c>
      <c r="E6" s="21">
        <f>database!E22</f>
        <v>24187</v>
      </c>
      <c r="G6" s="60">
        <f>'Bulan Januari'!Q27</f>
        <v>14473.760688239176</v>
      </c>
      <c r="H6" s="54">
        <v>13968.31827921</v>
      </c>
      <c r="J6" s="45">
        <f t="shared" ref="J6:J17" si="3">E6-D6</f>
        <v>11205</v>
      </c>
      <c r="K6" s="45">
        <f>G6-D6</f>
        <v>1491.7606882391756</v>
      </c>
      <c r="L6" s="33">
        <f t="shared" ref="L6:L17" si="4">H6-D6</f>
        <v>986.31827920999967</v>
      </c>
      <c r="M6" s="2">
        <f t="shared" ref="M6:M17" si="5">E7/D7</f>
        <v>3.315921963499056</v>
      </c>
      <c r="N6" s="2">
        <f>D7/E7</f>
        <v>0.30157525147086733</v>
      </c>
      <c r="O6" s="63">
        <f t="shared" ref="O6:O17" si="6">N6-M6</f>
        <v>-3.0143467120281886</v>
      </c>
      <c r="P6" s="2">
        <f t="shared" si="0"/>
        <v>1.9058475703650095</v>
      </c>
      <c r="Q6" s="2">
        <f t="shared" si="1"/>
        <v>0.52470093387819006</v>
      </c>
      <c r="R6" s="63">
        <f t="shared" si="2"/>
        <v>1.3811466364868195</v>
      </c>
    </row>
    <row r="7" spans="2:18" x14ac:dyDescent="0.25">
      <c r="B7" s="15" t="s">
        <v>2</v>
      </c>
      <c r="C7" s="4">
        <f>database!C23</f>
        <v>997</v>
      </c>
      <c r="D7" s="4">
        <f>database!D23</f>
        <v>6356</v>
      </c>
      <c r="E7" s="21">
        <f>database!E23</f>
        <v>21076</v>
      </c>
      <c r="G7" s="60">
        <f>FEB!Q24</f>
        <v>8884.6947367573321</v>
      </c>
      <c r="H7" s="55">
        <v>12113.567157240001</v>
      </c>
      <c r="J7" s="45">
        <f t="shared" si="3"/>
        <v>14720</v>
      </c>
      <c r="K7" s="45">
        <f t="shared" ref="K7:K17" si="7">G7-D7</f>
        <v>2528.6947367573321</v>
      </c>
      <c r="L7" s="33">
        <f t="shared" si="4"/>
        <v>5757.5671572400006</v>
      </c>
      <c r="M7" s="2">
        <f>E8/D8</f>
        <v>0.92425757130255803</v>
      </c>
      <c r="N7" s="2">
        <f t="shared" ref="N7:N15" si="8">D8/E8</f>
        <v>1.0819494814532036</v>
      </c>
      <c r="O7" s="63">
        <f t="shared" si="6"/>
        <v>0.15769191015064554</v>
      </c>
      <c r="P7" s="2">
        <f t="shared" si="0"/>
        <v>0.90996043592237574</v>
      </c>
      <c r="Q7" s="2">
        <f t="shared" si="1"/>
        <v>1.0989488779106711</v>
      </c>
      <c r="R7" s="63">
        <f t="shared" si="2"/>
        <v>-0.18898844198829534</v>
      </c>
    </row>
    <row r="8" spans="2:18" x14ac:dyDescent="0.25">
      <c r="B8" s="15" t="s">
        <v>3</v>
      </c>
      <c r="C8" s="4">
        <f>database!C24</f>
        <v>12038</v>
      </c>
      <c r="D8" s="4">
        <f>database!D24</f>
        <v>17005</v>
      </c>
      <c r="E8" s="21">
        <f>database!E24</f>
        <v>15717</v>
      </c>
      <c r="G8" s="60">
        <f>MAR!Q22</f>
        <v>15488.332692169561</v>
      </c>
      <c r="H8" s="55">
        <v>15473.877212859999</v>
      </c>
      <c r="J8" s="45">
        <f t="shared" si="3"/>
        <v>-1288</v>
      </c>
      <c r="K8" s="45">
        <f t="shared" si="7"/>
        <v>-1516.6673078304393</v>
      </c>
      <c r="L8" s="33">
        <f t="shared" si="4"/>
        <v>-1531.1227871400006</v>
      </c>
      <c r="M8" s="2">
        <f>E9/D9</f>
        <v>0.426265910622943</v>
      </c>
      <c r="N8" s="2">
        <f t="shared" si="8"/>
        <v>2.3459534883720932</v>
      </c>
      <c r="O8" s="63">
        <f t="shared" si="6"/>
        <v>1.9196875777491502</v>
      </c>
      <c r="P8" s="2">
        <f t="shared" si="0"/>
        <v>0.69408589361592443</v>
      </c>
      <c r="Q8" s="2">
        <f t="shared" si="1"/>
        <v>1.4407438750705319</v>
      </c>
      <c r="R8" s="63">
        <f t="shared" si="2"/>
        <v>-0.74665798145460749</v>
      </c>
    </row>
    <row r="9" spans="2:18" x14ac:dyDescent="0.25">
      <c r="B9" s="15" t="s">
        <v>4</v>
      </c>
      <c r="C9" s="4">
        <f>database!C25</f>
        <v>20816</v>
      </c>
      <c r="D9" s="4">
        <f>database!D25</f>
        <v>25219</v>
      </c>
      <c r="E9" s="21">
        <f>database!E25</f>
        <v>10750</v>
      </c>
      <c r="G9" s="60">
        <f>APRIL!Q24</f>
        <v>23075.376230128688</v>
      </c>
      <c r="H9" s="55">
        <v>17504.152151099999</v>
      </c>
      <c r="J9" s="45">
        <f t="shared" si="3"/>
        <v>-14469</v>
      </c>
      <c r="K9" s="45">
        <f t="shared" si="7"/>
        <v>-2143.6237698713121</v>
      </c>
      <c r="L9" s="33">
        <f t="shared" si="4"/>
        <v>-7714.8478489000008</v>
      </c>
      <c r="M9" s="2">
        <f t="shared" si="5"/>
        <v>1.3275465383810918</v>
      </c>
      <c r="N9" s="2">
        <f>D10/E10</f>
        <v>0.75326926106822123</v>
      </c>
      <c r="O9" s="63">
        <f t="shared" si="6"/>
        <v>-0.57427727731287059</v>
      </c>
      <c r="P9" s="2">
        <f t="shared" si="0"/>
        <v>3.1070782555490482</v>
      </c>
      <c r="Q9" s="2">
        <f t="shared" si="1"/>
        <v>0.32184577205741832</v>
      </c>
      <c r="R9" s="63">
        <f t="shared" si="2"/>
        <v>2.78523248349163</v>
      </c>
    </row>
    <row r="10" spans="2:18" x14ac:dyDescent="0.25">
      <c r="B10" s="15" t="s">
        <v>5</v>
      </c>
      <c r="C10" s="4">
        <f>database!C26</f>
        <v>11002</v>
      </c>
      <c r="D10" s="4">
        <f>database!D26</f>
        <v>4781</v>
      </c>
      <c r="E10" s="21">
        <f>database!E26</f>
        <v>6347</v>
      </c>
      <c r="G10" s="60">
        <f>MEI!Q24</f>
        <v>14791.795609386829</v>
      </c>
      <c r="H10" s="55">
        <v>14854.94113978</v>
      </c>
      <c r="J10" s="45">
        <f t="shared" si="3"/>
        <v>1566</v>
      </c>
      <c r="K10" s="45">
        <f t="shared" si="7"/>
        <v>10010.795609386829</v>
      </c>
      <c r="L10" s="33">
        <f t="shared" si="4"/>
        <v>10073.94113978</v>
      </c>
      <c r="M10" s="2">
        <f t="shared" si="5"/>
        <v>1.6208408563322156</v>
      </c>
      <c r="N10" s="2">
        <f>D11/E11</f>
        <v>0.61696371737746658</v>
      </c>
      <c r="O10" s="63">
        <f t="shared" si="6"/>
        <v>-1.0038771389547492</v>
      </c>
      <c r="P10" s="2">
        <f t="shared" si="0"/>
        <v>1.8179943755906629</v>
      </c>
      <c r="Q10" s="2">
        <f t="shared" si="1"/>
        <v>0.55005670722996702</v>
      </c>
      <c r="R10" s="63">
        <f t="shared" si="2"/>
        <v>1.267937668360696</v>
      </c>
    </row>
    <row r="11" spans="2:18" x14ac:dyDescent="0.25">
      <c r="B11" s="15" t="s">
        <v>6</v>
      </c>
      <c r="C11" s="4">
        <f>database!C27</f>
        <v>9122</v>
      </c>
      <c r="D11" s="4">
        <f>database!D27</f>
        <v>7754</v>
      </c>
      <c r="E11" s="21">
        <f>database!E27</f>
        <v>12568</v>
      </c>
      <c r="G11" s="60">
        <f>JUNI!P24</f>
        <v>13669.675057635923</v>
      </c>
      <c r="H11" s="55">
        <v>14096.728388330001</v>
      </c>
      <c r="J11" s="45">
        <f t="shared" si="3"/>
        <v>4814</v>
      </c>
      <c r="K11" s="45">
        <f t="shared" si="7"/>
        <v>5915.6750576359227</v>
      </c>
      <c r="L11" s="33">
        <f t="shared" si="4"/>
        <v>6342.7283883300006</v>
      </c>
      <c r="M11" s="2">
        <f t="shared" si="5"/>
        <v>1.342617084176132</v>
      </c>
      <c r="N11" s="2">
        <f>D12/E12</f>
        <v>0.74481399930467029</v>
      </c>
      <c r="O11" s="63">
        <f t="shared" si="6"/>
        <v>-0.59780308487146172</v>
      </c>
      <c r="P11" s="2">
        <f t="shared" si="0"/>
        <v>1.2585359121526372</v>
      </c>
      <c r="Q11" s="2">
        <f t="shared" si="1"/>
        <v>0.79457406844240963</v>
      </c>
      <c r="R11" s="63">
        <f t="shared" si="2"/>
        <v>0.46396184371022753</v>
      </c>
    </row>
    <row r="12" spans="2:18" x14ac:dyDescent="0.25">
      <c r="B12" s="15" t="s">
        <v>7</v>
      </c>
      <c r="C12" s="4">
        <f>database!C28</f>
        <v>13455</v>
      </c>
      <c r="D12" s="4">
        <f>database!D28</f>
        <v>12854</v>
      </c>
      <c r="E12" s="21">
        <f>database!E28</f>
        <v>17258</v>
      </c>
      <c r="G12" s="60">
        <f>JULI!Q24</f>
        <v>16158.212071463133</v>
      </c>
      <c r="H12" s="55">
        <v>16177.220614809999</v>
      </c>
      <c r="J12" s="45">
        <f t="shared" si="3"/>
        <v>4404</v>
      </c>
      <c r="K12" s="45">
        <f t="shared" si="7"/>
        <v>3304.2120714631328</v>
      </c>
      <c r="L12" s="33">
        <f t="shared" si="4"/>
        <v>3323.2206148099995</v>
      </c>
      <c r="M12" s="2">
        <f t="shared" si="5"/>
        <v>1.1904412744967339</v>
      </c>
      <c r="N12" s="2">
        <f>D13/E13</f>
        <v>0.8400246374377065</v>
      </c>
      <c r="O12" s="63">
        <f t="shared" si="6"/>
        <v>-0.35041663705902737</v>
      </c>
      <c r="P12" s="2">
        <f t="shared" si="0"/>
        <v>1.0647219691894414</v>
      </c>
      <c r="Q12" s="2">
        <f t="shared" si="1"/>
        <v>0.93921232860564208</v>
      </c>
      <c r="R12" s="63">
        <f t="shared" si="2"/>
        <v>0.12550964058379932</v>
      </c>
    </row>
    <row r="13" spans="2:18" x14ac:dyDescent="0.25">
      <c r="B13" s="15" t="s">
        <v>8</v>
      </c>
      <c r="C13" s="4">
        <f>database!C29</f>
        <v>22123</v>
      </c>
      <c r="D13" s="4">
        <f>database!D29</f>
        <v>15002</v>
      </c>
      <c r="E13" s="21">
        <f>database!E29</f>
        <v>17859</v>
      </c>
      <c r="G13" s="60">
        <f>AGUST!Q24</f>
        <v>15275.424957933945</v>
      </c>
      <c r="H13" s="55">
        <v>15972.958981780001</v>
      </c>
      <c r="J13" s="45">
        <f t="shared" si="3"/>
        <v>2857</v>
      </c>
      <c r="K13" s="45">
        <f t="shared" si="7"/>
        <v>273.42495793394482</v>
      </c>
      <c r="L13" s="33">
        <f t="shared" si="4"/>
        <v>970.95898178000061</v>
      </c>
      <c r="M13" s="2">
        <f>E14/D14</f>
        <v>0.92430549271559137</v>
      </c>
      <c r="N13" s="2">
        <f t="shared" si="8"/>
        <v>1.0818933868520242</v>
      </c>
      <c r="O13" s="63">
        <f t="shared" si="6"/>
        <v>0.15758789413643282</v>
      </c>
      <c r="P13" s="2">
        <f t="shared" si="0"/>
        <v>0.75476747159623558</v>
      </c>
      <c r="Q13" s="2">
        <f t="shared" si="1"/>
        <v>1.3249113636086216</v>
      </c>
      <c r="R13" s="63">
        <f t="shared" si="2"/>
        <v>-0.57014389201238602</v>
      </c>
    </row>
    <row r="14" spans="2:18" x14ac:dyDescent="0.25">
      <c r="B14" s="15" t="s">
        <v>9</v>
      </c>
      <c r="C14" s="4">
        <f>database!C30</f>
        <v>14027</v>
      </c>
      <c r="D14" s="4">
        <f>database!D30</f>
        <v>22102</v>
      </c>
      <c r="E14" s="21">
        <f>database!E30</f>
        <v>20429</v>
      </c>
      <c r="G14" s="60">
        <f>SEPT!Q24</f>
        <v>16859.366053852063</v>
      </c>
      <c r="H14" s="55">
        <v>16681.870657219999</v>
      </c>
      <c r="J14" s="45">
        <f t="shared" si="3"/>
        <v>-1673</v>
      </c>
      <c r="K14" s="45">
        <f t="shared" si="7"/>
        <v>-5242.6339461479365</v>
      </c>
      <c r="L14" s="33">
        <f t="shared" si="4"/>
        <v>-5420.129342780001</v>
      </c>
      <c r="M14" s="2">
        <f t="shared" si="5"/>
        <v>1.206724248697266</v>
      </c>
      <c r="N14" s="2">
        <f>D15/E15</f>
        <v>0.82868973676427093</v>
      </c>
      <c r="O14" s="63">
        <f t="shared" si="6"/>
        <v>-0.37803451193299509</v>
      </c>
      <c r="P14" s="2">
        <f t="shared" si="0"/>
        <v>0.99767424348204725</v>
      </c>
      <c r="Q14" s="2">
        <f t="shared" si="1"/>
        <v>1.0023311782710111</v>
      </c>
      <c r="R14" s="63">
        <f t="shared" si="2"/>
        <v>-4.6569347889638957E-3</v>
      </c>
    </row>
    <row r="15" spans="2:18" x14ac:dyDescent="0.25">
      <c r="B15" s="15" t="s">
        <v>10</v>
      </c>
      <c r="C15" s="4">
        <f>database!C31</f>
        <v>8371</v>
      </c>
      <c r="D15" s="4">
        <f>database!D31</f>
        <v>14009</v>
      </c>
      <c r="E15" s="21">
        <f>database!E31</f>
        <v>16905</v>
      </c>
      <c r="G15" s="60">
        <f>OKT!Q24</f>
        <v>14109.591041007243</v>
      </c>
      <c r="H15" s="55">
        <v>13976.41847694</v>
      </c>
      <c r="J15" s="45">
        <f t="shared" si="3"/>
        <v>2896</v>
      </c>
      <c r="K15" s="45">
        <f t="shared" si="7"/>
        <v>100.59104100724289</v>
      </c>
      <c r="L15" s="33">
        <f t="shared" si="4"/>
        <v>-32.581523060000109</v>
      </c>
      <c r="M15" s="2">
        <f>E16/D16</f>
        <v>0.68467428293631505</v>
      </c>
      <c r="N15" s="2">
        <f t="shared" si="8"/>
        <v>1.4605485044821158</v>
      </c>
      <c r="O15" s="63">
        <f t="shared" si="6"/>
        <v>0.77587422154580077</v>
      </c>
      <c r="P15" s="2">
        <f t="shared" si="0"/>
        <v>1.0000802647295819</v>
      </c>
      <c r="Q15" s="2">
        <f t="shared" si="1"/>
        <v>0.99991974171232778</v>
      </c>
      <c r="R15" s="63">
        <f t="shared" si="2"/>
        <v>1.6052301725411056E-4</v>
      </c>
    </row>
    <row r="16" spans="2:18" x14ac:dyDescent="0.25">
      <c r="B16" s="15" t="s">
        <v>11</v>
      </c>
      <c r="C16" s="4">
        <f>database!C32</f>
        <v>22133</v>
      </c>
      <c r="D16" s="4">
        <f>database!D32</f>
        <v>16456</v>
      </c>
      <c r="E16" s="21">
        <f>database!E32</f>
        <v>11267</v>
      </c>
      <c r="G16" s="60">
        <f>NOV!Q24</f>
        <v>15448.080133509455</v>
      </c>
      <c r="H16" s="55">
        <v>16457.320836390001</v>
      </c>
      <c r="J16" s="45">
        <f t="shared" si="3"/>
        <v>-5189</v>
      </c>
      <c r="K16" s="45">
        <f t="shared" si="7"/>
        <v>-1007.9198664905452</v>
      </c>
      <c r="L16" s="33">
        <f t="shared" si="4"/>
        <v>1.3208363900012046</v>
      </c>
      <c r="M16" s="2">
        <f t="shared" si="5"/>
        <v>2.4545849630595393</v>
      </c>
      <c r="N16" s="2">
        <f>D17/E17</f>
        <v>0.40740084985835695</v>
      </c>
      <c r="O16" s="63">
        <f t="shared" si="6"/>
        <v>-2.0471841132011823</v>
      </c>
      <c r="P16" s="2">
        <f t="shared" si="0"/>
        <v>2.2225248230059393</v>
      </c>
      <c r="Q16" s="2">
        <f t="shared" si="1"/>
        <v>0.44993873168422543</v>
      </c>
      <c r="R16" s="63">
        <f t="shared" si="2"/>
        <v>1.772586091321714</v>
      </c>
    </row>
    <row r="17" spans="2:18" x14ac:dyDescent="0.25">
      <c r="B17" s="15" t="s">
        <v>12</v>
      </c>
      <c r="C17" s="4">
        <f>database!C33</f>
        <v>11726</v>
      </c>
      <c r="D17" s="4">
        <f>database!D33</f>
        <v>6903</v>
      </c>
      <c r="E17" s="21">
        <f>database!E33</f>
        <v>16944</v>
      </c>
      <c r="G17" s="60">
        <f>DES!Q24</f>
        <v>15379.526801014888</v>
      </c>
      <c r="H17" s="55">
        <v>15342.08885321</v>
      </c>
      <c r="J17" s="45">
        <f t="shared" si="3"/>
        <v>10041</v>
      </c>
      <c r="K17" s="45">
        <f t="shared" si="7"/>
        <v>8476.5268010148884</v>
      </c>
      <c r="L17" s="33">
        <f t="shared" si="4"/>
        <v>8439.0888532099998</v>
      </c>
      <c r="M17" s="2">
        <f t="shared" si="5"/>
        <v>1.1851285132849718</v>
      </c>
      <c r="N17" s="2">
        <f>D18/E18</f>
        <v>0.84379034745200121</v>
      </c>
      <c r="O17" s="63">
        <f t="shared" si="6"/>
        <v>-0.34133816583297061</v>
      </c>
      <c r="P17" s="2">
        <f t="shared" si="0"/>
        <v>1.1313100533930727</v>
      </c>
      <c r="Q17" s="2">
        <f t="shared" si="1"/>
        <v>0.88393097630553008</v>
      </c>
      <c r="R17" s="63">
        <f t="shared" si="2"/>
        <v>0.24737907708754259</v>
      </c>
    </row>
    <row r="18" spans="2:18" x14ac:dyDescent="0.25">
      <c r="B18" s="46" t="s">
        <v>115</v>
      </c>
      <c r="C18" s="47">
        <f>SUM(C6:C17)</f>
        <v>155681</v>
      </c>
      <c r="D18" s="47">
        <f>SUM(D6:D17)</f>
        <v>161423</v>
      </c>
      <c r="E18" s="48">
        <f>SUM(E6:E17)</f>
        <v>191307</v>
      </c>
      <c r="G18" s="61">
        <f t="shared" ref="G18" si="9">SUM(G6:G17)</f>
        <v>183613.83607309827</v>
      </c>
      <c r="H18" s="62">
        <f>SUM(H6:H17)</f>
        <v>182619.46274886996</v>
      </c>
      <c r="J18" s="49">
        <f>SUM(J6:J17)</f>
        <v>29884</v>
      </c>
      <c r="K18" s="49">
        <f>SUM(K6:K17)</f>
        <v>22190.836073098231</v>
      </c>
      <c r="L18" s="58">
        <f>SUM(L6:L17)</f>
        <v>21196.462748869999</v>
      </c>
    </row>
    <row r="19" spans="2:18" x14ac:dyDescent="0.25">
      <c r="E19" s="2">
        <f>D18/E18</f>
        <v>0.84379034745200121</v>
      </c>
      <c r="F19" s="2"/>
      <c r="G19" s="2">
        <f>D18/G18</f>
        <v>0.8791439874701823</v>
      </c>
      <c r="H19" s="2">
        <f>D18/H18</f>
        <v>0.88393097630553008</v>
      </c>
      <c r="J19" s="2">
        <f>J18/D18</f>
        <v>0.18512851328497179</v>
      </c>
      <c r="K19" s="2">
        <f>K18/D18</f>
        <v>0.13747010074833346</v>
      </c>
      <c r="L19" s="56">
        <f>L18/D18</f>
        <v>0.13131005339307286</v>
      </c>
    </row>
    <row r="20" spans="2:18" x14ac:dyDescent="0.25">
      <c r="D20" s="63">
        <v>1</v>
      </c>
      <c r="E20" s="2">
        <f>D20-E19</f>
        <v>0.15620965254799879</v>
      </c>
      <c r="G20" s="2">
        <f>D20-G19</f>
        <v>0.1208560125298177</v>
      </c>
      <c r="H20" s="2">
        <f>D20-H19</f>
        <v>0.11606902369446992</v>
      </c>
    </row>
    <row r="21" spans="2:18" x14ac:dyDescent="0.25">
      <c r="C21" s="8"/>
      <c r="D21" s="66">
        <v>1</v>
      </c>
      <c r="E21" s="67">
        <f>E18/D18</f>
        <v>1.1851285132849718</v>
      </c>
      <c r="F21" s="8"/>
      <c r="G21" s="67">
        <f>G18/D18</f>
        <v>1.1374701007483337</v>
      </c>
      <c r="H21" s="67">
        <f>H18/D18</f>
        <v>1.1313100533930727</v>
      </c>
    </row>
    <row r="22" spans="2:18" x14ac:dyDescent="0.25">
      <c r="C22" s="8"/>
      <c r="D22" s="66">
        <v>1</v>
      </c>
      <c r="E22" s="66">
        <f>E21-D22</f>
        <v>0.18512851328497182</v>
      </c>
      <c r="F22" s="67"/>
      <c r="G22" s="66">
        <f>G21-D22</f>
        <v>0.13747010074833366</v>
      </c>
      <c r="H22" s="66">
        <f>H21-D22</f>
        <v>0.13131005339307267</v>
      </c>
    </row>
  </sheetData>
  <mergeCells count="4">
    <mergeCell ref="B4:B5"/>
    <mergeCell ref="C4:C5"/>
    <mergeCell ref="D4:D5"/>
    <mergeCell ref="E4:E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68"/>
  <sheetViews>
    <sheetView zoomScale="95" zoomScaleNormal="95" workbookViewId="0">
      <selection activeCell="F18" sqref="F18"/>
    </sheetView>
  </sheetViews>
  <sheetFormatPr defaultRowHeight="15" x14ac:dyDescent="0.25"/>
  <cols>
    <col min="2" max="2" width="10.7109375" bestFit="1" customWidth="1"/>
    <col min="4" max="4" width="11.28515625" bestFit="1" customWidth="1"/>
    <col min="6" max="6" width="13" customWidth="1"/>
    <col min="10" max="10" width="10.7109375" bestFit="1" customWidth="1"/>
    <col min="13" max="13" width="11.140625" bestFit="1" customWidth="1"/>
  </cols>
  <sheetData>
    <row r="3" spans="2:13" x14ac:dyDescent="0.25">
      <c r="B3" t="s">
        <v>71</v>
      </c>
    </row>
    <row r="4" spans="2:13" x14ac:dyDescent="0.25">
      <c r="B4" s="79" t="s">
        <v>67</v>
      </c>
      <c r="C4" s="23" t="s">
        <v>72</v>
      </c>
      <c r="D4" s="23" t="s">
        <v>14</v>
      </c>
      <c r="E4" s="80" t="s">
        <v>75</v>
      </c>
      <c r="F4" s="80" t="s">
        <v>76</v>
      </c>
    </row>
    <row r="5" spans="2:13" x14ac:dyDescent="0.25">
      <c r="B5" s="79"/>
      <c r="C5" s="23" t="s">
        <v>73</v>
      </c>
      <c r="D5" s="23" t="s">
        <v>74</v>
      </c>
      <c r="E5" s="81"/>
      <c r="F5" s="81"/>
      <c r="J5" s="51" t="s">
        <v>121</v>
      </c>
      <c r="K5" s="51" t="s">
        <v>122</v>
      </c>
      <c r="L5" s="68" t="s">
        <v>123</v>
      </c>
      <c r="M5" s="51" t="s">
        <v>124</v>
      </c>
    </row>
    <row r="6" spans="2:13" x14ac:dyDescent="0.25">
      <c r="B6" s="20" t="s">
        <v>25</v>
      </c>
      <c r="C6" s="24">
        <f>database!D41</f>
        <v>0.41985238455715368</v>
      </c>
      <c r="D6" s="24">
        <f>database!J41</f>
        <v>0.40126235443781194</v>
      </c>
      <c r="E6" s="24">
        <f>MIN(C6,D6)</f>
        <v>0.40126235443781194</v>
      </c>
      <c r="F6" s="24">
        <f>'Bulan Januari'!D16</f>
        <v>13505.520403170565</v>
      </c>
      <c r="J6" s="51" t="s">
        <v>25</v>
      </c>
      <c r="K6" s="51">
        <f>'Bulan Januari'!S24</f>
        <v>26089.31127090377</v>
      </c>
      <c r="L6" s="69">
        <f>'Bulan Januari'!Q24</f>
        <v>1.802524708875624</v>
      </c>
      <c r="M6" s="69">
        <f>'Bulan Januari'!Q27</f>
        <v>14473.760688239176</v>
      </c>
    </row>
    <row r="7" spans="2:13" x14ac:dyDescent="0.25">
      <c r="B7" s="20" t="s">
        <v>2</v>
      </c>
      <c r="C7" s="24">
        <f>database!D42</f>
        <v>0</v>
      </c>
      <c r="D7" s="24">
        <f>database!J42</f>
        <v>7.7062334866425289E-2</v>
      </c>
      <c r="E7" s="24">
        <f t="shared" ref="E7:E17" si="0">MIN(C7,D7)</f>
        <v>0</v>
      </c>
      <c r="F7" s="23">
        <f>FEB!D18</f>
        <v>6347</v>
      </c>
      <c r="J7" s="51" t="s">
        <v>2</v>
      </c>
      <c r="K7" s="51">
        <f>FEB!R21</f>
        <v>8884.6947367573321</v>
      </c>
      <c r="L7" s="69">
        <f>FEB!P21</f>
        <v>1</v>
      </c>
      <c r="M7" s="69">
        <f>FEB!Q24</f>
        <v>8884.6947367573321</v>
      </c>
    </row>
    <row r="8" spans="2:13" x14ac:dyDescent="0.25">
      <c r="B8" s="20" t="s">
        <v>3</v>
      </c>
      <c r="C8" s="24">
        <f>database!D43</f>
        <v>0.52237887963663887</v>
      </c>
      <c r="D8" s="24">
        <f>database!J43</f>
        <v>0.59810157549662391</v>
      </c>
      <c r="E8" s="24">
        <f t="shared" si="0"/>
        <v>0.52237887963663887</v>
      </c>
      <c r="F8" s="23">
        <f>MAR!D16</f>
        <v>15666.239212717637</v>
      </c>
      <c r="J8" s="51" t="s">
        <v>3</v>
      </c>
      <c r="K8" s="51">
        <f>MAR!R19</f>
        <v>27937.805706503721</v>
      </c>
      <c r="L8" s="69">
        <f>MAR!P19</f>
        <v>1.8037968490067522</v>
      </c>
      <c r="M8" s="69">
        <f>MAR!Q22</f>
        <v>15488.332692169561</v>
      </c>
    </row>
    <row r="9" spans="2:13" x14ac:dyDescent="0.25">
      <c r="B9" s="20" t="s">
        <v>4</v>
      </c>
      <c r="C9" s="24">
        <f>database!D44</f>
        <v>0.93768925056775165</v>
      </c>
      <c r="D9" s="24">
        <f>database!J44</f>
        <v>1</v>
      </c>
      <c r="E9" s="24">
        <f t="shared" si="0"/>
        <v>0.93768925056775165</v>
      </c>
      <c r="F9" s="23">
        <f>APRIL!C16</f>
        <v>23075.376230128688</v>
      </c>
      <c r="J9" s="51" t="s">
        <v>4</v>
      </c>
      <c r="K9" s="51">
        <f>APRIL!R21</f>
        <v>23075.376230128688</v>
      </c>
      <c r="L9" s="69">
        <f>APRIL!P21</f>
        <v>1</v>
      </c>
      <c r="M9" s="69">
        <f>APRIL!Q24</f>
        <v>23075.376230128688</v>
      </c>
    </row>
    <row r="10" spans="2:13" x14ac:dyDescent="0.25">
      <c r="B10" s="20" t="s">
        <v>5</v>
      </c>
      <c r="C10" s="24">
        <f>database!D45</f>
        <v>0.47336298258894777</v>
      </c>
      <c r="D10" s="24">
        <f>database!J45</f>
        <v>0</v>
      </c>
      <c r="E10" s="24">
        <f t="shared" si="0"/>
        <v>0</v>
      </c>
      <c r="F10" s="23">
        <f>MEI!D16</f>
        <v>6347</v>
      </c>
      <c r="J10" s="51" t="s">
        <v>5</v>
      </c>
      <c r="K10" s="51">
        <f>MEI!R21</f>
        <v>14791.795609386829</v>
      </c>
      <c r="L10" s="69">
        <f>MEI!P21</f>
        <v>1</v>
      </c>
      <c r="M10" s="69">
        <f>MEI!Q24</f>
        <v>14791.795609386829</v>
      </c>
    </row>
    <row r="11" spans="2:13" x14ac:dyDescent="0.25">
      <c r="B11" s="20" t="s">
        <v>6</v>
      </c>
      <c r="C11" s="24">
        <f>database!D46</f>
        <v>0.38441521574564724</v>
      </c>
      <c r="D11" s="24">
        <f>database!J46</f>
        <v>0.14546433114786184</v>
      </c>
      <c r="E11" s="24">
        <f t="shared" si="0"/>
        <v>0.14546433114786184</v>
      </c>
      <c r="F11" s="23">
        <f>JUNI!C16</f>
        <v>8942.0836676778563</v>
      </c>
      <c r="J11" s="51" t="s">
        <v>6</v>
      </c>
      <c r="K11" s="51">
        <f>JUNI!Q21</f>
        <v>17646.575336171161</v>
      </c>
      <c r="L11" s="69">
        <f>JUNI!O21</f>
        <v>1.2909286622957237</v>
      </c>
      <c r="M11" s="69">
        <f>JUNI!P24</f>
        <v>13669.675057635923</v>
      </c>
    </row>
    <row r="12" spans="2:13" x14ac:dyDescent="0.25">
      <c r="B12" s="20" t="s">
        <v>7</v>
      </c>
      <c r="C12" s="24">
        <f>database!D47</f>
        <v>0.58942089326267977</v>
      </c>
      <c r="D12" s="24">
        <f>database!J47</f>
        <v>0.39499951071533418</v>
      </c>
      <c r="E12" s="24">
        <f t="shared" si="0"/>
        <v>0.39499951071533418</v>
      </c>
      <c r="F12" s="23">
        <f>JULI!D16</f>
        <v>13393.791271161561</v>
      </c>
      <c r="J12" s="51" t="s">
        <v>7</v>
      </c>
      <c r="K12" s="51">
        <f>JULI!R21</f>
        <v>28923.183795988218</v>
      </c>
      <c r="L12" s="69">
        <f>JULI!P21</f>
        <v>1.7899990214306682</v>
      </c>
      <c r="M12" s="69">
        <f>JULI!Q24</f>
        <v>16158.212071463133</v>
      </c>
    </row>
    <row r="13" spans="2:13" x14ac:dyDescent="0.25">
      <c r="B13" s="20" t="s">
        <v>8</v>
      </c>
      <c r="C13" s="24">
        <f>database!D48</f>
        <v>0.99952687358062076</v>
      </c>
      <c r="D13" s="24">
        <f>database!J48</f>
        <v>0.50009785693316366</v>
      </c>
      <c r="E13" s="24">
        <f t="shared" si="0"/>
        <v>0.50009785693316366</v>
      </c>
      <c r="F13" s="23">
        <f>AGUST!D16</f>
        <v>15268.74576768764</v>
      </c>
      <c r="J13" s="51" t="s">
        <v>8</v>
      </c>
      <c r="K13" s="51">
        <f>AGUST!R21</f>
        <v>15289.879372163636</v>
      </c>
      <c r="L13" s="69">
        <f>AGUST!P21</f>
        <v>1.0009462528387587</v>
      </c>
      <c r="M13" s="69">
        <f>AGUST!Q24</f>
        <v>15275.424957933945</v>
      </c>
    </row>
    <row r="14" spans="2:13" x14ac:dyDescent="0.25">
      <c r="B14" s="20" t="s">
        <v>9</v>
      </c>
      <c r="C14" s="24">
        <f>database!D49</f>
        <v>0.61648372445117339</v>
      </c>
      <c r="D14" s="24">
        <f>database!J49</f>
        <v>0.84748996966435075</v>
      </c>
      <c r="E14" s="24">
        <f t="shared" si="0"/>
        <v>0.61648372445117339</v>
      </c>
      <c r="F14" s="23">
        <f>SEPT!D16</f>
        <v>17345.069644208932</v>
      </c>
      <c r="J14" s="51" t="s">
        <v>9</v>
      </c>
      <c r="K14" s="51">
        <f>SEPT!R21</f>
        <v>22001.810910477649</v>
      </c>
      <c r="L14" s="69">
        <f>SEPT!P21</f>
        <v>1.3050200606712985</v>
      </c>
      <c r="M14" s="69">
        <f>SEPT!Q24</f>
        <v>16859.366053852063</v>
      </c>
    </row>
    <row r="15" spans="2:13" x14ac:dyDescent="0.25">
      <c r="B15" s="20" t="s">
        <v>10</v>
      </c>
      <c r="C15" s="24">
        <f>database!D50</f>
        <v>0.34888342165026492</v>
      </c>
      <c r="D15" s="24">
        <f>database!J50</f>
        <v>0.45151188961737937</v>
      </c>
      <c r="E15" s="24">
        <f t="shared" si="0"/>
        <v>0.34888342165026492</v>
      </c>
      <c r="F15" s="23">
        <f>OKT!D16</f>
        <v>12571.080242240725</v>
      </c>
      <c r="J15" s="51" t="s">
        <v>10</v>
      </c>
      <c r="K15" s="51">
        <f>OKT!R21</f>
        <v>23954.795841952302</v>
      </c>
      <c r="L15" s="69">
        <f>OKT!P21</f>
        <v>1.6977668433005297</v>
      </c>
      <c r="M15" s="69">
        <f>OKT!Q24</f>
        <v>14109.591041007243</v>
      </c>
    </row>
    <row r="16" spans="2:13" x14ac:dyDescent="0.25">
      <c r="B16" s="20" t="s">
        <v>11</v>
      </c>
      <c r="C16" s="24">
        <f>database!D51</f>
        <v>1</v>
      </c>
      <c r="D16" s="24">
        <f>database!J51</f>
        <v>0.57123984734318423</v>
      </c>
      <c r="E16" s="24">
        <f t="shared" si="0"/>
        <v>0.57123984734318423</v>
      </c>
      <c r="F16" s="23">
        <f>NOV!D16</f>
        <v>16537.918876602409</v>
      </c>
      <c r="J16" s="51" t="s">
        <v>11</v>
      </c>
      <c r="K16" s="51">
        <f>NOV!R21</f>
        <v>15448.080133509455</v>
      </c>
      <c r="L16" s="69">
        <f>NOV!P21</f>
        <v>1</v>
      </c>
      <c r="M16" s="69">
        <f>NOV!Q24</f>
        <v>15448.080133509455</v>
      </c>
    </row>
    <row r="17" spans="2:13" x14ac:dyDescent="0.25">
      <c r="B17" s="20" t="s">
        <v>12</v>
      </c>
      <c r="C17" s="24">
        <f>database!D52</f>
        <v>0.50761733535200604</v>
      </c>
      <c r="D17" s="24">
        <f>database!J52</f>
        <v>0.10382620608670125</v>
      </c>
      <c r="E17" s="24">
        <f t="shared" si="0"/>
        <v>0.10382620608670125</v>
      </c>
      <c r="F17" s="23">
        <f>DES!D16</f>
        <v>8199.2595165867497</v>
      </c>
      <c r="J17" s="51" t="s">
        <v>12</v>
      </c>
      <c r="K17" s="51">
        <f>DES!R21</f>
        <v>18573.122639331123</v>
      </c>
      <c r="L17" s="69">
        <f>DES!P21</f>
        <v>1.2076524121734025</v>
      </c>
      <c r="M17" s="69">
        <f>DES!Q24</f>
        <v>15379.526801014888</v>
      </c>
    </row>
    <row r="18" spans="2:13" x14ac:dyDescent="0.25">
      <c r="F18" s="12">
        <f>SUM(F6:F17)</f>
        <v>157199.08483218274</v>
      </c>
      <c r="M18" s="17"/>
    </row>
    <row r="20" spans="2:13" x14ac:dyDescent="0.25">
      <c r="B20" s="25" t="s">
        <v>77</v>
      </c>
    </row>
    <row r="21" spans="2:13" x14ac:dyDescent="0.25">
      <c r="B21" s="79" t="s">
        <v>67</v>
      </c>
      <c r="C21" s="23" t="s">
        <v>72</v>
      </c>
      <c r="D21" s="23" t="s">
        <v>14</v>
      </c>
      <c r="E21" s="80" t="s">
        <v>88</v>
      </c>
      <c r="F21" s="80" t="s">
        <v>87</v>
      </c>
    </row>
    <row r="22" spans="2:13" x14ac:dyDescent="0.25">
      <c r="B22" s="79"/>
      <c r="C22" s="23" t="s">
        <v>73</v>
      </c>
      <c r="D22" s="23" t="s">
        <v>78</v>
      </c>
      <c r="E22" s="81"/>
      <c r="F22" s="81"/>
    </row>
    <row r="23" spans="2:13" x14ac:dyDescent="0.25">
      <c r="B23" s="20" t="s">
        <v>25</v>
      </c>
      <c r="C23" s="52">
        <f>database!D41</f>
        <v>0.41985238455715368</v>
      </c>
      <c r="D23" s="52">
        <f>database!I41</f>
        <v>0.59873764556218811</v>
      </c>
      <c r="E23" s="52">
        <f>MIN(C23,D23)</f>
        <v>0.41985238455715368</v>
      </c>
      <c r="F23" s="23">
        <f>'Bulan Januari'!D23</f>
        <v>13837.166540499622</v>
      </c>
    </row>
    <row r="24" spans="2:13" x14ac:dyDescent="0.25">
      <c r="B24" s="20" t="s">
        <v>2</v>
      </c>
      <c r="C24" s="52">
        <f>database!D42</f>
        <v>0</v>
      </c>
      <c r="D24" s="52">
        <f>database!I42</f>
        <v>0.92293766513357467</v>
      </c>
      <c r="E24" s="52">
        <f t="shared" ref="E24:E34" si="1">MIN(C24,D24)</f>
        <v>0</v>
      </c>
      <c r="F24" s="23">
        <f>FEB!D25</f>
        <v>6347</v>
      </c>
    </row>
    <row r="25" spans="2:13" x14ac:dyDescent="0.25">
      <c r="B25" s="20" t="s">
        <v>3</v>
      </c>
      <c r="C25" s="52">
        <f>database!D43</f>
        <v>0.52237887963663887</v>
      </c>
      <c r="D25" s="52">
        <f>database!I43</f>
        <v>0.40189842450337604</v>
      </c>
      <c r="E25" s="52">
        <f t="shared" si="1"/>
        <v>0.40189842450337604</v>
      </c>
      <c r="F25" s="23">
        <f>MAR!D23</f>
        <v>13516.867893140228</v>
      </c>
    </row>
    <row r="26" spans="2:13" x14ac:dyDescent="0.25">
      <c r="B26" s="20" t="s">
        <v>4</v>
      </c>
      <c r="C26" s="52">
        <f>database!D44</f>
        <v>0.93768925056775165</v>
      </c>
      <c r="D26" s="52">
        <f>database!I44</f>
        <v>0</v>
      </c>
      <c r="E26" s="52">
        <f t="shared" si="1"/>
        <v>0</v>
      </c>
      <c r="F26" s="23">
        <f>APRIL!C23</f>
        <v>6347</v>
      </c>
    </row>
    <row r="27" spans="2:13" x14ac:dyDescent="0.25">
      <c r="B27" s="20" t="s">
        <v>5</v>
      </c>
      <c r="C27" s="52">
        <f>database!D45</f>
        <v>0.47336298258894777</v>
      </c>
      <c r="D27" s="52">
        <f>database!I45</f>
        <v>1</v>
      </c>
      <c r="E27" s="52">
        <f t="shared" si="1"/>
        <v>0.47336298258894777</v>
      </c>
      <c r="F27" s="23">
        <f>MEI!D23</f>
        <v>14791.795609386829</v>
      </c>
    </row>
    <row r="28" spans="2:13" x14ac:dyDescent="0.25">
      <c r="B28" s="20" t="s">
        <v>6</v>
      </c>
      <c r="C28" s="52">
        <f>database!D46</f>
        <v>0.38441521574564724</v>
      </c>
      <c r="D28" s="52">
        <f>database!I46</f>
        <v>0.85453566885213816</v>
      </c>
      <c r="E28" s="52">
        <f t="shared" si="1"/>
        <v>0.38441521574564724</v>
      </c>
      <c r="F28" s="23">
        <f>JUNI!C23</f>
        <v>13204.967448902345</v>
      </c>
    </row>
    <row r="29" spans="2:13" x14ac:dyDescent="0.25">
      <c r="B29" s="20" t="s">
        <v>7</v>
      </c>
      <c r="C29" s="52">
        <f>database!D47</f>
        <v>0.58942089326267977</v>
      </c>
      <c r="D29" s="52">
        <f>database!I47</f>
        <v>0.60500048928466577</v>
      </c>
      <c r="E29" s="52">
        <f t="shared" si="1"/>
        <v>0.58942089326267977</v>
      </c>
      <c r="F29" s="23">
        <f>JULI!D23</f>
        <v>16862.268735806207</v>
      </c>
    </row>
    <row r="30" spans="2:13" x14ac:dyDescent="0.25">
      <c r="B30" s="20" t="s">
        <v>8</v>
      </c>
      <c r="C30" s="52">
        <f>database!D48</f>
        <v>0.99952687358062076</v>
      </c>
      <c r="D30" s="52">
        <f>database!I48</f>
        <v>0.49990214306683628</v>
      </c>
      <c r="E30" s="52">
        <f t="shared" si="1"/>
        <v>0.49990214306683628</v>
      </c>
      <c r="F30" s="23">
        <f>AGUST!D23</f>
        <v>15265.25423231236</v>
      </c>
    </row>
    <row r="31" spans="2:13" x14ac:dyDescent="0.25">
      <c r="B31" s="20" t="s">
        <v>9</v>
      </c>
      <c r="C31" s="52">
        <f>database!D49</f>
        <v>0.61648372445117339</v>
      </c>
      <c r="D31" s="52">
        <f>database!I49</f>
        <v>0.15251003033564928</v>
      </c>
      <c r="E31" s="52">
        <f t="shared" si="1"/>
        <v>0.15251003033564928</v>
      </c>
      <c r="F31" s="23">
        <f>SEPT!D23</f>
        <v>9067.7789411879821</v>
      </c>
    </row>
    <row r="32" spans="2:13" x14ac:dyDescent="0.25">
      <c r="B32" s="20" t="s">
        <v>10</v>
      </c>
      <c r="C32" s="52">
        <f>database!D50</f>
        <v>0.34888342165026492</v>
      </c>
      <c r="D32" s="52">
        <f>database!I50</f>
        <v>0.54848811038262058</v>
      </c>
      <c r="E32" s="52">
        <f t="shared" si="1"/>
        <v>0.34888342165026492</v>
      </c>
      <c r="F32" s="23">
        <f>OKT!D23</f>
        <v>12571.080242240725</v>
      </c>
    </row>
    <row r="33" spans="2:6" x14ac:dyDescent="0.25">
      <c r="B33" s="20" t="s">
        <v>11</v>
      </c>
      <c r="C33" s="52">
        <f>database!D51</f>
        <v>1</v>
      </c>
      <c r="D33" s="52">
        <f>database!I51</f>
        <v>0.42876015265681572</v>
      </c>
      <c r="E33" s="52">
        <f t="shared" si="1"/>
        <v>0.42876015265681572</v>
      </c>
      <c r="F33" s="23">
        <f>NOV!D23</f>
        <v>13996.081123397593</v>
      </c>
    </row>
    <row r="34" spans="2:6" x14ac:dyDescent="0.25">
      <c r="B34" s="20" t="s">
        <v>12</v>
      </c>
      <c r="C34" s="52">
        <f>database!D52</f>
        <v>0.50761733535200604</v>
      </c>
      <c r="D34" s="52">
        <f>database!I52</f>
        <v>0.89617379391329877</v>
      </c>
      <c r="E34" s="52">
        <f t="shared" si="1"/>
        <v>0.50761733535200604</v>
      </c>
      <c r="F34" s="23">
        <f>DES!D23</f>
        <v>15402.893262679787</v>
      </c>
    </row>
    <row r="37" spans="2:6" x14ac:dyDescent="0.25">
      <c r="B37" s="25" t="s">
        <v>79</v>
      </c>
    </row>
    <row r="38" spans="2:6" x14ac:dyDescent="0.25">
      <c r="B38" s="79" t="s">
        <v>67</v>
      </c>
      <c r="C38" s="23" t="s">
        <v>72</v>
      </c>
      <c r="D38" s="23" t="s">
        <v>14</v>
      </c>
      <c r="E38" s="80" t="s">
        <v>85</v>
      </c>
      <c r="F38" s="80" t="s">
        <v>86</v>
      </c>
    </row>
    <row r="39" spans="2:6" x14ac:dyDescent="0.25">
      <c r="B39" s="79"/>
      <c r="C39" s="23" t="s">
        <v>81</v>
      </c>
      <c r="D39" s="23" t="s">
        <v>82</v>
      </c>
      <c r="E39" s="81"/>
      <c r="F39" s="81"/>
    </row>
    <row r="40" spans="2:6" x14ac:dyDescent="0.25">
      <c r="B40" s="20" t="s">
        <v>25</v>
      </c>
      <c r="C40" s="24">
        <f>database!C41</f>
        <v>0.58014761544284632</v>
      </c>
      <c r="D40" s="24">
        <f>database!J41</f>
        <v>0.40126235443781194</v>
      </c>
      <c r="E40" s="24">
        <f>MIN(C40,D40)</f>
        <v>0.40126235443781194</v>
      </c>
      <c r="F40" s="23">
        <f>'Bulan Januari'!D30</f>
        <v>17028.479596829435</v>
      </c>
    </row>
    <row r="41" spans="2:6" x14ac:dyDescent="0.25">
      <c r="B41" s="20" t="s">
        <v>2</v>
      </c>
      <c r="C41" s="24">
        <f>database!C42</f>
        <v>1</v>
      </c>
      <c r="D41" s="24">
        <f>database!J42</f>
        <v>7.7062334866425289E-2</v>
      </c>
      <c r="E41" s="24">
        <f t="shared" ref="E41:E51" si="2">MIN(C41,D41)</f>
        <v>7.7062334866425289E-2</v>
      </c>
      <c r="F41" s="23">
        <f>FEB!D32</f>
        <v>22812.207945982973</v>
      </c>
    </row>
    <row r="42" spans="2:6" x14ac:dyDescent="0.25">
      <c r="B42" s="20" t="s">
        <v>3</v>
      </c>
      <c r="C42" s="24">
        <f>database!C43</f>
        <v>0.47762112036336107</v>
      </c>
      <c r="D42" s="24">
        <f>database!J43</f>
        <v>0.59810157549662391</v>
      </c>
      <c r="E42" s="24">
        <f t="shared" si="2"/>
        <v>0.47762112036336107</v>
      </c>
      <c r="F42" s="23">
        <f>MAR!D30</f>
        <v>15666.239212717639</v>
      </c>
    </row>
    <row r="43" spans="2:6" x14ac:dyDescent="0.25">
      <c r="B43" s="20" t="s">
        <v>4</v>
      </c>
      <c r="C43" s="24">
        <f>database!C44</f>
        <v>6.2310749432248298E-2</v>
      </c>
      <c r="D43" s="24">
        <f>database!J44</f>
        <v>1</v>
      </c>
      <c r="E43" s="24">
        <f t="shared" si="2"/>
        <v>6.2310749432248298E-2</v>
      </c>
      <c r="F43" s="23">
        <f>APRIL!C30</f>
        <v>23075.376230128692</v>
      </c>
    </row>
    <row r="44" spans="2:6" x14ac:dyDescent="0.25">
      <c r="B44" s="20" t="s">
        <v>5</v>
      </c>
      <c r="C44" s="24">
        <f>database!C45</f>
        <v>0.52663701741105229</v>
      </c>
      <c r="D44" s="24">
        <f>database!J45</f>
        <v>0</v>
      </c>
      <c r="E44" s="24">
        <f t="shared" si="2"/>
        <v>0</v>
      </c>
      <c r="F44" s="23">
        <f>MEI!D30</f>
        <v>24187</v>
      </c>
    </row>
    <row r="45" spans="2:6" x14ac:dyDescent="0.25">
      <c r="B45" s="20" t="s">
        <v>6</v>
      </c>
      <c r="C45" s="24">
        <f>database!C46</f>
        <v>0.61558478425435281</v>
      </c>
      <c r="D45" s="24">
        <f>database!J46</f>
        <v>0.14546433114786184</v>
      </c>
      <c r="E45" s="24">
        <f t="shared" si="2"/>
        <v>0.14546433114786184</v>
      </c>
      <c r="F45" s="23">
        <f>JUNI!C30</f>
        <v>21591.916332322144</v>
      </c>
    </row>
    <row r="46" spans="2:6" x14ac:dyDescent="0.25">
      <c r="B46" s="20" t="s">
        <v>7</v>
      </c>
      <c r="C46" s="24">
        <f>database!C47</f>
        <v>0.41057910673732023</v>
      </c>
      <c r="D46" s="24">
        <f>database!J47</f>
        <v>0.39499951071533418</v>
      </c>
      <c r="E46" s="24">
        <f t="shared" si="2"/>
        <v>0.39499951071533418</v>
      </c>
      <c r="F46" s="23">
        <f>JULI!D30</f>
        <v>17140.208728838439</v>
      </c>
    </row>
    <row r="47" spans="2:6" x14ac:dyDescent="0.25">
      <c r="B47" s="20" t="s">
        <v>8</v>
      </c>
      <c r="C47" s="24">
        <f>database!C48</f>
        <v>4.7312641937925814E-4</v>
      </c>
      <c r="D47" s="24">
        <f>database!J48</f>
        <v>0.50009785693316366</v>
      </c>
      <c r="E47" s="24">
        <f t="shared" si="2"/>
        <v>4.7312641937925814E-4</v>
      </c>
      <c r="F47" s="23">
        <f>AGUST!D30</f>
        <v>24178.559424678275</v>
      </c>
    </row>
    <row r="48" spans="2:6" x14ac:dyDescent="0.25">
      <c r="B48" s="20" t="s">
        <v>9</v>
      </c>
      <c r="C48" s="24">
        <f>database!C49</f>
        <v>0.38351627554882667</v>
      </c>
      <c r="D48" s="24">
        <f>database!J49</f>
        <v>0.84748996966435075</v>
      </c>
      <c r="E48" s="24">
        <f t="shared" si="2"/>
        <v>0.38351627554882667</v>
      </c>
      <c r="F48" s="23">
        <f>SEPT!D30</f>
        <v>17345.069644208932</v>
      </c>
    </row>
    <row r="49" spans="2:6" x14ac:dyDescent="0.25">
      <c r="B49" s="20" t="s">
        <v>10</v>
      </c>
      <c r="C49" s="24">
        <f>database!C50</f>
        <v>0.65111657834973502</v>
      </c>
      <c r="D49" s="24">
        <f>database!J50</f>
        <v>0.45151188961737937</v>
      </c>
      <c r="E49" s="24">
        <f t="shared" si="2"/>
        <v>0.45151188961737937</v>
      </c>
      <c r="F49" s="23">
        <f>OKT!D30</f>
        <v>14401.97211077405</v>
      </c>
    </row>
    <row r="50" spans="2:6" x14ac:dyDescent="0.25">
      <c r="B50" s="20" t="s">
        <v>11</v>
      </c>
      <c r="C50" s="24">
        <f>database!C51</f>
        <v>0</v>
      </c>
      <c r="D50" s="24">
        <f>database!J51</f>
        <v>0.57123984734318423</v>
      </c>
      <c r="E50" s="24">
        <f t="shared" si="2"/>
        <v>0</v>
      </c>
      <c r="F50" s="23">
        <f>NOV!D30</f>
        <v>24187</v>
      </c>
    </row>
    <row r="51" spans="2:6" x14ac:dyDescent="0.25">
      <c r="B51" s="20" t="s">
        <v>12</v>
      </c>
      <c r="C51" s="24">
        <f>database!C52</f>
        <v>0.49238266464799396</v>
      </c>
      <c r="D51" s="24">
        <f>database!J52</f>
        <v>0.10382620608670125</v>
      </c>
      <c r="E51" s="24">
        <f t="shared" si="2"/>
        <v>0.10382620608670125</v>
      </c>
      <c r="F51" s="23">
        <f>DES!D30</f>
        <v>22334.74048341325</v>
      </c>
    </row>
    <row r="54" spans="2:6" x14ac:dyDescent="0.25">
      <c r="B54" s="25" t="s">
        <v>80</v>
      </c>
    </row>
    <row r="55" spans="2:6" x14ac:dyDescent="0.25">
      <c r="B55" s="79" t="s">
        <v>67</v>
      </c>
      <c r="C55" s="23" t="s">
        <v>72</v>
      </c>
      <c r="D55" s="23" t="s">
        <v>14</v>
      </c>
      <c r="E55" s="80" t="s">
        <v>83</v>
      </c>
      <c r="F55" s="80" t="s">
        <v>84</v>
      </c>
    </row>
    <row r="56" spans="2:6" x14ac:dyDescent="0.25">
      <c r="B56" s="79"/>
      <c r="C56" s="23" t="s">
        <v>81</v>
      </c>
      <c r="D56" s="23" t="s">
        <v>78</v>
      </c>
      <c r="E56" s="81"/>
      <c r="F56" s="81"/>
    </row>
    <row r="57" spans="2:6" x14ac:dyDescent="0.25">
      <c r="B57" s="20" t="s">
        <v>25</v>
      </c>
      <c r="C57" s="24">
        <f>database!C41</f>
        <v>0.58014761544284632</v>
      </c>
      <c r="D57" s="24">
        <f>database!I41</f>
        <v>0.59873764556218811</v>
      </c>
      <c r="E57" s="24">
        <f>MIN(C57,D57)</f>
        <v>0.58014761544284632</v>
      </c>
      <c r="F57" s="23">
        <f>'Bulan Januari'!D36</f>
        <v>13837.166540499622</v>
      </c>
    </row>
    <row r="58" spans="2:6" x14ac:dyDescent="0.25">
      <c r="B58" s="20" t="s">
        <v>2</v>
      </c>
      <c r="C58" s="24">
        <f>database!C42</f>
        <v>1</v>
      </c>
      <c r="D58" s="24">
        <f>database!I42</f>
        <v>0.92293766513357467</v>
      </c>
      <c r="E58" s="24">
        <f t="shared" ref="E58:E68" si="3">MIN(C58,D58)</f>
        <v>0.92293766513357467</v>
      </c>
      <c r="F58" s="23">
        <f>FEB!D39</f>
        <v>7721.7920540170271</v>
      </c>
    </row>
    <row r="59" spans="2:6" x14ac:dyDescent="0.25">
      <c r="B59" s="20" t="s">
        <v>3</v>
      </c>
      <c r="C59" s="24">
        <f>database!C43</f>
        <v>0.47762112036336107</v>
      </c>
      <c r="D59" s="24">
        <f>database!I43</f>
        <v>0.40189842450337604</v>
      </c>
      <c r="E59" s="24">
        <f t="shared" si="3"/>
        <v>0.40189842450337604</v>
      </c>
      <c r="F59" s="23">
        <f>MAR!D37</f>
        <v>17017.132106859772</v>
      </c>
    </row>
    <row r="60" spans="2:6" x14ac:dyDescent="0.25">
      <c r="B60" s="20" t="s">
        <v>4</v>
      </c>
      <c r="C60" s="24">
        <f>database!C44</f>
        <v>6.2310749432248298E-2</v>
      </c>
      <c r="D60" s="24">
        <f>database!I44</f>
        <v>0</v>
      </c>
      <c r="E60" s="24">
        <f t="shared" si="3"/>
        <v>0</v>
      </c>
      <c r="F60" s="23">
        <f>APRIL!C37</f>
        <v>24187</v>
      </c>
    </row>
    <row r="61" spans="2:6" x14ac:dyDescent="0.25">
      <c r="B61" s="20" t="s">
        <v>5</v>
      </c>
      <c r="C61" s="24">
        <f>database!C45</f>
        <v>0.52663701741105229</v>
      </c>
      <c r="D61" s="24">
        <f>database!I45</f>
        <v>1</v>
      </c>
      <c r="E61" s="24">
        <f t="shared" si="3"/>
        <v>0.52663701741105229</v>
      </c>
      <c r="F61" s="23">
        <f>MEI!D37</f>
        <v>14791.795609386827</v>
      </c>
    </row>
    <row r="62" spans="2:6" x14ac:dyDescent="0.25">
      <c r="B62" s="20" t="s">
        <v>6</v>
      </c>
      <c r="C62" s="24">
        <f>database!C46</f>
        <v>0.61558478425435281</v>
      </c>
      <c r="D62" s="24">
        <f>database!I46</f>
        <v>0.85453566885213816</v>
      </c>
      <c r="E62" s="24">
        <f t="shared" si="3"/>
        <v>0.61558478425435281</v>
      </c>
      <c r="F62" s="23">
        <f>JUNI!C37</f>
        <v>13204.967448902345</v>
      </c>
    </row>
    <row r="63" spans="2:6" x14ac:dyDescent="0.25">
      <c r="B63" s="20" t="s">
        <v>7</v>
      </c>
      <c r="C63" s="24">
        <f>database!C47</f>
        <v>0.41057910673732023</v>
      </c>
      <c r="D63" s="24">
        <f>database!I47</f>
        <v>0.60500048928466577</v>
      </c>
      <c r="E63" s="24">
        <f t="shared" si="3"/>
        <v>0.41057910673732023</v>
      </c>
      <c r="F63" s="23">
        <f>JULI!D37</f>
        <v>16862.268735806207</v>
      </c>
    </row>
    <row r="64" spans="2:6" x14ac:dyDescent="0.25">
      <c r="B64" s="20" t="s">
        <v>8</v>
      </c>
      <c r="C64" s="24">
        <f>database!C48</f>
        <v>4.7312641937925814E-4</v>
      </c>
      <c r="D64" s="24">
        <f>database!I48</f>
        <v>0.49990214306683628</v>
      </c>
      <c r="E64" s="24">
        <f t="shared" si="3"/>
        <v>4.7312641937925814E-4</v>
      </c>
      <c r="F64" s="23">
        <f>AGUST!D37</f>
        <v>24178.559424678275</v>
      </c>
    </row>
    <row r="65" spans="2:6" x14ac:dyDescent="0.25">
      <c r="B65" s="20" t="s">
        <v>9</v>
      </c>
      <c r="C65" s="24">
        <f>database!C49</f>
        <v>0.38351627554882667</v>
      </c>
      <c r="D65" s="24">
        <f>database!I49</f>
        <v>0.15251003033564928</v>
      </c>
      <c r="E65" s="24">
        <f t="shared" si="3"/>
        <v>0.15251003033564928</v>
      </c>
      <c r="F65" s="23">
        <f>SEPT!D36</f>
        <v>21466.221058812018</v>
      </c>
    </row>
    <row r="66" spans="2:6" x14ac:dyDescent="0.25">
      <c r="B66" s="20" t="s">
        <v>10</v>
      </c>
      <c r="C66" s="24">
        <f>database!C50</f>
        <v>0.65111657834973502</v>
      </c>
      <c r="D66" s="24">
        <f>database!I50</f>
        <v>0.54848811038262058</v>
      </c>
      <c r="E66" s="24">
        <f t="shared" si="3"/>
        <v>0.54848811038262058</v>
      </c>
      <c r="F66" s="23">
        <f>OKT!D37</f>
        <v>16132.027889225952</v>
      </c>
    </row>
    <row r="67" spans="2:6" x14ac:dyDescent="0.25">
      <c r="B67" s="20" t="s">
        <v>11</v>
      </c>
      <c r="C67" s="24">
        <f>database!C51</f>
        <v>0</v>
      </c>
      <c r="D67" s="24">
        <f>database!I51</f>
        <v>0.42876015265681572</v>
      </c>
      <c r="E67" s="24">
        <f t="shared" si="3"/>
        <v>0</v>
      </c>
      <c r="F67" s="23">
        <f>NOV!D37</f>
        <v>24187</v>
      </c>
    </row>
    <row r="68" spans="2:6" x14ac:dyDescent="0.25">
      <c r="B68" s="20" t="s">
        <v>12</v>
      </c>
      <c r="C68" s="24">
        <f>database!C52</f>
        <v>0.49238266464799396</v>
      </c>
      <c r="D68" s="24">
        <f>database!I52</f>
        <v>0.89617379391329877</v>
      </c>
      <c r="E68" s="24">
        <f t="shared" si="3"/>
        <v>0.49238266464799396</v>
      </c>
      <c r="F68" s="23">
        <f>DES!D37</f>
        <v>15402.893262679787</v>
      </c>
    </row>
  </sheetData>
  <mergeCells count="12">
    <mergeCell ref="B4:B5"/>
    <mergeCell ref="E4:E5"/>
    <mergeCell ref="F4:F5"/>
    <mergeCell ref="B21:B22"/>
    <mergeCell ref="E21:E22"/>
    <mergeCell ref="F21:F22"/>
    <mergeCell ref="B38:B39"/>
    <mergeCell ref="E38:E39"/>
    <mergeCell ref="F38:F39"/>
    <mergeCell ref="B55:B56"/>
    <mergeCell ref="E55:E56"/>
    <mergeCell ref="F55:F5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1:S80"/>
  <sheetViews>
    <sheetView topLeftCell="A25" zoomScale="96" zoomScaleNormal="96" workbookViewId="0">
      <selection activeCell="C60" sqref="C60:J82"/>
    </sheetView>
  </sheetViews>
  <sheetFormatPr defaultRowHeight="15" x14ac:dyDescent="0.25"/>
  <cols>
    <col min="4" max="4" width="11.140625" customWidth="1"/>
    <col min="14" max="14" width="13.7109375" bestFit="1" customWidth="1"/>
    <col min="15" max="15" width="10" bestFit="1" customWidth="1"/>
    <col min="16" max="16" width="13.140625" bestFit="1" customWidth="1"/>
    <col min="18" max="18" width="15.140625" bestFit="1" customWidth="1"/>
    <col min="19" max="19" width="11" bestFit="1" customWidth="1"/>
  </cols>
  <sheetData>
    <row r="11" spans="2:17" x14ac:dyDescent="0.25">
      <c r="B11" t="s">
        <v>32</v>
      </c>
      <c r="F11" t="s">
        <v>42</v>
      </c>
    </row>
    <row r="13" spans="2:17" x14ac:dyDescent="0.25">
      <c r="C13" t="s">
        <v>33</v>
      </c>
      <c r="D13" s="70" t="s">
        <v>34</v>
      </c>
      <c r="E13" s="70"/>
      <c r="F13" s="70"/>
      <c r="G13" s="70"/>
      <c r="H13" s="70"/>
      <c r="I13" s="70"/>
      <c r="J13" s="70"/>
      <c r="K13" s="70"/>
    </row>
    <row r="14" spans="2:17" x14ac:dyDescent="0.25">
      <c r="B14" t="s">
        <v>25</v>
      </c>
      <c r="C14" s="14" t="s">
        <v>43</v>
      </c>
      <c r="D14" s="53">
        <f>database!D41</f>
        <v>0.41985238455715368</v>
      </c>
      <c r="E14" s="53">
        <f>database!J41</f>
        <v>0.40126235443781194</v>
      </c>
    </row>
    <row r="15" spans="2:17" x14ac:dyDescent="0.25">
      <c r="C15" t="s">
        <v>111</v>
      </c>
      <c r="D15" s="53">
        <f>MIN(D14:E14)</f>
        <v>0.40126235443781194</v>
      </c>
    </row>
    <row r="16" spans="2:17" x14ac:dyDescent="0.25">
      <c r="C16" t="s">
        <v>109</v>
      </c>
      <c r="D16" s="12">
        <f xml:space="preserve"> D15*(database!L29-database!L30)+database!L30</f>
        <v>13505.520403170565</v>
      </c>
      <c r="O16" s="12"/>
      <c r="P16" s="12"/>
      <c r="Q16" s="12"/>
    </row>
    <row r="17" spans="3:19" x14ac:dyDescent="0.25">
      <c r="C17" t="s">
        <v>110</v>
      </c>
      <c r="D17" s="12">
        <f>D16*D15</f>
        <v>5419.2569148841285</v>
      </c>
      <c r="K17" s="9"/>
      <c r="O17" s="12"/>
      <c r="P17" s="12"/>
      <c r="Q17" s="12"/>
    </row>
    <row r="18" spans="3:19" x14ac:dyDescent="0.25">
      <c r="N18" s="70" t="s">
        <v>50</v>
      </c>
      <c r="O18" s="70"/>
      <c r="P18" s="70"/>
      <c r="Q18" s="70"/>
      <c r="R18" s="70"/>
    </row>
    <row r="19" spans="3:19" x14ac:dyDescent="0.25">
      <c r="J19" s="9"/>
      <c r="N19" t="s">
        <v>51</v>
      </c>
      <c r="O19" t="s">
        <v>22</v>
      </c>
      <c r="P19" t="s">
        <v>29</v>
      </c>
      <c r="Q19" t="s">
        <v>52</v>
      </c>
      <c r="R19" t="s">
        <v>53</v>
      </c>
      <c r="S19" t="s">
        <v>54</v>
      </c>
    </row>
    <row r="20" spans="3:19" x14ac:dyDescent="0.25">
      <c r="C20" t="s">
        <v>92</v>
      </c>
      <c r="D20" t="s">
        <v>36</v>
      </c>
      <c r="H20" s="9"/>
      <c r="N20" t="s">
        <v>55</v>
      </c>
      <c r="O20" s="53">
        <f>D14</f>
        <v>0.41985238455715368</v>
      </c>
      <c r="P20" s="53">
        <f>E14</f>
        <v>0.40126235443781194</v>
      </c>
      <c r="Q20" s="53">
        <f>D15</f>
        <v>0.40126235443781194</v>
      </c>
      <c r="R20" s="53">
        <f>D16</f>
        <v>13505.520403170565</v>
      </c>
      <c r="S20" s="53">
        <f>D17</f>
        <v>5419.2569148841285</v>
      </c>
    </row>
    <row r="21" spans="3:19" x14ac:dyDescent="0.25">
      <c r="C21" s="14" t="s">
        <v>43</v>
      </c>
      <c r="D21" s="53">
        <f>database!D41</f>
        <v>0.41985238455715368</v>
      </c>
      <c r="E21" s="53">
        <f>database!I41</f>
        <v>0.59873764556218811</v>
      </c>
      <c r="N21" t="s">
        <v>93</v>
      </c>
      <c r="O21" s="53">
        <f>D21</f>
        <v>0.41985238455715368</v>
      </c>
      <c r="P21" s="53">
        <f>E21</f>
        <v>0.59873764556218811</v>
      </c>
      <c r="Q21" s="53">
        <f>D22</f>
        <v>0.41985238455715368</v>
      </c>
      <c r="R21" s="53">
        <f>D23</f>
        <v>13837.166540499622</v>
      </c>
      <c r="S21" s="53">
        <f>D24</f>
        <v>5809.5673675432272</v>
      </c>
    </row>
    <row r="22" spans="3:19" x14ac:dyDescent="0.25">
      <c r="C22" t="s">
        <v>111</v>
      </c>
      <c r="D22" s="53">
        <f>MIN(D21:E21)</f>
        <v>0.41985238455715368</v>
      </c>
      <c r="E22" s="53"/>
      <c r="N22" t="s">
        <v>56</v>
      </c>
      <c r="O22" s="53">
        <f>D28</f>
        <v>0.58014761544284632</v>
      </c>
      <c r="P22" s="53">
        <f>E28</f>
        <v>0.40126235443781194</v>
      </c>
      <c r="Q22" s="53">
        <f>D29</f>
        <v>0.40126235443781194</v>
      </c>
      <c r="R22" s="53">
        <f>D30</f>
        <v>17028.479596829435</v>
      </c>
      <c r="S22" s="53">
        <f>D31</f>
        <v>6832.8878155200218</v>
      </c>
    </row>
    <row r="23" spans="3:19" x14ac:dyDescent="0.25">
      <c r="C23" t="s">
        <v>112</v>
      </c>
      <c r="D23">
        <f>D22*(database!L29-database!L30)+database!L30</f>
        <v>13837.166540499622</v>
      </c>
      <c r="N23" t="s">
        <v>94</v>
      </c>
      <c r="O23" s="53">
        <f>D34</f>
        <v>0.58014761544284632</v>
      </c>
      <c r="P23" s="53">
        <f>E34</f>
        <v>0.59873764556218811</v>
      </c>
      <c r="Q23" s="53">
        <f>D35</f>
        <v>0.58014761544284632</v>
      </c>
      <c r="R23" s="53">
        <f>D36</f>
        <v>13837.166540499622</v>
      </c>
      <c r="S23" s="53">
        <f>D37</f>
        <v>8027.5991729563948</v>
      </c>
    </row>
    <row r="24" spans="3:19" x14ac:dyDescent="0.25">
      <c r="C24" t="s">
        <v>110</v>
      </c>
      <c r="D24">
        <f>D23*D22</f>
        <v>5809.5673675432272</v>
      </c>
      <c r="O24" s="53"/>
      <c r="P24" s="53"/>
      <c r="Q24" s="53">
        <f>SUM(Q16:Q23)</f>
        <v>1.802524708875624</v>
      </c>
      <c r="S24" s="53">
        <f>SUM(S16:S23)</f>
        <v>26089.31127090377</v>
      </c>
    </row>
    <row r="25" spans="3:19" x14ac:dyDescent="0.25">
      <c r="I25" s="9"/>
    </row>
    <row r="27" spans="3:19" x14ac:dyDescent="0.25">
      <c r="C27" t="s">
        <v>37</v>
      </c>
      <c r="D27" t="s">
        <v>38</v>
      </c>
      <c r="N27" t="s">
        <v>62</v>
      </c>
      <c r="Q27" s="8">
        <f>S24/Q24</f>
        <v>14473.760688239176</v>
      </c>
    </row>
    <row r="28" spans="3:19" x14ac:dyDescent="0.25">
      <c r="C28" s="14" t="s">
        <v>43</v>
      </c>
      <c r="D28" s="53">
        <f>database!C41</f>
        <v>0.58014761544284632</v>
      </c>
      <c r="E28" s="53">
        <f>database!J41</f>
        <v>0.40126235443781194</v>
      </c>
    </row>
    <row r="29" spans="3:19" x14ac:dyDescent="0.25">
      <c r="C29" t="s">
        <v>111</v>
      </c>
      <c r="D29" s="53">
        <f>MIN(D28:E28)</f>
        <v>0.40126235443781194</v>
      </c>
      <c r="E29" s="53"/>
    </row>
    <row r="30" spans="3:19" ht="18.75" x14ac:dyDescent="0.3">
      <c r="C30" t="s">
        <v>113</v>
      </c>
      <c r="D30">
        <f>database!L29 - (database!L29-database!L30)*D29</f>
        <v>17028.479596829435</v>
      </c>
      <c r="N30" s="44" t="s">
        <v>104</v>
      </c>
    </row>
    <row r="31" spans="3:19" x14ac:dyDescent="0.25">
      <c r="C31" t="s">
        <v>110</v>
      </c>
      <c r="D31">
        <f>D30*D29</f>
        <v>6832.8878155200218</v>
      </c>
      <c r="N31" t="s">
        <v>107</v>
      </c>
      <c r="O31" t="s">
        <v>105</v>
      </c>
    </row>
    <row r="33" spans="3:15" x14ac:dyDescent="0.25">
      <c r="C33" t="s">
        <v>40</v>
      </c>
      <c r="D33" t="s">
        <v>41</v>
      </c>
    </row>
    <row r="34" spans="3:15" x14ac:dyDescent="0.25">
      <c r="C34" s="14" t="s">
        <v>43</v>
      </c>
      <c r="D34" s="53">
        <f>database!C41</f>
        <v>0.58014761544284632</v>
      </c>
      <c r="E34" s="53">
        <f>database!I41</f>
        <v>0.59873764556218811</v>
      </c>
    </row>
    <row r="35" spans="3:15" x14ac:dyDescent="0.25">
      <c r="C35" t="s">
        <v>111</v>
      </c>
      <c r="D35" s="53">
        <f>MIN(D34:E34)</f>
        <v>0.58014761544284632</v>
      </c>
      <c r="E35" s="53"/>
    </row>
    <row r="36" spans="3:15" x14ac:dyDescent="0.25">
      <c r="C36" t="s">
        <v>114</v>
      </c>
      <c r="D36">
        <f>database!L29 - (database!L29-database!L30)*D35</f>
        <v>13837.166540499622</v>
      </c>
    </row>
    <row r="37" spans="3:15" x14ac:dyDescent="0.25">
      <c r="C37" t="s">
        <v>110</v>
      </c>
      <c r="D37">
        <f>D36*D35</f>
        <v>8027.5991729563948</v>
      </c>
      <c r="N37" t="s">
        <v>106</v>
      </c>
      <c r="O37" t="s">
        <v>108</v>
      </c>
    </row>
    <row r="61" spans="3:5" x14ac:dyDescent="0.25">
      <c r="C61" s="14"/>
      <c r="D61" s="53"/>
      <c r="E61" s="53"/>
    </row>
    <row r="62" spans="3:5" x14ac:dyDescent="0.25">
      <c r="D62" s="53"/>
      <c r="E62" s="53"/>
    </row>
    <row r="67" spans="3:5" x14ac:dyDescent="0.25">
      <c r="C67" s="14"/>
      <c r="D67" s="53"/>
      <c r="E67" s="53"/>
    </row>
    <row r="68" spans="3:5" x14ac:dyDescent="0.25">
      <c r="D68" s="53"/>
      <c r="E68" s="53"/>
    </row>
    <row r="73" spans="3:5" x14ac:dyDescent="0.25">
      <c r="C73" s="14"/>
      <c r="D73" s="53"/>
      <c r="E73" s="53"/>
    </row>
    <row r="74" spans="3:5" x14ac:dyDescent="0.25">
      <c r="D74" s="53"/>
      <c r="E74" s="53"/>
    </row>
    <row r="79" spans="3:5" x14ac:dyDescent="0.25">
      <c r="C79" s="14"/>
      <c r="D79" s="53"/>
      <c r="E79" s="53"/>
    </row>
    <row r="80" spans="3:5" x14ac:dyDescent="0.25">
      <c r="D80" s="53"/>
      <c r="E80" s="53"/>
    </row>
  </sheetData>
  <mergeCells count="2">
    <mergeCell ref="D13:K13"/>
    <mergeCell ref="N18:R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R80"/>
  <sheetViews>
    <sheetView tabSelected="1" topLeftCell="A14" zoomScale="90" zoomScaleNormal="90" workbookViewId="0">
      <selection activeCell="C33" sqref="C33"/>
    </sheetView>
  </sheetViews>
  <sheetFormatPr defaultRowHeight="15" x14ac:dyDescent="0.25"/>
  <cols>
    <col min="13" max="13" width="13.7109375" bestFit="1" customWidth="1"/>
    <col min="14" max="14" width="10" bestFit="1" customWidth="1"/>
    <col min="15" max="15" width="13.140625" bestFit="1" customWidth="1"/>
    <col min="17" max="17" width="15.140625" bestFit="1" customWidth="1"/>
    <col min="18" max="18" width="11.7109375" bestFit="1" customWidth="1"/>
  </cols>
  <sheetData>
    <row r="13" spans="1:18" x14ac:dyDescent="0.25">
      <c r="B13" t="s">
        <v>32</v>
      </c>
      <c r="F13" t="s">
        <v>42</v>
      </c>
      <c r="N13" s="12"/>
      <c r="O13" s="12"/>
      <c r="P13" s="12"/>
    </row>
    <row r="14" spans="1:18" x14ac:dyDescent="0.25">
      <c r="N14" s="12"/>
      <c r="O14" s="12"/>
      <c r="P14" s="12"/>
    </row>
    <row r="15" spans="1:18" x14ac:dyDescent="0.25">
      <c r="A15" t="s">
        <v>63</v>
      </c>
      <c r="C15" t="s">
        <v>33</v>
      </c>
      <c r="D15" s="13" t="s">
        <v>34</v>
      </c>
      <c r="E15" s="13"/>
      <c r="F15" s="13"/>
      <c r="G15" s="13"/>
      <c r="H15" s="13"/>
      <c r="I15" s="13"/>
      <c r="J15" s="13"/>
      <c r="K15" s="13"/>
      <c r="M15" s="70" t="s">
        <v>50</v>
      </c>
      <c r="N15" s="70"/>
      <c r="O15" s="70"/>
      <c r="P15" s="70"/>
      <c r="Q15" s="70"/>
    </row>
    <row r="16" spans="1:18" x14ac:dyDescent="0.25">
      <c r="C16" s="14" t="s">
        <v>43</v>
      </c>
      <c r="D16" s="12">
        <f>database!D42</f>
        <v>0</v>
      </c>
      <c r="E16" s="12">
        <f>database!J42</f>
        <v>7.7062334866425289E-2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3:18" x14ac:dyDescent="0.25">
      <c r="C17" t="s">
        <v>35</v>
      </c>
      <c r="D17" s="12">
        <f>MIN(D16:E16)</f>
        <v>0</v>
      </c>
      <c r="M17" t="s">
        <v>55</v>
      </c>
      <c r="N17" s="12">
        <f>D16</f>
        <v>0</v>
      </c>
      <c r="O17" s="12">
        <f>E16</f>
        <v>7.7062334866425289E-2</v>
      </c>
      <c r="P17" s="12">
        <f>MIN(N17:O17)</f>
        <v>0</v>
      </c>
      <c r="Q17">
        <f>D18</f>
        <v>6347</v>
      </c>
      <c r="R17">
        <f>D19</f>
        <v>0</v>
      </c>
    </row>
    <row r="18" spans="3:18" x14ac:dyDescent="0.25">
      <c r="C18" t="s">
        <v>44</v>
      </c>
      <c r="D18">
        <f>D17*(database!L29-database!L30)+database!L30</f>
        <v>6347</v>
      </c>
      <c r="M18" t="s">
        <v>93</v>
      </c>
      <c r="N18" s="12">
        <f>D23</f>
        <v>0</v>
      </c>
      <c r="O18" s="12">
        <f>E23</f>
        <v>0.92293766513357467</v>
      </c>
      <c r="P18" s="12">
        <f t="shared" ref="P18:P20" si="0">MIN(N18:O18)</f>
        <v>0</v>
      </c>
      <c r="Q18">
        <f>D25</f>
        <v>6347</v>
      </c>
      <c r="R18">
        <f>D26</f>
        <v>0</v>
      </c>
    </row>
    <row r="19" spans="3:18" x14ac:dyDescent="0.25">
      <c r="C19" t="s">
        <v>45</v>
      </c>
      <c r="D19">
        <f>D18*D17</f>
        <v>0</v>
      </c>
      <c r="K19" s="9"/>
      <c r="M19" t="s">
        <v>56</v>
      </c>
      <c r="N19" s="12">
        <f>D30</f>
        <v>1</v>
      </c>
      <c r="O19" s="12">
        <f>E30</f>
        <v>7.7062334866425289E-2</v>
      </c>
      <c r="P19" s="12">
        <f t="shared" si="0"/>
        <v>7.7062334866425289E-2</v>
      </c>
      <c r="Q19">
        <f>D32</f>
        <v>22812.207945982973</v>
      </c>
      <c r="R19">
        <f>D33</f>
        <v>1757.9620077758677</v>
      </c>
    </row>
    <row r="20" spans="3:18" x14ac:dyDescent="0.25">
      <c r="M20" t="s">
        <v>94</v>
      </c>
      <c r="N20" s="12">
        <f>D37</f>
        <v>1</v>
      </c>
      <c r="O20" s="12">
        <f>E37</f>
        <v>0.92293766513357467</v>
      </c>
      <c r="P20" s="12">
        <f t="shared" si="0"/>
        <v>0.92293766513357467</v>
      </c>
      <c r="Q20">
        <f>D39</f>
        <v>7721.7920540170271</v>
      </c>
      <c r="R20">
        <f>D40</f>
        <v>7126.7327289814648</v>
      </c>
    </row>
    <row r="21" spans="3:18" x14ac:dyDescent="0.25">
      <c r="J21" s="9"/>
      <c r="P21" s="12">
        <f>SUM(P13:P20)</f>
        <v>1</v>
      </c>
      <c r="R21">
        <f>SUM(R13:R20)</f>
        <v>8884.6947367573321</v>
      </c>
    </row>
    <row r="22" spans="3:18" x14ac:dyDescent="0.25">
      <c r="C22" t="s">
        <v>92</v>
      </c>
      <c r="D22" t="s">
        <v>36</v>
      </c>
    </row>
    <row r="23" spans="3:18" x14ac:dyDescent="0.25">
      <c r="C23" s="14" t="s">
        <v>43</v>
      </c>
      <c r="D23" s="12">
        <f>database!D42</f>
        <v>0</v>
      </c>
      <c r="E23" s="12">
        <f>database!I42</f>
        <v>0.92293766513357467</v>
      </c>
    </row>
    <row r="24" spans="3:18" x14ac:dyDescent="0.25">
      <c r="C24" t="s">
        <v>35</v>
      </c>
      <c r="D24" s="12">
        <f>MIN(D23:E23)</f>
        <v>0</v>
      </c>
      <c r="M24" t="s">
        <v>65</v>
      </c>
      <c r="Q24">
        <f>R21/P21</f>
        <v>8884.6947367573321</v>
      </c>
    </row>
    <row r="25" spans="3:18" x14ac:dyDescent="0.25">
      <c r="C25" t="s">
        <v>125</v>
      </c>
      <c r="D25">
        <f>D24*(database!L29-database!L30)+database!L30</f>
        <v>6347</v>
      </c>
    </row>
    <row r="26" spans="3:18" x14ac:dyDescent="0.25">
      <c r="C26" t="s">
        <v>126</v>
      </c>
      <c r="D26">
        <f>D25*D24</f>
        <v>0</v>
      </c>
    </row>
    <row r="27" spans="3:18" x14ac:dyDescent="0.25">
      <c r="H27" s="9"/>
      <c r="I27" s="9"/>
    </row>
    <row r="29" spans="3:18" x14ac:dyDescent="0.25">
      <c r="C29" t="s">
        <v>37</v>
      </c>
      <c r="D29" t="s">
        <v>38</v>
      </c>
    </row>
    <row r="30" spans="3:18" x14ac:dyDescent="0.25">
      <c r="C30" s="14" t="s">
        <v>43</v>
      </c>
      <c r="D30" s="12">
        <f>database!C42</f>
        <v>1</v>
      </c>
      <c r="E30" s="12">
        <f>database!J42</f>
        <v>7.7062334866425289E-2</v>
      </c>
    </row>
    <row r="31" spans="3:18" x14ac:dyDescent="0.25">
      <c r="C31" t="s">
        <v>39</v>
      </c>
      <c r="D31" s="12">
        <f>MIN(D30:E30)</f>
        <v>7.7062334866425289E-2</v>
      </c>
    </row>
    <row r="32" spans="3:18" x14ac:dyDescent="0.25">
      <c r="C32" t="s">
        <v>46</v>
      </c>
      <c r="D32">
        <f>database!L29 - (database!L29-database!L30)*D31</f>
        <v>22812.207945982973</v>
      </c>
    </row>
    <row r="33" spans="3:5" x14ac:dyDescent="0.25">
      <c r="C33" t="s">
        <v>47</v>
      </c>
      <c r="D33">
        <f>D32*D31</f>
        <v>1757.9620077758677</v>
      </c>
    </row>
    <row r="36" spans="3:5" x14ac:dyDescent="0.25">
      <c r="C36" t="s">
        <v>40</v>
      </c>
      <c r="D36" t="s">
        <v>41</v>
      </c>
    </row>
    <row r="37" spans="3:5" x14ac:dyDescent="0.25">
      <c r="C37" s="14" t="s">
        <v>43</v>
      </c>
      <c r="D37" s="12">
        <f>database!C42</f>
        <v>1</v>
      </c>
      <c r="E37" s="12">
        <f>database!I42</f>
        <v>0.92293766513357467</v>
      </c>
    </row>
    <row r="38" spans="3:5" x14ac:dyDescent="0.25">
      <c r="C38" t="s">
        <v>39</v>
      </c>
      <c r="D38" s="12">
        <f>MIN(D37:E37)</f>
        <v>0.92293766513357467</v>
      </c>
    </row>
    <row r="39" spans="3:5" x14ac:dyDescent="0.25">
      <c r="C39" t="s">
        <v>48</v>
      </c>
      <c r="D39">
        <f>database!L29 - (database!L29-database!L30)*D38</f>
        <v>7721.7920540170271</v>
      </c>
    </row>
    <row r="40" spans="3:5" x14ac:dyDescent="0.25">
      <c r="C40" t="s">
        <v>49</v>
      </c>
      <c r="D40">
        <f>D39*D38</f>
        <v>7126.7327289814648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5:Q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A58" zoomScale="80" zoomScaleNormal="80" workbookViewId="0">
      <selection activeCell="C60" sqref="C60:J82"/>
    </sheetView>
  </sheetViews>
  <sheetFormatPr defaultRowHeight="15" x14ac:dyDescent="0.25"/>
  <cols>
    <col min="13" max="13" width="15" customWidth="1"/>
    <col min="15" max="15" width="13.140625" bestFit="1" customWidth="1"/>
    <col min="17" max="17" width="15.140625" bestFit="1" customWidth="1"/>
    <col min="18" max="18" width="12" bestFit="1" customWidth="1"/>
  </cols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  <c r="M13" s="70" t="s">
        <v>50</v>
      </c>
      <c r="N13" s="70"/>
      <c r="O13" s="70"/>
      <c r="P13" s="70"/>
      <c r="Q13" s="70"/>
    </row>
    <row r="14" spans="3:18" x14ac:dyDescent="0.25">
      <c r="C14" s="14" t="s">
        <v>43</v>
      </c>
      <c r="D14" s="12">
        <f>database!D43</f>
        <v>0.52237887963663887</v>
      </c>
      <c r="E14" s="12">
        <f>database!J43</f>
        <v>0.59810157549662391</v>
      </c>
      <c r="M14" t="s">
        <v>51</v>
      </c>
      <c r="N14" t="s">
        <v>22</v>
      </c>
      <c r="O14" t="s">
        <v>29</v>
      </c>
      <c r="P14" t="s">
        <v>52</v>
      </c>
      <c r="Q14" t="s">
        <v>53</v>
      </c>
      <c r="R14" t="s">
        <v>64</v>
      </c>
    </row>
    <row r="15" spans="3:18" x14ac:dyDescent="0.25">
      <c r="C15" t="s">
        <v>35</v>
      </c>
      <c r="D15" s="12">
        <f>MIN(D14:E14)</f>
        <v>0.52237887963663887</v>
      </c>
      <c r="M15" t="s">
        <v>55</v>
      </c>
      <c r="N15" s="12">
        <f>D14</f>
        <v>0.52237887963663887</v>
      </c>
      <c r="O15" s="12">
        <f>E14</f>
        <v>0.59810157549662391</v>
      </c>
      <c r="P15" s="12">
        <f>MIN(N15:O15)</f>
        <v>0.52237887963663887</v>
      </c>
      <c r="Q15">
        <f>D16</f>
        <v>15666.239212717637</v>
      </c>
      <c r="R15">
        <f>D17</f>
        <v>8183.7124880590191</v>
      </c>
    </row>
    <row r="16" spans="3:18" x14ac:dyDescent="0.25">
      <c r="C16" t="s">
        <v>44</v>
      </c>
      <c r="D16">
        <f>D15*(database!L29-database!L30)+database!L30</f>
        <v>15666.239212717637</v>
      </c>
      <c r="M16" t="s">
        <v>56</v>
      </c>
      <c r="N16" s="12">
        <f>D21</f>
        <v>0.52237887963663887</v>
      </c>
      <c r="O16" s="12">
        <f>E21</f>
        <v>0.40189842450337604</v>
      </c>
      <c r="P16" s="12">
        <f t="shared" ref="P16:P18" si="0">MIN(N16:O16)</f>
        <v>0.40189842450337604</v>
      </c>
      <c r="Q16">
        <f>D23</f>
        <v>13516.867893140228</v>
      </c>
      <c r="R16">
        <f>D24</f>
        <v>5432.4079104733255</v>
      </c>
    </row>
    <row r="17" spans="3:18" x14ac:dyDescent="0.25">
      <c r="C17" t="s">
        <v>45</v>
      </c>
      <c r="D17">
        <f>D16*D15</f>
        <v>8183.7124880590191</v>
      </c>
      <c r="M17" t="s">
        <v>60</v>
      </c>
      <c r="N17" s="12">
        <f>D28</f>
        <v>0.47762112036336107</v>
      </c>
      <c r="O17" s="12">
        <f>E28</f>
        <v>0.59810157549662391</v>
      </c>
      <c r="P17" s="12">
        <f t="shared" si="0"/>
        <v>0.47762112036336107</v>
      </c>
      <c r="Q17">
        <f>D30</f>
        <v>15666.239212717639</v>
      </c>
      <c r="R17">
        <f>D31</f>
        <v>7482.5267246586181</v>
      </c>
    </row>
    <row r="18" spans="3:18" x14ac:dyDescent="0.25">
      <c r="M18" t="s">
        <v>61</v>
      </c>
      <c r="N18" s="12">
        <f>D35</f>
        <v>0.47762112036336107</v>
      </c>
      <c r="O18" s="12">
        <f>E35</f>
        <v>0.40189842450337604</v>
      </c>
      <c r="P18" s="12">
        <f t="shared" si="0"/>
        <v>0.40189842450337604</v>
      </c>
      <c r="Q18">
        <f>D37</f>
        <v>17017.132106859772</v>
      </c>
      <c r="R18">
        <f>D38</f>
        <v>6839.1585833127583</v>
      </c>
    </row>
    <row r="19" spans="3:18" x14ac:dyDescent="0.25">
      <c r="P19" s="12">
        <f>SUM(P15:P18)</f>
        <v>1.8037968490067522</v>
      </c>
      <c r="R19">
        <f>SUM(R15:R18)</f>
        <v>27937.805706503721</v>
      </c>
    </row>
    <row r="20" spans="3:18" x14ac:dyDescent="0.25">
      <c r="C20" t="s">
        <v>37</v>
      </c>
      <c r="D20" t="s">
        <v>36</v>
      </c>
    </row>
    <row r="21" spans="3:18" x14ac:dyDescent="0.25">
      <c r="C21" s="14" t="s">
        <v>43</v>
      </c>
      <c r="D21" s="12">
        <f>database!D43</f>
        <v>0.52237887963663887</v>
      </c>
      <c r="E21" s="12">
        <f>database!I43</f>
        <v>0.40189842450337604</v>
      </c>
    </row>
    <row r="22" spans="3:18" x14ac:dyDescent="0.25">
      <c r="C22" t="s">
        <v>35</v>
      </c>
      <c r="D22" s="12">
        <f>MIN(D21:E21)</f>
        <v>0.40189842450337604</v>
      </c>
      <c r="M22" t="s">
        <v>65</v>
      </c>
      <c r="Q22">
        <f>R19/P19</f>
        <v>15488.332692169561</v>
      </c>
    </row>
    <row r="23" spans="3:18" x14ac:dyDescent="0.25">
      <c r="C23" t="s">
        <v>46</v>
      </c>
      <c r="D23">
        <f>D22*(database!L29-database!L30)+database!L30</f>
        <v>13516.867893140228</v>
      </c>
    </row>
    <row r="24" spans="3:18" x14ac:dyDescent="0.25">
      <c r="C24" t="s">
        <v>47</v>
      </c>
      <c r="D24">
        <f>D23*D22</f>
        <v>5432.4079104733255</v>
      </c>
    </row>
    <row r="25" spans="3:18" x14ac:dyDescent="0.25">
      <c r="H25" s="9"/>
      <c r="I25" s="9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12">
        <f>database!C43</f>
        <v>0.47762112036336107</v>
      </c>
      <c r="E28" s="12">
        <f>database!J43</f>
        <v>0.59810157549662391</v>
      </c>
    </row>
    <row r="29" spans="3:18" x14ac:dyDescent="0.25">
      <c r="C29" t="s">
        <v>39</v>
      </c>
      <c r="D29" s="12">
        <f>MIN(D28:E28)</f>
        <v>0.47762112036336107</v>
      </c>
    </row>
    <row r="30" spans="3:18" x14ac:dyDescent="0.25">
      <c r="C30" t="s">
        <v>58</v>
      </c>
      <c r="D30">
        <f>database!L29 - (database!L29-database!L30)*D29</f>
        <v>15666.239212717639</v>
      </c>
    </row>
    <row r="31" spans="3:18" x14ac:dyDescent="0.25">
      <c r="C31" t="s">
        <v>59</v>
      </c>
      <c r="D31">
        <f>D30*D29</f>
        <v>7482.5267246586181</v>
      </c>
    </row>
    <row r="34" spans="3:5" x14ac:dyDescent="0.25">
      <c r="C34" t="s">
        <v>40</v>
      </c>
      <c r="D34" t="s">
        <v>41</v>
      </c>
    </row>
    <row r="35" spans="3:5" x14ac:dyDescent="0.25">
      <c r="C35" s="14" t="s">
        <v>43</v>
      </c>
      <c r="D35" s="12">
        <f>database!C43</f>
        <v>0.47762112036336107</v>
      </c>
      <c r="E35" s="12">
        <f>database!I43</f>
        <v>0.40189842450337604</v>
      </c>
    </row>
    <row r="36" spans="3:5" x14ac:dyDescent="0.25">
      <c r="C36" t="s">
        <v>39</v>
      </c>
      <c r="D36" s="12">
        <f>MIN(D35:E35)</f>
        <v>0.40189842450337604</v>
      </c>
    </row>
    <row r="37" spans="3:5" x14ac:dyDescent="0.25">
      <c r="C37" t="s">
        <v>48</v>
      </c>
      <c r="D37">
        <f>database!L29 - (database!L29-database!L30)*D36</f>
        <v>17017.132106859772</v>
      </c>
    </row>
    <row r="38" spans="3:5" x14ac:dyDescent="0.25">
      <c r="C38" t="s">
        <v>49</v>
      </c>
      <c r="D38">
        <f>D37*D36</f>
        <v>6839.1585833127583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3:Q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AA80"/>
  <sheetViews>
    <sheetView topLeftCell="A59" zoomScale="90" zoomScaleNormal="90" workbookViewId="0">
      <selection activeCell="B60" sqref="B60:I82"/>
    </sheetView>
  </sheetViews>
  <sheetFormatPr defaultRowHeight="15" x14ac:dyDescent="0.25"/>
  <cols>
    <col min="3" max="3" width="11.140625" bestFit="1" customWidth="1"/>
  </cols>
  <sheetData>
    <row r="13" spans="2:27" x14ac:dyDescent="0.25">
      <c r="B13" t="s">
        <v>33</v>
      </c>
      <c r="C13" s="13" t="s">
        <v>34</v>
      </c>
      <c r="D13" s="13"/>
      <c r="E13" s="13"/>
      <c r="F13" s="13"/>
      <c r="G13" s="13"/>
      <c r="H13" s="13"/>
    </row>
    <row r="14" spans="2:27" x14ac:dyDescent="0.25">
      <c r="B14" s="14" t="s">
        <v>43</v>
      </c>
      <c r="C14" s="17">
        <f>database!D44</f>
        <v>0.93768925056775165</v>
      </c>
      <c r="D14" s="17">
        <f>database!J44</f>
        <v>1</v>
      </c>
      <c r="AA14" t="s">
        <v>66</v>
      </c>
    </row>
    <row r="15" spans="2:27" x14ac:dyDescent="0.25">
      <c r="B15" t="s">
        <v>35</v>
      </c>
      <c r="C15" s="17">
        <f>MIN(C14:D14)</f>
        <v>0.93768925056775165</v>
      </c>
      <c r="D15" s="17"/>
      <c r="M15" s="70" t="s">
        <v>50</v>
      </c>
      <c r="N15" s="70"/>
      <c r="O15" s="70"/>
      <c r="P15" s="70"/>
      <c r="Q15" s="70"/>
    </row>
    <row r="16" spans="2:27" x14ac:dyDescent="0.25">
      <c r="B16" t="s">
        <v>44</v>
      </c>
      <c r="C16">
        <f>C15*(database!L29-database!L30)+database!L30</f>
        <v>23075.376230128688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2:18" x14ac:dyDescent="0.25">
      <c r="B17" t="s">
        <v>45</v>
      </c>
      <c r="C17">
        <f>C16*C15</f>
        <v>21637.53224379828</v>
      </c>
      <c r="M17" t="s">
        <v>55</v>
      </c>
      <c r="N17" s="12">
        <f>C14</f>
        <v>0.93768925056775165</v>
      </c>
      <c r="O17" s="12">
        <f>D14</f>
        <v>1</v>
      </c>
      <c r="P17" s="12">
        <f>MIN(N17:O17)</f>
        <v>0.93768925056775165</v>
      </c>
      <c r="Q17">
        <f>C16</f>
        <v>23075.376230128688</v>
      </c>
      <c r="R17">
        <f>C17</f>
        <v>21637.53224379828</v>
      </c>
    </row>
    <row r="18" spans="2:18" x14ac:dyDescent="0.25">
      <c r="M18" t="s">
        <v>56</v>
      </c>
      <c r="N18" s="12">
        <f>C21</f>
        <v>0.93768925056775165</v>
      </c>
      <c r="O18" s="12">
        <f>D21</f>
        <v>0</v>
      </c>
      <c r="P18" s="12">
        <f t="shared" ref="P18:P20" si="0">MIN(N18:O18)</f>
        <v>0</v>
      </c>
      <c r="Q18">
        <f>C23</f>
        <v>6347</v>
      </c>
      <c r="R18">
        <f>C24</f>
        <v>0</v>
      </c>
    </row>
    <row r="19" spans="2:18" x14ac:dyDescent="0.25">
      <c r="M19" t="s">
        <v>60</v>
      </c>
      <c r="N19" s="12">
        <f>C28</f>
        <v>6.2310749432248298E-2</v>
      </c>
      <c r="O19" s="12">
        <f>D28</f>
        <v>1</v>
      </c>
      <c r="P19" s="12">
        <f t="shared" si="0"/>
        <v>6.2310749432248298E-2</v>
      </c>
      <c r="Q19">
        <f>C30</f>
        <v>23075.376230128692</v>
      </c>
      <c r="R19">
        <f>C31</f>
        <v>1437.8439863304072</v>
      </c>
    </row>
    <row r="20" spans="2:18" x14ac:dyDescent="0.25">
      <c r="B20" t="s">
        <v>37</v>
      </c>
      <c r="C20" t="s">
        <v>36</v>
      </c>
      <c r="G20" s="9"/>
      <c r="M20" t="s">
        <v>61</v>
      </c>
      <c r="N20" s="12">
        <f>C35</f>
        <v>6.2310749432248298E-2</v>
      </c>
      <c r="O20" s="12">
        <f>D35</f>
        <v>0</v>
      </c>
      <c r="P20" s="12">
        <f t="shared" si="0"/>
        <v>0</v>
      </c>
      <c r="Q20">
        <f>C37</f>
        <v>24187</v>
      </c>
      <c r="R20">
        <f>C38</f>
        <v>0</v>
      </c>
    </row>
    <row r="21" spans="2:18" x14ac:dyDescent="0.25">
      <c r="B21" s="14" t="s">
        <v>43</v>
      </c>
      <c r="C21" s="17">
        <f>database!D44</f>
        <v>0.93768925056775165</v>
      </c>
      <c r="D21" s="17">
        <f>database!I44</f>
        <v>0</v>
      </c>
      <c r="P21" s="12">
        <f>SUM(P17:P20)</f>
        <v>1</v>
      </c>
      <c r="R21">
        <f>SUM(R17:R20)</f>
        <v>23075.376230128688</v>
      </c>
    </row>
    <row r="22" spans="2:18" x14ac:dyDescent="0.25">
      <c r="B22" t="s">
        <v>35</v>
      </c>
      <c r="C22" s="17">
        <f>MIN(C21:D21)</f>
        <v>0</v>
      </c>
      <c r="D22" s="17"/>
    </row>
    <row r="23" spans="2:18" x14ac:dyDescent="0.25">
      <c r="B23" t="s">
        <v>46</v>
      </c>
      <c r="C23">
        <f>C22*(database!L29-database!L30)+database!L30</f>
        <v>6347</v>
      </c>
    </row>
    <row r="24" spans="2:18" x14ac:dyDescent="0.25">
      <c r="B24" t="s">
        <v>47</v>
      </c>
      <c r="C24">
        <f>C23*C22</f>
        <v>0</v>
      </c>
      <c r="M24" t="s">
        <v>65</v>
      </c>
      <c r="Q24">
        <f>R21/P21</f>
        <v>23075.376230128688</v>
      </c>
    </row>
    <row r="25" spans="2:18" x14ac:dyDescent="0.25">
      <c r="H25" s="9"/>
    </row>
    <row r="27" spans="2:18" x14ac:dyDescent="0.25">
      <c r="B27" t="s">
        <v>57</v>
      </c>
      <c r="C27" t="s">
        <v>38</v>
      </c>
    </row>
    <row r="28" spans="2:18" x14ac:dyDescent="0.25">
      <c r="B28" s="14" t="s">
        <v>43</v>
      </c>
      <c r="C28" s="12">
        <f>database!C44</f>
        <v>6.2310749432248298E-2</v>
      </c>
      <c r="D28" s="12">
        <f>database!J44</f>
        <v>1</v>
      </c>
    </row>
    <row r="29" spans="2:18" x14ac:dyDescent="0.25">
      <c r="B29" t="s">
        <v>39</v>
      </c>
      <c r="C29" s="12">
        <f>MIN(C28:D28)</f>
        <v>6.2310749432248298E-2</v>
      </c>
    </row>
    <row r="30" spans="2:18" x14ac:dyDescent="0.25">
      <c r="B30" t="s">
        <v>58</v>
      </c>
      <c r="C30">
        <f>database!L29 - (database!L29-database!L30)*C29</f>
        <v>23075.376230128692</v>
      </c>
    </row>
    <row r="31" spans="2:18" x14ac:dyDescent="0.25">
      <c r="B31" t="s">
        <v>59</v>
      </c>
      <c r="C31">
        <f>C30*C29</f>
        <v>1437.8439863304072</v>
      </c>
    </row>
    <row r="34" spans="2:4" x14ac:dyDescent="0.25">
      <c r="B34" t="s">
        <v>40</v>
      </c>
      <c r="C34" t="s">
        <v>41</v>
      </c>
    </row>
    <row r="35" spans="2:4" x14ac:dyDescent="0.25">
      <c r="B35" s="14" t="s">
        <v>43</v>
      </c>
      <c r="C35" s="12">
        <f>database!C44</f>
        <v>6.2310749432248298E-2</v>
      </c>
      <c r="D35" s="12">
        <f>database!I44</f>
        <v>0</v>
      </c>
    </row>
    <row r="36" spans="2:4" x14ac:dyDescent="0.25">
      <c r="B36" t="s">
        <v>39</v>
      </c>
      <c r="C36" s="12">
        <f>MIN(C35:D35)</f>
        <v>0</v>
      </c>
    </row>
    <row r="37" spans="2:4" x14ac:dyDescent="0.25">
      <c r="B37" t="s">
        <v>48</v>
      </c>
      <c r="C37">
        <f>database!L29-(database!L29-database!L30)*C36</f>
        <v>24187</v>
      </c>
    </row>
    <row r="38" spans="2:4" x14ac:dyDescent="0.25">
      <c r="B38" t="s">
        <v>49</v>
      </c>
      <c r="C38">
        <f>C37*C36</f>
        <v>0</v>
      </c>
    </row>
    <row r="61" spans="3:4" x14ac:dyDescent="0.25">
      <c r="C61" s="12"/>
      <c r="D61" s="12"/>
    </row>
    <row r="62" spans="3:4" x14ac:dyDescent="0.25">
      <c r="C62" s="12"/>
    </row>
    <row r="67" spans="3:4" x14ac:dyDescent="0.25">
      <c r="C67" s="12"/>
      <c r="D67" s="12"/>
    </row>
    <row r="68" spans="3:4" x14ac:dyDescent="0.25">
      <c r="C68" s="12"/>
    </row>
    <row r="73" spans="3:4" x14ac:dyDescent="0.25">
      <c r="C73" s="12"/>
      <c r="D73" s="12"/>
    </row>
    <row r="74" spans="3:4" x14ac:dyDescent="0.25">
      <c r="C74" s="12"/>
    </row>
    <row r="79" spans="3:4" x14ac:dyDescent="0.25">
      <c r="C79" s="12"/>
      <c r="D79" s="12"/>
    </row>
    <row r="80" spans="3:4" x14ac:dyDescent="0.25">
      <c r="C80" s="12"/>
    </row>
  </sheetData>
  <mergeCells count="1">
    <mergeCell ref="M15:Q1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A55" zoomScale="77" zoomScaleNormal="77" workbookViewId="0">
      <selection activeCell="C60" sqref="C60:E82"/>
    </sheetView>
  </sheetViews>
  <sheetFormatPr defaultRowHeight="15" x14ac:dyDescent="0.25"/>
  <cols>
    <col min="14" max="14" width="10.140625" bestFit="1" customWidth="1"/>
    <col min="15" max="15" width="13.140625" bestFit="1" customWidth="1"/>
    <col min="17" max="17" width="15.140625" bestFit="1" customWidth="1"/>
    <col min="18" max="18" width="11.7109375" bestFit="1" customWidth="1"/>
  </cols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</row>
    <row r="14" spans="3:18" x14ac:dyDescent="0.25">
      <c r="C14" s="14" t="s">
        <v>43</v>
      </c>
      <c r="D14" s="12">
        <f>database!D45</f>
        <v>0.47336298258894777</v>
      </c>
      <c r="E14" s="12">
        <f>database!J45</f>
        <v>0</v>
      </c>
    </row>
    <row r="15" spans="3:18" x14ac:dyDescent="0.25">
      <c r="C15" t="s">
        <v>35</v>
      </c>
      <c r="D15" s="12">
        <f>MIN(D14:E14)</f>
        <v>0</v>
      </c>
      <c r="M15" s="70" t="s">
        <v>50</v>
      </c>
      <c r="N15" s="70"/>
      <c r="O15" s="70"/>
      <c r="P15" s="70"/>
      <c r="Q15" s="70"/>
    </row>
    <row r="16" spans="3:18" x14ac:dyDescent="0.25">
      <c r="C16" t="s">
        <v>44</v>
      </c>
      <c r="D16">
        <f>D15*(database!L29-database!L30)+database!L30</f>
        <v>6347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89</v>
      </c>
    </row>
    <row r="17" spans="3:18" x14ac:dyDescent="0.25">
      <c r="C17" t="s">
        <v>45</v>
      </c>
      <c r="D17">
        <f>D16*D15</f>
        <v>0</v>
      </c>
      <c r="M17" t="s">
        <v>55</v>
      </c>
      <c r="N17" s="12">
        <f>D14</f>
        <v>0.47336298258894777</v>
      </c>
      <c r="O17" s="12">
        <f>E14</f>
        <v>0</v>
      </c>
      <c r="P17" s="12">
        <f>MIN(N17:O17)</f>
        <v>0</v>
      </c>
      <c r="Q17">
        <f>D16</f>
        <v>6347</v>
      </c>
      <c r="R17">
        <f>D17</f>
        <v>0</v>
      </c>
    </row>
    <row r="18" spans="3:18" x14ac:dyDescent="0.25">
      <c r="M18" t="s">
        <v>56</v>
      </c>
      <c r="N18" s="12">
        <f>D21</f>
        <v>0.47336298258894777</v>
      </c>
      <c r="O18" s="12">
        <f>E21</f>
        <v>1</v>
      </c>
      <c r="P18" s="12">
        <f t="shared" ref="P18:P20" si="0">MIN(N18:O18)</f>
        <v>0.47336298258894777</v>
      </c>
      <c r="Q18">
        <f>D23</f>
        <v>14791.795609386829</v>
      </c>
      <c r="R18">
        <f>D24</f>
        <v>7001.8884875054518</v>
      </c>
    </row>
    <row r="19" spans="3:18" x14ac:dyDescent="0.25">
      <c r="M19" t="s">
        <v>60</v>
      </c>
      <c r="N19" s="12">
        <f>D28</f>
        <v>0.52663701741105229</v>
      </c>
      <c r="O19" s="12">
        <f>E28</f>
        <v>0</v>
      </c>
      <c r="P19" s="12">
        <f t="shared" si="0"/>
        <v>0</v>
      </c>
      <c r="Q19">
        <f>D30</f>
        <v>24187</v>
      </c>
      <c r="R19">
        <f>D31</f>
        <v>0</v>
      </c>
    </row>
    <row r="20" spans="3:18" x14ac:dyDescent="0.25">
      <c r="C20" t="s">
        <v>37</v>
      </c>
      <c r="D20" t="s">
        <v>36</v>
      </c>
      <c r="H20" s="11"/>
      <c r="M20" t="s">
        <v>61</v>
      </c>
      <c r="N20" s="12">
        <f>D35</f>
        <v>0.52663701741105229</v>
      </c>
      <c r="O20" s="12">
        <f>E35</f>
        <v>1</v>
      </c>
      <c r="P20" s="12">
        <f t="shared" si="0"/>
        <v>0.52663701741105229</v>
      </c>
      <c r="Q20">
        <f>D37</f>
        <v>14791.795609386827</v>
      </c>
      <c r="R20">
        <f>D38</f>
        <v>7789.907121881377</v>
      </c>
    </row>
    <row r="21" spans="3:18" x14ac:dyDescent="0.25">
      <c r="C21" s="14" t="s">
        <v>43</v>
      </c>
      <c r="D21" s="12">
        <f>database!D45</f>
        <v>0.47336298258894777</v>
      </c>
      <c r="E21" s="12">
        <f>database!I45</f>
        <v>1</v>
      </c>
      <c r="P21" s="12">
        <f>SUM(P17:P20)</f>
        <v>1</v>
      </c>
      <c r="R21">
        <f>SUM(R17:R20)</f>
        <v>14791.795609386829</v>
      </c>
    </row>
    <row r="22" spans="3:18" x14ac:dyDescent="0.25">
      <c r="C22" t="s">
        <v>35</v>
      </c>
      <c r="D22" s="12">
        <f>MIN(D21:E21)</f>
        <v>0.47336298258894777</v>
      </c>
    </row>
    <row r="23" spans="3:18" x14ac:dyDescent="0.25">
      <c r="C23" t="s">
        <v>46</v>
      </c>
      <c r="D23">
        <f>D22*(database!L29-database!L30)+database!L30</f>
        <v>14791.795609386829</v>
      </c>
    </row>
    <row r="24" spans="3:18" x14ac:dyDescent="0.25">
      <c r="C24" t="s">
        <v>47</v>
      </c>
      <c r="D24">
        <f>D23*D22</f>
        <v>7001.8884875054518</v>
      </c>
      <c r="M24" t="s">
        <v>65</v>
      </c>
      <c r="Q24">
        <f>R21/P21</f>
        <v>14791.795609386829</v>
      </c>
    </row>
    <row r="25" spans="3:18" x14ac:dyDescent="0.25">
      <c r="I25" s="11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12">
        <f>database!C45</f>
        <v>0.52663701741105229</v>
      </c>
      <c r="E28" s="12">
        <f>database!J45</f>
        <v>0</v>
      </c>
    </row>
    <row r="29" spans="3:18" x14ac:dyDescent="0.25">
      <c r="C29" t="s">
        <v>39</v>
      </c>
      <c r="D29" s="12">
        <f>MIN(D28:E28)</f>
        <v>0</v>
      </c>
    </row>
    <row r="30" spans="3:18" x14ac:dyDescent="0.25">
      <c r="C30" t="s">
        <v>58</v>
      </c>
      <c r="D30">
        <f>database!L29 - (database!L29-database!L30)*D29</f>
        <v>24187</v>
      </c>
    </row>
    <row r="31" spans="3:18" x14ac:dyDescent="0.25">
      <c r="C31" t="s">
        <v>59</v>
      </c>
      <c r="D31">
        <f>D30*D29</f>
        <v>0</v>
      </c>
    </row>
    <row r="34" spans="3:5" x14ac:dyDescent="0.25">
      <c r="C34" t="s">
        <v>40</v>
      </c>
      <c r="D34" t="s">
        <v>41</v>
      </c>
    </row>
    <row r="35" spans="3:5" x14ac:dyDescent="0.25">
      <c r="C35" s="14" t="s">
        <v>43</v>
      </c>
      <c r="D35" s="12">
        <f>database!C45</f>
        <v>0.52663701741105229</v>
      </c>
      <c r="E35" s="12">
        <f>database!I45</f>
        <v>1</v>
      </c>
    </row>
    <row r="36" spans="3:5" x14ac:dyDescent="0.25">
      <c r="C36" t="s">
        <v>39</v>
      </c>
      <c r="D36" s="12">
        <f>MIN(D35:E35)</f>
        <v>0.52663701741105229</v>
      </c>
    </row>
    <row r="37" spans="3:5" x14ac:dyDescent="0.25">
      <c r="C37" t="s">
        <v>48</v>
      </c>
      <c r="D37">
        <f>database!L29 - (database!L29-database!L30)*D36</f>
        <v>14791.795609386827</v>
      </c>
    </row>
    <row r="38" spans="3:5" x14ac:dyDescent="0.25">
      <c r="C38" t="s">
        <v>49</v>
      </c>
      <c r="D38">
        <f>D37*D36</f>
        <v>7789.907121881377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5:Q1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Q80"/>
  <sheetViews>
    <sheetView topLeftCell="A56" zoomScale="80" zoomScaleNormal="80" workbookViewId="0">
      <selection activeCell="B60" sqref="B60:F82"/>
    </sheetView>
  </sheetViews>
  <sheetFormatPr defaultRowHeight="15" x14ac:dyDescent="0.25"/>
  <cols>
    <col min="13" max="13" width="10" bestFit="1" customWidth="1"/>
    <col min="14" max="14" width="13.140625" bestFit="1" customWidth="1"/>
    <col min="16" max="16" width="15.140625" bestFit="1" customWidth="1"/>
    <col min="17" max="17" width="12" bestFit="1" customWidth="1"/>
  </cols>
  <sheetData>
    <row r="13" spans="2:17" x14ac:dyDescent="0.25">
      <c r="B13" t="s">
        <v>33</v>
      </c>
      <c r="C13" s="13" t="s">
        <v>34</v>
      </c>
      <c r="D13" s="13"/>
      <c r="E13" s="13"/>
      <c r="F13" s="13"/>
      <c r="G13" s="13"/>
      <c r="H13" s="13"/>
    </row>
    <row r="14" spans="2:17" x14ac:dyDescent="0.25">
      <c r="B14" s="14" t="s">
        <v>43</v>
      </c>
      <c r="C14" s="17">
        <f>database!D46</f>
        <v>0.38441521574564724</v>
      </c>
      <c r="D14" s="17">
        <f>database!J46</f>
        <v>0.14546433114786184</v>
      </c>
    </row>
    <row r="15" spans="2:17" x14ac:dyDescent="0.25">
      <c r="B15" t="s">
        <v>35</v>
      </c>
      <c r="C15" s="17">
        <f>MIN(C14:D14)</f>
        <v>0.14546433114786184</v>
      </c>
      <c r="L15" s="70" t="s">
        <v>50</v>
      </c>
      <c r="M15" s="70"/>
      <c r="N15" s="70"/>
      <c r="O15" s="70"/>
      <c r="P15" s="70"/>
    </row>
    <row r="16" spans="2:17" x14ac:dyDescent="0.25">
      <c r="B16" t="s">
        <v>44</v>
      </c>
      <c r="C16">
        <f>C15*(database!L29-database!L30)+database!L30</f>
        <v>8942.0836676778563</v>
      </c>
      <c r="L16" t="s">
        <v>51</v>
      </c>
      <c r="M16" t="s">
        <v>22</v>
      </c>
      <c r="N16" t="s">
        <v>29</v>
      </c>
      <c r="O16" t="s">
        <v>52</v>
      </c>
      <c r="P16" t="s">
        <v>53</v>
      </c>
      <c r="Q16" t="s">
        <v>64</v>
      </c>
    </row>
    <row r="17" spans="2:17" x14ac:dyDescent="0.25">
      <c r="B17" t="s">
        <v>45</v>
      </c>
      <c r="C17">
        <f>C16*C15</f>
        <v>1300.7542197869786</v>
      </c>
      <c r="L17" t="s">
        <v>55</v>
      </c>
      <c r="M17" s="17">
        <f>C14</f>
        <v>0.38441521574564724</v>
      </c>
      <c r="N17" s="17">
        <f>D14</f>
        <v>0.14546433114786184</v>
      </c>
      <c r="O17" s="17">
        <f>MIN(M17:N17)</f>
        <v>0.14546433114786184</v>
      </c>
      <c r="P17" s="17">
        <f>C16</f>
        <v>8942.0836676778563</v>
      </c>
      <c r="Q17" s="17">
        <f>C17</f>
        <v>1300.7542197869786</v>
      </c>
    </row>
    <row r="18" spans="2:17" x14ac:dyDescent="0.25">
      <c r="L18" t="s">
        <v>56</v>
      </c>
      <c r="M18" s="17">
        <f>C21</f>
        <v>0.38441521574564724</v>
      </c>
      <c r="N18" s="17">
        <f>D21</f>
        <v>0.85453566885213816</v>
      </c>
      <c r="O18" s="17">
        <f t="shared" ref="O18:O20" si="0">MIN(M18:N18)</f>
        <v>0.38441521574564724</v>
      </c>
      <c r="P18" s="17">
        <f>C23</f>
        <v>13204.967448902345</v>
      </c>
      <c r="Q18" s="17">
        <f>C24</f>
        <v>5076.1904107840446</v>
      </c>
    </row>
    <row r="19" spans="2:17" x14ac:dyDescent="0.25">
      <c r="L19" t="s">
        <v>60</v>
      </c>
      <c r="M19" s="17">
        <f>C28</f>
        <v>0.61558478425435281</v>
      </c>
      <c r="N19" s="17">
        <f>D28</f>
        <v>0.14546433114786184</v>
      </c>
      <c r="O19" s="17">
        <f t="shared" si="0"/>
        <v>0.14546433114786184</v>
      </c>
      <c r="P19" s="17">
        <f>C30</f>
        <v>21591.916332322144</v>
      </c>
      <c r="Q19" s="17">
        <f>C31</f>
        <v>3140.8536674818347</v>
      </c>
    </row>
    <row r="20" spans="2:17" x14ac:dyDescent="0.25">
      <c r="B20" t="s">
        <v>37</v>
      </c>
      <c r="C20" t="s">
        <v>36</v>
      </c>
      <c r="L20" t="s">
        <v>61</v>
      </c>
      <c r="M20" s="17">
        <f>C35</f>
        <v>0.61558478425435281</v>
      </c>
      <c r="N20" s="17">
        <f>D35</f>
        <v>0.85453566885213816</v>
      </c>
      <c r="O20" s="17">
        <f t="shared" si="0"/>
        <v>0.61558478425435281</v>
      </c>
      <c r="P20" s="17">
        <f>C37</f>
        <v>13204.967448902345</v>
      </c>
      <c r="Q20" s="17">
        <f>C38</f>
        <v>8128.7770381183018</v>
      </c>
    </row>
    <row r="21" spans="2:17" x14ac:dyDescent="0.25">
      <c r="B21" s="14" t="s">
        <v>43</v>
      </c>
      <c r="C21" s="12">
        <f>database!D46</f>
        <v>0.38441521574564724</v>
      </c>
      <c r="D21" s="12">
        <f>database!I46</f>
        <v>0.85453566885213816</v>
      </c>
      <c r="M21" s="17"/>
      <c r="N21" s="17"/>
      <c r="O21" s="17">
        <f>SUM(O17:O20)</f>
        <v>1.2909286622957237</v>
      </c>
      <c r="P21" s="17"/>
      <c r="Q21" s="17">
        <f>SUM(Q17:Q20)</f>
        <v>17646.575336171161</v>
      </c>
    </row>
    <row r="22" spans="2:17" x14ac:dyDescent="0.25">
      <c r="B22" t="s">
        <v>35</v>
      </c>
      <c r="C22" s="12">
        <f>MIN(C21:D21)</f>
        <v>0.38441521574564724</v>
      </c>
    </row>
    <row r="23" spans="2:17" x14ac:dyDescent="0.25">
      <c r="B23" t="s">
        <v>46</v>
      </c>
      <c r="C23">
        <f>C22*(database!L29-database!L30)+database!L30</f>
        <v>13204.967448902345</v>
      </c>
    </row>
    <row r="24" spans="2:17" x14ac:dyDescent="0.25">
      <c r="B24" t="s">
        <v>47</v>
      </c>
      <c r="C24">
        <f>C23*C22</f>
        <v>5076.1904107840446</v>
      </c>
      <c r="L24" t="s">
        <v>65</v>
      </c>
      <c r="P24">
        <f>Q21/O21</f>
        <v>13669.675057635923</v>
      </c>
    </row>
    <row r="25" spans="2:17" x14ac:dyDescent="0.25">
      <c r="G25" s="11"/>
      <c r="H25" s="11"/>
    </row>
    <row r="27" spans="2:17" x14ac:dyDescent="0.25">
      <c r="B27" t="s">
        <v>57</v>
      </c>
      <c r="C27" t="s">
        <v>38</v>
      </c>
    </row>
    <row r="28" spans="2:17" x14ac:dyDescent="0.25">
      <c r="B28" s="14" t="s">
        <v>43</v>
      </c>
      <c r="C28" s="12">
        <f>database!C46</f>
        <v>0.61558478425435281</v>
      </c>
      <c r="D28" s="12">
        <f>database!J46</f>
        <v>0.14546433114786184</v>
      </c>
    </row>
    <row r="29" spans="2:17" x14ac:dyDescent="0.25">
      <c r="B29" t="s">
        <v>39</v>
      </c>
      <c r="C29" s="12">
        <f>MIN(C28:D28)</f>
        <v>0.14546433114786184</v>
      </c>
    </row>
    <row r="30" spans="2:17" x14ac:dyDescent="0.25">
      <c r="B30" t="s">
        <v>58</v>
      </c>
      <c r="C30">
        <f>database!L29 - (database!L29-database!L30)*C29</f>
        <v>21591.916332322144</v>
      </c>
    </row>
    <row r="31" spans="2:17" x14ac:dyDescent="0.25">
      <c r="B31" t="s">
        <v>59</v>
      </c>
      <c r="C31">
        <f>C30*C29</f>
        <v>3140.8536674818347</v>
      </c>
    </row>
    <row r="34" spans="2:4" x14ac:dyDescent="0.25">
      <c r="B34" t="s">
        <v>40</v>
      </c>
      <c r="C34" t="s">
        <v>41</v>
      </c>
    </row>
    <row r="35" spans="2:4" x14ac:dyDescent="0.25">
      <c r="B35" s="14" t="s">
        <v>43</v>
      </c>
      <c r="C35" s="12">
        <f>database!C46</f>
        <v>0.61558478425435281</v>
      </c>
      <c r="D35" s="12">
        <f>database!I46</f>
        <v>0.85453566885213816</v>
      </c>
    </row>
    <row r="36" spans="2:4" x14ac:dyDescent="0.25">
      <c r="B36" t="s">
        <v>39</v>
      </c>
      <c r="C36" s="12">
        <f>MIN(C35:D35)</f>
        <v>0.61558478425435281</v>
      </c>
    </row>
    <row r="37" spans="2:4" x14ac:dyDescent="0.25">
      <c r="B37" t="s">
        <v>48</v>
      </c>
      <c r="C37">
        <f>database!L29 - (database!L29-database!L30)*C36</f>
        <v>13204.967448902345</v>
      </c>
    </row>
    <row r="38" spans="2:4" x14ac:dyDescent="0.25">
      <c r="B38" t="s">
        <v>49</v>
      </c>
      <c r="C38">
        <f>C37*C36</f>
        <v>8128.7770381183018</v>
      </c>
    </row>
    <row r="61" spans="3:4" x14ac:dyDescent="0.25">
      <c r="C61" s="12"/>
      <c r="D61" s="12"/>
    </row>
    <row r="62" spans="3:4" x14ac:dyDescent="0.25">
      <c r="C62" s="12"/>
    </row>
    <row r="67" spans="3:4" x14ac:dyDescent="0.25">
      <c r="C67" s="12"/>
      <c r="D67" s="12"/>
    </row>
    <row r="68" spans="3:4" x14ac:dyDescent="0.25">
      <c r="C68" s="12"/>
    </row>
    <row r="73" spans="3:4" x14ac:dyDescent="0.25">
      <c r="C73" s="12"/>
      <c r="D73" s="12"/>
    </row>
    <row r="74" spans="3:4" x14ac:dyDescent="0.25">
      <c r="C74" s="12"/>
    </row>
    <row r="79" spans="3:4" x14ac:dyDescent="0.25">
      <c r="C79" s="12"/>
      <c r="D79" s="12"/>
    </row>
    <row r="80" spans="3:4" x14ac:dyDescent="0.25">
      <c r="C80" s="12"/>
    </row>
  </sheetData>
  <mergeCells count="1">
    <mergeCell ref="L15:P1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A59" zoomScale="93" zoomScaleNormal="93" workbookViewId="0">
      <selection activeCell="C60" sqref="C60:G82"/>
    </sheetView>
  </sheetViews>
  <sheetFormatPr defaultRowHeight="15" x14ac:dyDescent="0.25"/>
  <cols>
    <col min="17" max="17" width="15.140625" bestFit="1" customWidth="1"/>
    <col min="18" max="18" width="12.7109375" bestFit="1" customWidth="1"/>
  </cols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</row>
    <row r="14" spans="3:18" x14ac:dyDescent="0.25">
      <c r="C14" s="14" t="s">
        <v>43</v>
      </c>
      <c r="D14" s="12">
        <f>database!D47</f>
        <v>0.58942089326267977</v>
      </c>
      <c r="E14" s="12">
        <f>database!J47</f>
        <v>0.39499951071533418</v>
      </c>
    </row>
    <row r="15" spans="3:18" x14ac:dyDescent="0.25">
      <c r="C15" t="s">
        <v>35</v>
      </c>
      <c r="D15" s="12">
        <f>MIN(D14:E14)</f>
        <v>0.39499951071533418</v>
      </c>
      <c r="M15" s="70" t="s">
        <v>50</v>
      </c>
      <c r="N15" s="70"/>
      <c r="O15" s="70"/>
      <c r="P15" s="70"/>
      <c r="Q15" s="70"/>
    </row>
    <row r="16" spans="3:18" x14ac:dyDescent="0.25">
      <c r="C16" t="s">
        <v>44</v>
      </c>
      <c r="D16">
        <f>D15*(database!L29-database!L30)+database!L30</f>
        <v>13393.791271161561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3:18" x14ac:dyDescent="0.25">
      <c r="C17" t="s">
        <v>45</v>
      </c>
      <c r="D17">
        <f>D16*D15</f>
        <v>5290.54099873213</v>
      </c>
      <c r="M17" t="s">
        <v>55</v>
      </c>
      <c r="N17" s="12">
        <f>D14</f>
        <v>0.58942089326267977</v>
      </c>
      <c r="O17" s="12">
        <f>E14</f>
        <v>0.39499951071533418</v>
      </c>
      <c r="P17" s="12">
        <f>MIN(N17:O17)</f>
        <v>0.39499951071533418</v>
      </c>
      <c r="Q17">
        <f>D16</f>
        <v>13393.791271161561</v>
      </c>
      <c r="R17">
        <f>D17</f>
        <v>5290.54099873213</v>
      </c>
    </row>
    <row r="18" spans="3:18" x14ac:dyDescent="0.25">
      <c r="M18" t="s">
        <v>56</v>
      </c>
      <c r="N18" s="12">
        <f>D21</f>
        <v>0.58942089326267977</v>
      </c>
      <c r="O18" s="12">
        <f>E21</f>
        <v>0.60500048928466577</v>
      </c>
      <c r="P18" s="12">
        <f t="shared" ref="P18:P20" si="0">MIN(N18:O18)</f>
        <v>0.58942089326267977</v>
      </c>
      <c r="Q18">
        <f>D23</f>
        <v>16862.268735806207</v>
      </c>
      <c r="R18">
        <f>D24</f>
        <v>9938.9735006942519</v>
      </c>
    </row>
    <row r="19" spans="3:18" x14ac:dyDescent="0.25">
      <c r="M19" t="s">
        <v>60</v>
      </c>
      <c r="N19" s="12">
        <f>D28</f>
        <v>0.41057910673732023</v>
      </c>
      <c r="O19" s="12">
        <f>E28</f>
        <v>0.39499951071533418</v>
      </c>
      <c r="P19" s="12">
        <f t="shared" si="0"/>
        <v>0.39499951071533418</v>
      </c>
      <c r="Q19">
        <f>D30</f>
        <v>17140.208728838439</v>
      </c>
      <c r="R19">
        <f>D31</f>
        <v>6770.3740614498838</v>
      </c>
    </row>
    <row r="20" spans="3:18" x14ac:dyDescent="0.25">
      <c r="C20" t="s">
        <v>37</v>
      </c>
      <c r="D20" t="s">
        <v>36</v>
      </c>
      <c r="M20" t="s">
        <v>61</v>
      </c>
      <c r="N20" s="12">
        <f>D35</f>
        <v>0.41057910673732023</v>
      </c>
      <c r="O20" s="12">
        <f>E35</f>
        <v>0.60500048928466577</v>
      </c>
      <c r="P20" s="12">
        <f t="shared" si="0"/>
        <v>0.41057910673732023</v>
      </c>
      <c r="Q20">
        <f>D37</f>
        <v>16862.268735806207</v>
      </c>
      <c r="R20">
        <f>D38</f>
        <v>6923.2952351119548</v>
      </c>
    </row>
    <row r="21" spans="3:18" x14ac:dyDescent="0.25">
      <c r="C21" s="14" t="s">
        <v>43</v>
      </c>
      <c r="D21" s="12">
        <f>database!D47</f>
        <v>0.58942089326267977</v>
      </c>
      <c r="E21" s="12">
        <f>database!I47</f>
        <v>0.60500048928466577</v>
      </c>
      <c r="P21" s="12">
        <f>SUM(P17:P20)</f>
        <v>1.7899990214306682</v>
      </c>
      <c r="R21">
        <f>SUM(R17:R20)</f>
        <v>28923.183795988218</v>
      </c>
    </row>
    <row r="22" spans="3:18" x14ac:dyDescent="0.25">
      <c r="C22" t="s">
        <v>35</v>
      </c>
      <c r="D22" s="12">
        <f>MIN(D21:E21)</f>
        <v>0.58942089326267977</v>
      </c>
    </row>
    <row r="23" spans="3:18" x14ac:dyDescent="0.25">
      <c r="C23" t="s">
        <v>46</v>
      </c>
      <c r="D23">
        <f>D22*(database!L29-database!L30)+database!L30</f>
        <v>16862.268735806207</v>
      </c>
    </row>
    <row r="24" spans="3:18" x14ac:dyDescent="0.25">
      <c r="C24" t="s">
        <v>47</v>
      </c>
      <c r="D24">
        <f>D23*D22</f>
        <v>9938.9735006942519</v>
      </c>
      <c r="M24" t="s">
        <v>65</v>
      </c>
      <c r="Q24">
        <f>R21/P21</f>
        <v>16158.212071463133</v>
      </c>
    </row>
    <row r="25" spans="3:18" x14ac:dyDescent="0.25">
      <c r="H25" s="11"/>
      <c r="I25" s="11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12">
        <f>database!C47</f>
        <v>0.41057910673732023</v>
      </c>
      <c r="E28" s="12">
        <f>database!J47</f>
        <v>0.39499951071533418</v>
      </c>
    </row>
    <row r="29" spans="3:18" x14ac:dyDescent="0.25">
      <c r="C29" t="s">
        <v>39</v>
      </c>
      <c r="D29" s="12">
        <f>MIN(D28:E28)</f>
        <v>0.39499951071533418</v>
      </c>
    </row>
    <row r="30" spans="3:18" x14ac:dyDescent="0.25">
      <c r="C30" t="s">
        <v>58</v>
      </c>
      <c r="D30">
        <f>database!L29 - (database!L29-database!L30)*D29</f>
        <v>17140.208728838439</v>
      </c>
    </row>
    <row r="31" spans="3:18" x14ac:dyDescent="0.25">
      <c r="C31" t="s">
        <v>59</v>
      </c>
      <c r="D31">
        <f>D30*D29</f>
        <v>6770.3740614498838</v>
      </c>
    </row>
    <row r="34" spans="3:5" x14ac:dyDescent="0.25">
      <c r="C34" t="s">
        <v>40</v>
      </c>
      <c r="D34" t="s">
        <v>41</v>
      </c>
    </row>
    <row r="35" spans="3:5" x14ac:dyDescent="0.25">
      <c r="C35" s="14" t="s">
        <v>43</v>
      </c>
      <c r="D35" s="12">
        <f>database!C47</f>
        <v>0.41057910673732023</v>
      </c>
      <c r="E35" s="12">
        <f>database!I47</f>
        <v>0.60500048928466577</v>
      </c>
    </row>
    <row r="36" spans="3:5" x14ac:dyDescent="0.25">
      <c r="C36" t="s">
        <v>39</v>
      </c>
      <c r="D36" s="12">
        <f>MIN(D35:E35)</f>
        <v>0.41057910673732023</v>
      </c>
    </row>
    <row r="37" spans="3:5" x14ac:dyDescent="0.25">
      <c r="C37" t="s">
        <v>48</v>
      </c>
      <c r="D37">
        <f>database!L29 - (database!L29-database!L30)*D36</f>
        <v>16862.268735806207</v>
      </c>
    </row>
    <row r="38" spans="3:5" x14ac:dyDescent="0.25">
      <c r="C38" t="s">
        <v>49</v>
      </c>
      <c r="D38">
        <f>D37*D36</f>
        <v>6923.2952351119548</v>
      </c>
    </row>
    <row r="61" spans="4:5" x14ac:dyDescent="0.25">
      <c r="D61" s="12"/>
      <c r="E61" s="12"/>
    </row>
    <row r="62" spans="4:5" x14ac:dyDescent="0.25">
      <c r="D62" s="12"/>
    </row>
    <row r="67" spans="4:5" x14ac:dyDescent="0.25">
      <c r="D67" s="12"/>
      <c r="E67" s="12"/>
    </row>
    <row r="68" spans="4:5" x14ac:dyDescent="0.25">
      <c r="D68" s="12"/>
    </row>
    <row r="73" spans="4:5" x14ac:dyDescent="0.25">
      <c r="D73" s="12"/>
      <c r="E73" s="12"/>
    </row>
    <row r="74" spans="4:5" x14ac:dyDescent="0.25">
      <c r="D74" s="12"/>
    </row>
    <row r="79" spans="4:5" x14ac:dyDescent="0.25">
      <c r="D79" s="12"/>
      <c r="E79" s="12"/>
    </row>
    <row r="80" spans="4:5" x14ac:dyDescent="0.25">
      <c r="D80" s="12"/>
    </row>
  </sheetData>
  <mergeCells count="1">
    <mergeCell ref="M15:Q1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R80"/>
  <sheetViews>
    <sheetView topLeftCell="A49" zoomScale="98" zoomScaleNormal="98" workbookViewId="0">
      <selection activeCell="C60" sqref="C60:H82"/>
    </sheetView>
  </sheetViews>
  <sheetFormatPr defaultRowHeight="15" x14ac:dyDescent="0.25"/>
  <cols>
    <col min="15" max="15" width="13.140625" bestFit="1" customWidth="1"/>
    <col min="17" max="17" width="15.140625" bestFit="1" customWidth="1"/>
    <col min="18" max="18" width="12" bestFit="1" customWidth="1"/>
  </cols>
  <sheetData>
    <row r="13" spans="3:18" x14ac:dyDescent="0.25">
      <c r="C13" t="s">
        <v>33</v>
      </c>
      <c r="D13" s="13" t="s">
        <v>34</v>
      </c>
      <c r="E13" s="13"/>
      <c r="F13" s="13"/>
      <c r="G13" s="13"/>
      <c r="H13" s="13"/>
      <c r="I13" s="13"/>
    </row>
    <row r="14" spans="3:18" x14ac:dyDescent="0.25">
      <c r="C14" s="14" t="s">
        <v>43</v>
      </c>
      <c r="D14" s="53">
        <f>database!D48</f>
        <v>0.99952687358062076</v>
      </c>
      <c r="E14" s="53">
        <f>database!J48</f>
        <v>0.50009785693316366</v>
      </c>
    </row>
    <row r="15" spans="3:18" x14ac:dyDescent="0.25">
      <c r="C15" t="s">
        <v>35</v>
      </c>
      <c r="D15" s="12">
        <f>MIN(D14:E14)</f>
        <v>0.50009785693316366</v>
      </c>
      <c r="M15" s="70" t="s">
        <v>50</v>
      </c>
      <c r="N15" s="70"/>
      <c r="O15" s="70"/>
      <c r="P15" s="70"/>
      <c r="Q15" s="70"/>
    </row>
    <row r="16" spans="3:18" x14ac:dyDescent="0.25">
      <c r="C16" t="s">
        <v>44</v>
      </c>
      <c r="D16">
        <f>D15*(database!L29-database!L30)+database!L30</f>
        <v>15268.74576768764</v>
      </c>
      <c r="M16" t="s">
        <v>51</v>
      </c>
      <c r="N16" t="s">
        <v>22</v>
      </c>
      <c r="O16" t="s">
        <v>29</v>
      </c>
      <c r="P16" t="s">
        <v>52</v>
      </c>
      <c r="Q16" t="s">
        <v>53</v>
      </c>
      <c r="R16" t="s">
        <v>64</v>
      </c>
    </row>
    <row r="17" spans="3:18" x14ac:dyDescent="0.25">
      <c r="C17" t="s">
        <v>45</v>
      </c>
      <c r="D17">
        <f>D16*D15</f>
        <v>7635.8670364779018</v>
      </c>
      <c r="M17" t="s">
        <v>55</v>
      </c>
      <c r="N17" s="53">
        <f>D14</f>
        <v>0.99952687358062076</v>
      </c>
      <c r="O17" s="53">
        <f>E14</f>
        <v>0.50009785693316366</v>
      </c>
      <c r="P17" s="53">
        <f>MIN(N17:O17)</f>
        <v>0.50009785693316366</v>
      </c>
      <c r="Q17">
        <f>D16</f>
        <v>15268.74576768764</v>
      </c>
      <c r="R17">
        <f>D17</f>
        <v>7635.8670364779018</v>
      </c>
    </row>
    <row r="18" spans="3:18" x14ac:dyDescent="0.25">
      <c r="M18" t="s">
        <v>56</v>
      </c>
      <c r="N18" s="53">
        <f>D21</f>
        <v>0.99952687358062076</v>
      </c>
      <c r="O18" s="53">
        <f>E21</f>
        <v>0.49990214306683628</v>
      </c>
      <c r="P18" s="53">
        <f t="shared" ref="P18:P20" si="0">MIN(N18:O18)</f>
        <v>0.49990214306683628</v>
      </c>
      <c r="Q18">
        <f>D23</f>
        <v>15265.25423231236</v>
      </c>
      <c r="R18">
        <f>D24</f>
        <v>7631.1333051930415</v>
      </c>
    </row>
    <row r="19" spans="3:18" x14ac:dyDescent="0.25">
      <c r="M19" t="s">
        <v>60</v>
      </c>
      <c r="N19" s="53">
        <f>D28</f>
        <v>4.7312641937925814E-4</v>
      </c>
      <c r="O19" s="53">
        <f>E28</f>
        <v>0.50009785693316366</v>
      </c>
      <c r="P19" s="53">
        <f t="shared" si="0"/>
        <v>4.7312641937925814E-4</v>
      </c>
      <c r="Q19">
        <f>D30</f>
        <v>24178.559424678275</v>
      </c>
      <c r="R19">
        <f>D31</f>
        <v>11.439515246346648</v>
      </c>
    </row>
    <row r="20" spans="3:18" x14ac:dyDescent="0.25">
      <c r="C20" t="s">
        <v>37</v>
      </c>
      <c r="D20" t="s">
        <v>36</v>
      </c>
      <c r="M20" t="s">
        <v>61</v>
      </c>
      <c r="N20" s="53">
        <f>D35</f>
        <v>4.7312641937925814E-4</v>
      </c>
      <c r="O20" s="53">
        <f>E35</f>
        <v>0.49990214306683628</v>
      </c>
      <c r="P20" s="53">
        <f t="shared" si="0"/>
        <v>4.7312641937925814E-4</v>
      </c>
      <c r="Q20">
        <f>D37</f>
        <v>24178.559424678275</v>
      </c>
      <c r="R20">
        <f>D38</f>
        <v>11.439515246346648</v>
      </c>
    </row>
    <row r="21" spans="3:18" x14ac:dyDescent="0.25">
      <c r="C21" s="14" t="s">
        <v>43</v>
      </c>
      <c r="D21" s="53">
        <f>database!D48</f>
        <v>0.99952687358062076</v>
      </c>
      <c r="E21" s="53">
        <f>database!I48</f>
        <v>0.49990214306683628</v>
      </c>
      <c r="P21" s="53">
        <f>SUM(P17:P20)</f>
        <v>1.0009462528387587</v>
      </c>
      <c r="R21">
        <f>SUM(R17:R20)</f>
        <v>15289.879372163636</v>
      </c>
    </row>
    <row r="22" spans="3:18" x14ac:dyDescent="0.25">
      <c r="C22" t="s">
        <v>35</v>
      </c>
      <c r="D22" s="12">
        <f>MIN(D21:E21)</f>
        <v>0.49990214306683628</v>
      </c>
    </row>
    <row r="23" spans="3:18" x14ac:dyDescent="0.25">
      <c r="C23" t="s">
        <v>46</v>
      </c>
      <c r="D23">
        <f>D22*(database!L29-database!L30)+database!L30</f>
        <v>15265.25423231236</v>
      </c>
    </row>
    <row r="24" spans="3:18" x14ac:dyDescent="0.25">
      <c r="C24" t="s">
        <v>47</v>
      </c>
      <c r="D24">
        <f>D23*D22</f>
        <v>7631.1333051930415</v>
      </c>
      <c r="M24" t="s">
        <v>65</v>
      </c>
      <c r="Q24">
        <f>R21/P21</f>
        <v>15275.424957933945</v>
      </c>
    </row>
    <row r="25" spans="3:18" x14ac:dyDescent="0.25">
      <c r="H25" s="11"/>
      <c r="I25" s="11"/>
    </row>
    <row r="27" spans="3:18" x14ac:dyDescent="0.25">
      <c r="C27" t="s">
        <v>57</v>
      </c>
      <c r="D27" t="s">
        <v>38</v>
      </c>
    </row>
    <row r="28" spans="3:18" x14ac:dyDescent="0.25">
      <c r="C28" s="14" t="s">
        <v>43</v>
      </c>
      <c r="D28" s="53">
        <f>database!C48</f>
        <v>4.7312641937925814E-4</v>
      </c>
      <c r="E28" s="53">
        <f>database!J48</f>
        <v>0.50009785693316366</v>
      </c>
    </row>
    <row r="29" spans="3:18" x14ac:dyDescent="0.25">
      <c r="C29" t="s">
        <v>39</v>
      </c>
      <c r="D29" s="53">
        <f>MIN(D28:E28)</f>
        <v>4.7312641937925814E-4</v>
      </c>
    </row>
    <row r="30" spans="3:18" x14ac:dyDescent="0.25">
      <c r="C30" t="s">
        <v>58</v>
      </c>
      <c r="D30">
        <f>database!L29 - (database!L29-database!L30)*D29</f>
        <v>24178.559424678275</v>
      </c>
    </row>
    <row r="31" spans="3:18" x14ac:dyDescent="0.25">
      <c r="C31" t="s">
        <v>59</v>
      </c>
      <c r="D31">
        <f>D30*D29</f>
        <v>11.439515246346648</v>
      </c>
    </row>
    <row r="34" spans="3:5" x14ac:dyDescent="0.25">
      <c r="C34" t="s">
        <v>40</v>
      </c>
      <c r="D34" t="s">
        <v>41</v>
      </c>
    </row>
    <row r="35" spans="3:5" x14ac:dyDescent="0.25">
      <c r="C35" s="14" t="s">
        <v>43</v>
      </c>
      <c r="D35" s="53">
        <f>database!C48</f>
        <v>4.7312641937925814E-4</v>
      </c>
      <c r="E35" s="53">
        <f>database!I48</f>
        <v>0.49990214306683628</v>
      </c>
    </row>
    <row r="36" spans="3:5" x14ac:dyDescent="0.25">
      <c r="C36" t="s">
        <v>39</v>
      </c>
      <c r="D36" s="53">
        <f>MIN(D35:E35)</f>
        <v>4.7312641937925814E-4</v>
      </c>
    </row>
    <row r="37" spans="3:5" x14ac:dyDescent="0.25">
      <c r="C37" t="s">
        <v>48</v>
      </c>
      <c r="D37">
        <f>database!L29 - (database!L29-database!L30)*D36</f>
        <v>24178.559424678275</v>
      </c>
    </row>
    <row r="38" spans="3:5" x14ac:dyDescent="0.25">
      <c r="C38" t="s">
        <v>49</v>
      </c>
      <c r="D38">
        <f>D37*D36</f>
        <v>11.439515246346648</v>
      </c>
    </row>
    <row r="61" spans="4:5" x14ac:dyDescent="0.25">
      <c r="D61" s="53"/>
      <c r="E61" s="53"/>
    </row>
    <row r="62" spans="4:5" x14ac:dyDescent="0.25">
      <c r="D62" s="53"/>
    </row>
    <row r="67" spans="4:5" x14ac:dyDescent="0.25">
      <c r="D67" s="53"/>
      <c r="E67" s="53"/>
    </row>
    <row r="68" spans="4:5" x14ac:dyDescent="0.25">
      <c r="D68" s="53"/>
    </row>
    <row r="73" spans="4:5" x14ac:dyDescent="0.25">
      <c r="D73" s="53"/>
      <c r="E73" s="53"/>
    </row>
    <row r="74" spans="4:5" x14ac:dyDescent="0.25">
      <c r="D74" s="53"/>
    </row>
    <row r="79" spans="4:5" x14ac:dyDescent="0.25">
      <c r="D79" s="53"/>
      <c r="E79" s="53"/>
    </row>
    <row r="80" spans="4:5" x14ac:dyDescent="0.25">
      <c r="D80" s="53"/>
    </row>
  </sheetData>
  <mergeCells count="1">
    <mergeCell ref="M15:Q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database</vt:lpstr>
      <vt:lpstr>Bulan Januari</vt:lpstr>
      <vt:lpstr>FEB</vt:lpstr>
      <vt:lpstr>MAR</vt:lpstr>
      <vt:lpstr>APRIL</vt:lpstr>
      <vt:lpstr>MEI</vt:lpstr>
      <vt:lpstr>JUNI</vt:lpstr>
      <vt:lpstr>JULI</vt:lpstr>
      <vt:lpstr>AGUST</vt:lpstr>
      <vt:lpstr>SEPT</vt:lpstr>
      <vt:lpstr>OKT</vt:lpstr>
      <vt:lpstr>NOV</vt:lpstr>
      <vt:lpstr>DES</vt:lpstr>
      <vt:lpstr>HASIL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Rofi'i</dc:creator>
  <cp:lastModifiedBy>doph</cp:lastModifiedBy>
  <dcterms:created xsi:type="dcterms:W3CDTF">2022-12-26T05:21:45Z</dcterms:created>
  <dcterms:modified xsi:type="dcterms:W3CDTF">2023-07-28T12:30:28Z</dcterms:modified>
</cp:coreProperties>
</file>