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 firstSheet="1" activeTab="1"/>
  </bookViews>
  <sheets>
    <sheet name="KEBIJAKAN HUTANG (DER) X1" sheetId="1" r:id="rId1"/>
    <sheet name="INTELLECTUAL CAPITAL (IC) X2" sheetId="3" r:id="rId2"/>
    <sheet name="NILAI PERUSAHAAN (PBV) Y" sheetId="6" r:id="rId3"/>
    <sheet name="TABULASI DATA (FIX)" sheetId="7" r:id="rId4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7" l="1"/>
  <c r="E42" i="7"/>
  <c r="D42" i="7"/>
  <c r="C42" i="7"/>
  <c r="E41" i="7"/>
  <c r="D41" i="7"/>
  <c r="C41" i="7"/>
  <c r="E40" i="7"/>
  <c r="D40" i="7"/>
  <c r="C40" i="7"/>
  <c r="E39" i="7"/>
  <c r="D39" i="7"/>
  <c r="C39" i="7"/>
  <c r="E38" i="7"/>
  <c r="D38" i="7"/>
  <c r="C38" i="7"/>
  <c r="E37" i="7"/>
  <c r="D37" i="7"/>
  <c r="C37" i="7"/>
  <c r="E36" i="7"/>
  <c r="D36" i="7"/>
  <c r="C36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D3" i="7"/>
  <c r="C3" i="7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Y44" i="3"/>
  <c r="X44" i="3"/>
  <c r="W44" i="3"/>
  <c r="V44" i="3"/>
  <c r="U44" i="3"/>
  <c r="T44" i="3"/>
  <c r="S44" i="3"/>
  <c r="R44" i="3"/>
  <c r="Q44" i="3"/>
  <c r="O44" i="3"/>
  <c r="N44" i="3"/>
  <c r="M44" i="3"/>
  <c r="J44" i="3"/>
  <c r="I44" i="3"/>
  <c r="H44" i="3"/>
  <c r="G44" i="3"/>
  <c r="E44" i="3"/>
  <c r="Y43" i="3"/>
  <c r="X43" i="3"/>
  <c r="W43" i="3"/>
  <c r="V43" i="3"/>
  <c r="U43" i="3"/>
  <c r="T43" i="3"/>
  <c r="S43" i="3"/>
  <c r="R43" i="3"/>
  <c r="Q43" i="3"/>
  <c r="O43" i="3"/>
  <c r="N43" i="3"/>
  <c r="M43" i="3"/>
  <c r="J43" i="3"/>
  <c r="I43" i="3"/>
  <c r="H43" i="3"/>
  <c r="G43" i="3"/>
  <c r="E43" i="3"/>
  <c r="Y42" i="3"/>
  <c r="X42" i="3"/>
  <c r="W42" i="3"/>
  <c r="V42" i="3"/>
  <c r="U42" i="3"/>
  <c r="T42" i="3"/>
  <c r="S42" i="3"/>
  <c r="R42" i="3"/>
  <c r="Q42" i="3"/>
  <c r="O42" i="3"/>
  <c r="N42" i="3"/>
  <c r="M42" i="3"/>
  <c r="J42" i="3"/>
  <c r="I42" i="3"/>
  <c r="H42" i="3"/>
  <c r="G42" i="3"/>
  <c r="E42" i="3"/>
  <c r="D42" i="3"/>
  <c r="Y41" i="3"/>
  <c r="X41" i="3"/>
  <c r="W41" i="3"/>
  <c r="V41" i="3"/>
  <c r="U41" i="3"/>
  <c r="T41" i="3"/>
  <c r="S41" i="3"/>
  <c r="R41" i="3"/>
  <c r="Q41" i="3"/>
  <c r="O41" i="3"/>
  <c r="N41" i="3"/>
  <c r="M41" i="3"/>
  <c r="J41" i="3"/>
  <c r="I41" i="3"/>
  <c r="H41" i="3"/>
  <c r="G41" i="3"/>
  <c r="E41" i="3"/>
  <c r="Y40" i="3"/>
  <c r="X40" i="3"/>
  <c r="W40" i="3"/>
  <c r="V40" i="3"/>
  <c r="U40" i="3"/>
  <c r="T40" i="3"/>
  <c r="S40" i="3"/>
  <c r="R40" i="3"/>
  <c r="Q40" i="3"/>
  <c r="O40" i="3"/>
  <c r="N40" i="3"/>
  <c r="M40" i="3"/>
  <c r="J40" i="3"/>
  <c r="I40" i="3"/>
  <c r="H40" i="3"/>
  <c r="G40" i="3"/>
  <c r="E40" i="3"/>
  <c r="Y39" i="3"/>
  <c r="X39" i="3"/>
  <c r="W39" i="3"/>
  <c r="V39" i="3"/>
  <c r="U39" i="3"/>
  <c r="T39" i="3"/>
  <c r="S39" i="3"/>
  <c r="R39" i="3"/>
  <c r="Q39" i="3"/>
  <c r="O39" i="3"/>
  <c r="N39" i="3"/>
  <c r="M39" i="3"/>
  <c r="J39" i="3"/>
  <c r="I39" i="3"/>
  <c r="H39" i="3"/>
  <c r="G39" i="3"/>
  <c r="E39" i="3"/>
  <c r="Y38" i="3"/>
  <c r="X38" i="3"/>
  <c r="W38" i="3"/>
  <c r="V38" i="3"/>
  <c r="U38" i="3"/>
  <c r="T38" i="3"/>
  <c r="S38" i="3"/>
  <c r="R38" i="3"/>
  <c r="Q38" i="3"/>
  <c r="O38" i="3"/>
  <c r="N38" i="3"/>
  <c r="M38" i="3"/>
  <c r="J38" i="3"/>
  <c r="I38" i="3"/>
  <c r="H38" i="3"/>
  <c r="G38" i="3"/>
  <c r="E38" i="3"/>
  <c r="Y37" i="3"/>
  <c r="X37" i="3"/>
  <c r="W37" i="3"/>
  <c r="V37" i="3"/>
  <c r="U37" i="3"/>
  <c r="T37" i="3"/>
  <c r="S37" i="3"/>
  <c r="R37" i="3"/>
  <c r="Q37" i="3"/>
  <c r="O37" i="3"/>
  <c r="N37" i="3"/>
  <c r="M37" i="3"/>
  <c r="J37" i="3"/>
  <c r="I37" i="3"/>
  <c r="H37" i="3"/>
  <c r="G37" i="3"/>
  <c r="F37" i="3"/>
  <c r="E37" i="3"/>
  <c r="Y36" i="3"/>
  <c r="X36" i="3"/>
  <c r="W36" i="3"/>
  <c r="V36" i="3"/>
  <c r="U36" i="3"/>
  <c r="T36" i="3"/>
  <c r="S36" i="3"/>
  <c r="R36" i="3"/>
  <c r="Q36" i="3"/>
  <c r="O36" i="3"/>
  <c r="N36" i="3"/>
  <c r="M36" i="3"/>
  <c r="J36" i="3"/>
  <c r="I36" i="3"/>
  <c r="H36" i="3"/>
  <c r="G36" i="3"/>
  <c r="E36" i="3"/>
  <c r="Y35" i="3"/>
  <c r="X35" i="3"/>
  <c r="W35" i="3"/>
  <c r="V35" i="3"/>
  <c r="U35" i="3"/>
  <c r="T35" i="3"/>
  <c r="S35" i="3"/>
  <c r="R35" i="3"/>
  <c r="Q35" i="3"/>
  <c r="O35" i="3"/>
  <c r="N35" i="3"/>
  <c r="M35" i="3"/>
  <c r="J35" i="3"/>
  <c r="I35" i="3"/>
  <c r="H35" i="3"/>
  <c r="G35" i="3"/>
  <c r="E35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J34" i="3"/>
  <c r="I34" i="3"/>
  <c r="H34" i="3"/>
  <c r="G34" i="3"/>
  <c r="E34" i="3"/>
  <c r="D34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J33" i="3"/>
  <c r="I33" i="3"/>
  <c r="H33" i="3"/>
  <c r="F33" i="3"/>
  <c r="E33" i="3"/>
  <c r="D33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J32" i="3"/>
  <c r="I32" i="3"/>
  <c r="H32" i="3"/>
  <c r="E32" i="3"/>
  <c r="D32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J31" i="3"/>
  <c r="I31" i="3"/>
  <c r="H31" i="3"/>
  <c r="G31" i="3"/>
  <c r="E31" i="3"/>
  <c r="D31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J30" i="3"/>
  <c r="I30" i="3"/>
  <c r="H30" i="3"/>
  <c r="G30" i="3"/>
  <c r="E30" i="3"/>
  <c r="D30" i="3"/>
  <c r="Y29" i="3"/>
  <c r="X29" i="3"/>
  <c r="W29" i="3"/>
  <c r="V29" i="3"/>
  <c r="U29" i="3"/>
  <c r="T29" i="3"/>
  <c r="S29" i="3"/>
  <c r="R29" i="3"/>
  <c r="Q29" i="3"/>
  <c r="O29" i="3"/>
  <c r="N29" i="3"/>
  <c r="M29" i="3"/>
  <c r="J29" i="3"/>
  <c r="I29" i="3"/>
  <c r="H29" i="3"/>
  <c r="G29" i="3"/>
  <c r="E29" i="3"/>
  <c r="Y28" i="3"/>
  <c r="X28" i="3"/>
  <c r="W28" i="3"/>
  <c r="V28" i="3"/>
  <c r="U28" i="3"/>
  <c r="T28" i="3"/>
  <c r="S28" i="3"/>
  <c r="R28" i="3"/>
  <c r="Q28" i="3"/>
  <c r="O28" i="3"/>
  <c r="N28" i="3"/>
  <c r="M28" i="3"/>
  <c r="J28" i="3"/>
  <c r="I28" i="3"/>
  <c r="H28" i="3"/>
  <c r="G28" i="3"/>
  <c r="E28" i="3"/>
  <c r="Y27" i="3"/>
  <c r="X27" i="3"/>
  <c r="W27" i="3"/>
  <c r="V27" i="3"/>
  <c r="U27" i="3"/>
  <c r="T27" i="3"/>
  <c r="S27" i="3"/>
  <c r="R27" i="3"/>
  <c r="Q27" i="3"/>
  <c r="O27" i="3"/>
  <c r="N27" i="3"/>
  <c r="M27" i="3"/>
  <c r="J27" i="3"/>
  <c r="I27" i="3"/>
  <c r="H27" i="3"/>
  <c r="G27" i="3"/>
  <c r="E27" i="3"/>
  <c r="Y26" i="3"/>
  <c r="X26" i="3"/>
  <c r="W26" i="3"/>
  <c r="V26" i="3"/>
  <c r="U26" i="3"/>
  <c r="T26" i="3"/>
  <c r="S26" i="3"/>
  <c r="R26" i="3"/>
  <c r="Q26" i="3"/>
  <c r="O26" i="3"/>
  <c r="N26" i="3"/>
  <c r="M26" i="3"/>
  <c r="J26" i="3"/>
  <c r="I26" i="3"/>
  <c r="H26" i="3"/>
  <c r="G26" i="3"/>
  <c r="E26" i="3"/>
  <c r="Y25" i="3"/>
  <c r="X25" i="3"/>
  <c r="W25" i="3"/>
  <c r="V25" i="3"/>
  <c r="U25" i="3"/>
  <c r="T25" i="3"/>
  <c r="S25" i="3"/>
  <c r="R25" i="3"/>
  <c r="Q25" i="3"/>
  <c r="O25" i="3"/>
  <c r="N25" i="3"/>
  <c r="M25" i="3"/>
  <c r="J25" i="3"/>
  <c r="I25" i="3"/>
  <c r="H25" i="3"/>
  <c r="G25" i="3"/>
  <c r="E25" i="3"/>
  <c r="Y24" i="3"/>
  <c r="X24" i="3"/>
  <c r="W24" i="3"/>
  <c r="V24" i="3"/>
  <c r="U24" i="3"/>
  <c r="T24" i="3"/>
  <c r="S24" i="3"/>
  <c r="R24" i="3"/>
  <c r="Q24" i="3"/>
  <c r="O24" i="3"/>
  <c r="N24" i="3"/>
  <c r="M24" i="3"/>
  <c r="J24" i="3"/>
  <c r="I24" i="3"/>
  <c r="H24" i="3"/>
  <c r="E24" i="3"/>
  <c r="Y23" i="3"/>
  <c r="X23" i="3"/>
  <c r="W23" i="3"/>
  <c r="V23" i="3"/>
  <c r="U23" i="3"/>
  <c r="T23" i="3"/>
  <c r="S23" i="3"/>
  <c r="R23" i="3"/>
  <c r="Q23" i="3"/>
  <c r="O23" i="3"/>
  <c r="N23" i="3"/>
  <c r="M23" i="3"/>
  <c r="J23" i="3"/>
  <c r="I23" i="3"/>
  <c r="H23" i="3"/>
  <c r="E23" i="3"/>
  <c r="Y22" i="3"/>
  <c r="X22" i="3"/>
  <c r="W22" i="3"/>
  <c r="V22" i="3"/>
  <c r="U22" i="3"/>
  <c r="T22" i="3"/>
  <c r="S22" i="3"/>
  <c r="R22" i="3"/>
  <c r="Q22" i="3"/>
  <c r="O22" i="3"/>
  <c r="N22" i="3"/>
  <c r="M22" i="3"/>
  <c r="J22" i="3"/>
  <c r="I22" i="3"/>
  <c r="H22" i="3"/>
  <c r="E22" i="3"/>
  <c r="Y21" i="3"/>
  <c r="X21" i="3"/>
  <c r="W21" i="3"/>
  <c r="V21" i="3"/>
  <c r="U21" i="3"/>
  <c r="T21" i="3"/>
  <c r="S21" i="3"/>
  <c r="R21" i="3"/>
  <c r="Q21" i="3"/>
  <c r="O21" i="3"/>
  <c r="N21" i="3"/>
  <c r="M21" i="3"/>
  <c r="J21" i="3"/>
  <c r="I21" i="3"/>
  <c r="H21" i="3"/>
  <c r="E21" i="3"/>
  <c r="Y20" i="3"/>
  <c r="X20" i="3"/>
  <c r="W20" i="3"/>
  <c r="V20" i="3"/>
  <c r="U20" i="3"/>
  <c r="T20" i="3"/>
  <c r="S20" i="3"/>
  <c r="R20" i="3"/>
  <c r="Q20" i="3"/>
  <c r="O20" i="3"/>
  <c r="N20" i="3"/>
  <c r="M20" i="3"/>
  <c r="J20" i="3"/>
  <c r="I20" i="3"/>
  <c r="H20" i="3"/>
  <c r="E20" i="3"/>
  <c r="Y19" i="3"/>
  <c r="X19" i="3"/>
  <c r="W19" i="3"/>
  <c r="V19" i="3"/>
  <c r="U19" i="3"/>
  <c r="T19" i="3"/>
  <c r="S19" i="3"/>
  <c r="R19" i="3"/>
  <c r="Q19" i="3"/>
  <c r="O19" i="3"/>
  <c r="N19" i="3"/>
  <c r="M19" i="3"/>
  <c r="J19" i="3"/>
  <c r="I19" i="3"/>
  <c r="H19" i="3"/>
  <c r="F19" i="3"/>
  <c r="E19" i="3"/>
  <c r="Y18" i="3"/>
  <c r="X18" i="3"/>
  <c r="W18" i="3"/>
  <c r="V18" i="3"/>
  <c r="U18" i="3"/>
  <c r="T18" i="3"/>
  <c r="S18" i="3"/>
  <c r="R18" i="3"/>
  <c r="Q18" i="3"/>
  <c r="O18" i="3"/>
  <c r="N18" i="3"/>
  <c r="M18" i="3"/>
  <c r="J18" i="3"/>
  <c r="I18" i="3"/>
  <c r="H18" i="3"/>
  <c r="F18" i="3"/>
  <c r="E18" i="3"/>
  <c r="Y17" i="3"/>
  <c r="X17" i="3"/>
  <c r="W17" i="3"/>
  <c r="V17" i="3"/>
  <c r="U17" i="3"/>
  <c r="T17" i="3"/>
  <c r="S17" i="3"/>
  <c r="R17" i="3"/>
  <c r="Q17" i="3"/>
  <c r="O17" i="3"/>
  <c r="N17" i="3"/>
  <c r="M17" i="3"/>
  <c r="J17" i="3"/>
  <c r="I17" i="3"/>
  <c r="H17" i="3"/>
  <c r="F17" i="3"/>
  <c r="E17" i="3"/>
  <c r="Y16" i="3"/>
  <c r="X16" i="3"/>
  <c r="W16" i="3"/>
  <c r="V16" i="3"/>
  <c r="U16" i="3"/>
  <c r="T16" i="3"/>
  <c r="S16" i="3"/>
  <c r="R16" i="3"/>
  <c r="Q16" i="3"/>
  <c r="O16" i="3"/>
  <c r="N16" i="3"/>
  <c r="M16" i="3"/>
  <c r="J16" i="3"/>
  <c r="I16" i="3"/>
  <c r="H16" i="3"/>
  <c r="E16" i="3"/>
  <c r="Y15" i="3"/>
  <c r="X15" i="3"/>
  <c r="W15" i="3"/>
  <c r="V15" i="3"/>
  <c r="U15" i="3"/>
  <c r="T15" i="3"/>
  <c r="S15" i="3"/>
  <c r="R15" i="3"/>
  <c r="Q15" i="3"/>
  <c r="O15" i="3"/>
  <c r="N15" i="3"/>
  <c r="M15" i="3"/>
  <c r="J15" i="3"/>
  <c r="I15" i="3"/>
  <c r="H15" i="3"/>
  <c r="E15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J14" i="3"/>
  <c r="I14" i="3"/>
  <c r="H14" i="3"/>
  <c r="E14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J13" i="3"/>
  <c r="I13" i="3"/>
  <c r="H13" i="3"/>
  <c r="E13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J12" i="3"/>
  <c r="I12" i="3"/>
  <c r="H12" i="3"/>
  <c r="E12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J11" i="3"/>
  <c r="I11" i="3"/>
  <c r="H11" i="3"/>
  <c r="E11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J10" i="3"/>
  <c r="I10" i="3"/>
  <c r="H10" i="3"/>
  <c r="E10" i="3"/>
  <c r="Y9" i="3"/>
  <c r="X9" i="3"/>
  <c r="W9" i="3"/>
  <c r="V9" i="3"/>
  <c r="U9" i="3"/>
  <c r="T9" i="3"/>
  <c r="S9" i="3"/>
  <c r="R9" i="3"/>
  <c r="Q9" i="3"/>
  <c r="P9" i="3"/>
  <c r="O9" i="3"/>
  <c r="N9" i="3"/>
  <c r="M9" i="3"/>
  <c r="J9" i="3"/>
  <c r="I9" i="3"/>
  <c r="H9" i="3"/>
  <c r="E9" i="3"/>
  <c r="Y8" i="3"/>
  <c r="X8" i="3"/>
  <c r="W8" i="3"/>
  <c r="V8" i="3"/>
  <c r="U8" i="3"/>
  <c r="T8" i="3"/>
  <c r="S8" i="3"/>
  <c r="R8" i="3"/>
  <c r="Q8" i="3"/>
  <c r="O8" i="3"/>
  <c r="N8" i="3"/>
  <c r="M8" i="3"/>
  <c r="J8" i="3"/>
  <c r="I8" i="3"/>
  <c r="H8" i="3"/>
  <c r="E8" i="3"/>
  <c r="Y7" i="3"/>
  <c r="X7" i="3"/>
  <c r="W7" i="3"/>
  <c r="V7" i="3"/>
  <c r="U7" i="3"/>
  <c r="T7" i="3"/>
  <c r="S7" i="3"/>
  <c r="R7" i="3"/>
  <c r="Q7" i="3"/>
  <c r="O7" i="3"/>
  <c r="N7" i="3"/>
  <c r="M7" i="3"/>
  <c r="J7" i="3"/>
  <c r="I7" i="3"/>
  <c r="H7" i="3"/>
  <c r="E7" i="3"/>
  <c r="Y6" i="3"/>
  <c r="X6" i="3"/>
  <c r="W6" i="3"/>
  <c r="V6" i="3"/>
  <c r="U6" i="3"/>
  <c r="T6" i="3"/>
  <c r="S6" i="3"/>
  <c r="R6" i="3"/>
  <c r="Q6" i="3"/>
  <c r="O6" i="3"/>
  <c r="N6" i="3"/>
  <c r="M6" i="3"/>
  <c r="J6" i="3"/>
  <c r="I6" i="3"/>
  <c r="H6" i="3"/>
  <c r="E6" i="3"/>
  <c r="Y5" i="3"/>
  <c r="X5" i="3"/>
  <c r="W5" i="3"/>
  <c r="V5" i="3"/>
  <c r="U5" i="3"/>
  <c r="T5" i="3"/>
  <c r="S5" i="3"/>
  <c r="R5" i="3"/>
  <c r="Q5" i="3"/>
  <c r="O5" i="3"/>
  <c r="N5" i="3"/>
  <c r="M5" i="3"/>
  <c r="J5" i="3"/>
  <c r="I5" i="3"/>
  <c r="H5" i="3"/>
  <c r="E5" i="3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<sst xmlns="http://schemas.openxmlformats.org/spreadsheetml/2006/main" count="98" uniqueCount="49">
  <si>
    <t>TOTAL HUTANG</t>
  </si>
  <si>
    <t>TOTAL EKUITAS</t>
  </si>
  <si>
    <t>HARGA SAHAM PERLEMBAR</t>
  </si>
  <si>
    <t>NILAI BUKU PERLEMBAR SAHAM</t>
  </si>
  <si>
    <t>NILAI PERUSAHAAN</t>
  </si>
  <si>
    <t>TAHUN</t>
  </si>
  <si>
    <t>ALTO</t>
  </si>
  <si>
    <t>CEKA</t>
  </si>
  <si>
    <t>CLEO</t>
  </si>
  <si>
    <t>DLTA</t>
  </si>
  <si>
    <t>INDF</t>
  </si>
  <si>
    <t>MYOR</t>
  </si>
  <si>
    <t>ULTJ</t>
  </si>
  <si>
    <t>PSDN</t>
  </si>
  <si>
    <t>NAMA PERUSAHAAN</t>
  </si>
  <si>
    <t>DER</t>
  </si>
  <si>
    <t>=</t>
  </si>
  <si>
    <t>IC</t>
  </si>
  <si>
    <t>Total penjualan (sales)</t>
  </si>
  <si>
    <t xml:space="preserve">pendapatan lain </t>
  </si>
  <si>
    <t>Beban</t>
  </si>
  <si>
    <t xml:space="preserve">biaya-biaya (selain beban karyawan) </t>
  </si>
  <si>
    <t>VA</t>
  </si>
  <si>
    <t>OUTPUT</t>
  </si>
  <si>
    <t>INPUT</t>
  </si>
  <si>
    <t>VACA</t>
  </si>
  <si>
    <t>CE</t>
  </si>
  <si>
    <t>ekuitas</t>
  </si>
  <si>
    <t>laba bersih</t>
  </si>
  <si>
    <t>VAHU</t>
  </si>
  <si>
    <t>HC</t>
  </si>
  <si>
    <t>beban karyawan</t>
  </si>
  <si>
    <t>STVA</t>
  </si>
  <si>
    <t>SC</t>
  </si>
  <si>
    <t>HC (beban karyawan)</t>
  </si>
  <si>
    <t>VAIC™</t>
  </si>
  <si>
    <t>VAIC™ = VACA + VAHU + STVA</t>
  </si>
  <si>
    <t>STVA = SC⁄VA</t>
  </si>
  <si>
    <t>VAHU = VA ⁄ HC</t>
  </si>
  <si>
    <t>VACA = VA/CE</t>
  </si>
  <si>
    <t>VA = INPUT - OUTPUT</t>
  </si>
  <si>
    <t>VA(1)</t>
  </si>
  <si>
    <t>VACA(2)</t>
  </si>
  <si>
    <t>VAHU (3)</t>
  </si>
  <si>
    <t>STVA(4)</t>
  </si>
  <si>
    <t>PBV</t>
  </si>
  <si>
    <t>X1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</si>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</sst>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_-* #,##0.000000_-;\-* #,##0.000000_-;_-* &quot;-&quot;??_-;_-@_-"/>
    <numFmt numFmtId="166" formatCode="_-* #,##0.0000_-;\-* #,##0.0000_-;_-* &quot;-&quot;??_-;_-@_-"/>
    <numFmt numFmtId="167" formatCode="0.0000"/>
  </numFmts>
  <fonts count="9">
    <font>
      <sz val="11"/>
      <name val="Calibri"/>
    </font>
    <font>
      <b/>
      <sz val="11"/>
      <color rgb="FF000000"/>
      <name val="Calibri"/>
    </font>
    <font>
      <sz val="11"/>
      <color rgb="FF000000"/>
      <name val="Calibri"/>
      <charset val="1"/>
    </font>
    <font>
      <sz val="12"/>
      <color rgb="FF000000"/>
      <name val="Times New Roman"/>
    </font>
    <font>
      <b/>
      <sz val="11"/>
      <color rgb="FF000000"/>
      <name val="Calibri"/>
      <charset val="1"/>
    </font>
    <font>
      <b/>
      <sz val="12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</font>
    <font>
      <sz val="11"/>
      <color rgb="FF00000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DEEAF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3" fontId="8" fillId="0" borderId="0">
      <alignment vertical="top"/>
      <protection locked="0"/>
    </xf>
  </cellStyleXfs>
  <cellXfs count="83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2" fillId="0" borderId="1" xfId="0" applyFont="1" applyBorder="1" applyAlignment="1"/>
    <xf numFmtId="164" fontId="2" fillId="0" borderId="1" xfId="1" applyNumberFormat="1" applyFont="1" applyBorder="1" applyAlignment="1" applyProtection="1"/>
    <xf numFmtId="3" fontId="2" fillId="0" borderId="1" xfId="0" applyNumberFormat="1" applyFont="1" applyBorder="1" applyAlignment="1"/>
    <xf numFmtId="165" fontId="2" fillId="0" borderId="1" xfId="0" applyNumberFormat="1" applyFont="1" applyBorder="1" applyAlignment="1"/>
    <xf numFmtId="0" fontId="2" fillId="0" borderId="0" xfId="0" applyFont="1" applyAlignment="1">
      <alignment wrapText="1"/>
    </xf>
    <xf numFmtId="0" fontId="2" fillId="0" borderId="0" xfId="0" quotePrefix="1" applyFont="1" applyAlignment="1"/>
    <xf numFmtId="0" fontId="2" fillId="0" borderId="2" xfId="0" applyFont="1" applyBorder="1" applyAlignment="1"/>
    <xf numFmtId="0" fontId="3" fillId="0" borderId="0" xfId="0" applyFont="1" applyAlignment="1">
      <alignment horizontal="justify" vertical="center"/>
    </xf>
    <xf numFmtId="0" fontId="3" fillId="0" borderId="0" xfId="0" applyFont="1" applyAlignment="1"/>
    <xf numFmtId="164" fontId="2" fillId="0" borderId="1" xfId="1" applyNumberFormat="1" applyFont="1" applyFill="1" applyBorder="1" applyAlignment="1" applyProtection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4" fillId="2" borderId="0" xfId="0" applyFont="1" applyFill="1" applyBorder="1" applyAlignment="1"/>
    <xf numFmtId="0" fontId="4" fillId="2" borderId="0" xfId="0" applyFont="1" applyFill="1" applyAlignment="1"/>
    <xf numFmtId="0" fontId="2" fillId="3" borderId="0" xfId="0" applyFont="1" applyFill="1" applyAlignment="1"/>
    <xf numFmtId="0" fontId="2" fillId="0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2" fillId="4" borderId="0" xfId="0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4" fillId="2" borderId="1" xfId="1" applyNumberFormat="1" applyFont="1" applyFill="1" applyBorder="1" applyAlignment="1" applyProtection="1"/>
    <xf numFmtId="164" fontId="2" fillId="3" borderId="1" xfId="0" applyNumberFormat="1" applyFont="1" applyFill="1" applyBorder="1" applyAlignment="1"/>
    <xf numFmtId="164" fontId="2" fillId="0" borderId="1" xfId="0" applyNumberFormat="1" applyFont="1" applyBorder="1" applyAlignment="1"/>
    <xf numFmtId="164" fontId="1" fillId="2" borderId="1" xfId="1" applyNumberFormat="1" applyFont="1" applyFill="1" applyBorder="1" applyAlignment="1" applyProtection="1"/>
    <xf numFmtId="0" fontId="2" fillId="3" borderId="1" xfId="0" applyFont="1" applyFill="1" applyBorder="1" applyAlignment="1"/>
    <xf numFmtId="164" fontId="2" fillId="2" borderId="1" xfId="0" applyNumberFormat="1" applyFont="1" applyFill="1" applyBorder="1" applyAlignment="1"/>
    <xf numFmtId="0" fontId="2" fillId="4" borderId="1" xfId="0" applyFont="1" applyFill="1" applyBorder="1" applyAlignme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3" fontId="2" fillId="0" borderId="0" xfId="0" applyNumberFormat="1" applyFont="1" applyAlignment="1"/>
    <xf numFmtId="3" fontId="2" fillId="0" borderId="1" xfId="0" applyNumberFormat="1" applyFont="1" applyFill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7" fillId="0" borderId="2" xfId="0" applyFont="1" applyFill="1" applyBorder="1" applyAlignment="1"/>
    <xf numFmtId="0" fontId="7" fillId="0" borderId="0" xfId="0" applyFont="1" applyFill="1" applyBorder="1" applyAlignment="1"/>
    <xf numFmtId="43" fontId="7" fillId="0" borderId="1" xfId="1" applyFont="1" applyFill="1" applyBorder="1" applyAlignment="1" applyProtection="1">
      <alignment horizontal="right"/>
    </xf>
    <xf numFmtId="164" fontId="2" fillId="0" borderId="1" xfId="1" applyNumberFormat="1" applyFont="1" applyBorder="1" applyAlignment="1" applyProtection="1">
      <alignment horizontal="right"/>
    </xf>
    <xf numFmtId="164" fontId="2" fillId="0" borderId="1" xfId="1" applyNumberFormat="1" applyFont="1" applyFill="1" applyBorder="1" applyAlignment="1" applyProtection="1">
      <alignment horizontal="right"/>
    </xf>
    <xf numFmtId="1" fontId="2" fillId="0" borderId="0" xfId="0" applyNumberFormat="1" applyFont="1" applyAlignment="1"/>
    <xf numFmtId="1" fontId="3" fillId="0" borderId="1" xfId="0" applyNumberFormat="1" applyFont="1" applyBorder="1" applyAlignment="1"/>
    <xf numFmtId="166" fontId="3" fillId="0" borderId="1" xfId="1" applyNumberFormat="1" applyFont="1" applyBorder="1" applyAlignment="1" applyProtection="1"/>
    <xf numFmtId="166" fontId="3" fillId="0" borderId="1" xfId="1" applyNumberFormat="1" applyFont="1" applyFill="1" applyBorder="1" applyAlignment="1" applyProtection="1"/>
    <xf numFmtId="167" fontId="0" fillId="0" borderId="0" xfId="0" applyNumberFormat="1">
      <alignment vertical="center"/>
    </xf>
    <xf numFmtId="166" fontId="3" fillId="0" borderId="3" xfId="1" applyNumberFormat="1" applyFont="1" applyBorder="1" applyAlignment="1" applyProtection="1"/>
    <xf numFmtId="166" fontId="3" fillId="0" borderId="0" xfId="1" applyNumberFormat="1" applyFont="1" applyBorder="1" applyAlignment="1" applyProtection="1"/>
    <xf numFmtId="166" fontId="3" fillId="0" borderId="0" xfId="1" applyNumberFormat="1" applyFont="1" applyFill="1" applyBorder="1" applyAlignment="1" applyProtection="1"/>
    <xf numFmtId="166" fontId="3" fillId="0" borderId="4" xfId="1" applyNumberFormat="1" applyFont="1" applyBorder="1" applyAlignment="1" applyProtection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166" fontId="5" fillId="0" borderId="1" xfId="0" applyNumberFormat="1" applyFont="1" applyBorder="1" applyAlignment="1">
      <alignment horizontal="center" vertical="center"/>
    </xf>
    <xf numFmtId="166" fontId="5" fillId="0" borderId="4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G1" sqref="G1"/>
    </sheetView>
  </sheetViews>
  <sheetFormatPr defaultColWidth="10" defaultRowHeight="15"/>
  <cols>
    <col min="1" max="1" width="16.140625" style="1" customWidth="1"/>
    <col min="3" max="3" width="20.5703125" customWidth="1"/>
    <col min="4" max="4" width="19.7109375" customWidth="1"/>
    <col min="5" max="5" width="14.140625" customWidth="1"/>
    <col min="11" max="11" width="17.140625" customWidth="1"/>
  </cols>
  <sheetData>
    <row r="1" spans="1:12">
      <c r="A1" s="67" t="s">
        <v>14</v>
      </c>
      <c r="B1" s="67" t="s">
        <v>5</v>
      </c>
      <c r="C1" s="66" t="s">
        <v>15</v>
      </c>
      <c r="D1" s="66"/>
      <c r="E1" s="66" t="s">
        <v>15</v>
      </c>
    </row>
    <row r="2" spans="1:12">
      <c r="A2" s="67"/>
      <c r="B2" s="67"/>
      <c r="C2" s="2" t="s">
        <v>0</v>
      </c>
      <c r="D2" s="2" t="s">
        <v>1</v>
      </c>
      <c r="E2" s="66"/>
    </row>
    <row r="3" spans="1:12">
      <c r="A3" s="65" t="s">
        <v>6</v>
      </c>
      <c r="B3" s="3">
        <v>2016</v>
      </c>
      <c r="C3" s="4">
        <v>68425000000</v>
      </c>
      <c r="D3" s="5">
        <v>480840000000</v>
      </c>
      <c r="E3" s="6">
        <f>C3/D3</f>
        <v>0.14230305299059978</v>
      </c>
    </row>
    <row r="4" spans="1:12">
      <c r="A4" s="65"/>
      <c r="B4" s="3">
        <v>2017</v>
      </c>
      <c r="C4" s="5">
        <v>684250000000</v>
      </c>
      <c r="D4" s="5">
        <v>689280000000</v>
      </c>
      <c r="E4" s="6">
        <f>C4/D4</f>
        <v>0.99270253017641596</v>
      </c>
      <c r="I4" s="7" t="s">
        <v>15</v>
      </c>
      <c r="J4" s="8" t="s">
        <v>16</v>
      </c>
      <c r="K4" s="9" t="s">
        <v>0</v>
      </c>
    </row>
    <row r="5" spans="1:12">
      <c r="A5" s="65"/>
      <c r="B5" s="3">
        <v>2018</v>
      </c>
      <c r="C5" s="5">
        <v>722720000000</v>
      </c>
      <c r="D5" s="5">
        <v>787130000000</v>
      </c>
      <c r="E5" s="6">
        <f t="shared" ref="E5:E42" si="0">C5/D5</f>
        <v>0.91817107720452784</v>
      </c>
      <c r="K5" t="s">
        <v>1</v>
      </c>
    </row>
    <row r="6" spans="1:12">
      <c r="A6" s="65"/>
      <c r="B6" s="3">
        <v>2019</v>
      </c>
      <c r="C6" s="4">
        <v>722719563550</v>
      </c>
      <c r="D6" s="4">
        <v>780730523614</v>
      </c>
      <c r="E6" s="6">
        <f t="shared" si="0"/>
        <v>0.92569656455153393</v>
      </c>
    </row>
    <row r="7" spans="1:12" ht="15.75">
      <c r="A7" s="65"/>
      <c r="B7" s="3">
        <v>2020</v>
      </c>
      <c r="C7" s="4">
        <v>732991334916</v>
      </c>
      <c r="D7" s="4">
        <v>372883080340</v>
      </c>
      <c r="E7" s="6">
        <f t="shared" si="0"/>
        <v>1.9657403984317237</v>
      </c>
      <c r="L7" s="10"/>
    </row>
    <row r="8" spans="1:12" ht="15.75">
      <c r="A8" s="65" t="s">
        <v>7</v>
      </c>
      <c r="B8" s="3">
        <v>2016</v>
      </c>
      <c r="C8" s="4">
        <v>538044038690</v>
      </c>
      <c r="D8" s="4">
        <v>887920113728</v>
      </c>
      <c r="E8" s="6">
        <f t="shared" si="0"/>
        <v>0.60595996235627692</v>
      </c>
      <c r="L8" s="11"/>
    </row>
    <row r="9" spans="1:12">
      <c r="A9" s="65"/>
      <c r="B9" s="3">
        <v>2017</v>
      </c>
      <c r="C9" s="4">
        <v>489592257434</v>
      </c>
      <c r="D9" s="4">
        <v>903044187067</v>
      </c>
      <c r="E9" s="6">
        <f t="shared" si="0"/>
        <v>0.54215758702145922</v>
      </c>
    </row>
    <row r="10" spans="1:12">
      <c r="A10" s="65"/>
      <c r="B10" s="3">
        <v>2018</v>
      </c>
      <c r="C10" s="4">
        <v>192308466864</v>
      </c>
      <c r="D10" s="4">
        <v>976647575842</v>
      </c>
      <c r="E10" s="6">
        <f t="shared" si="0"/>
        <v>0.19690671601596363</v>
      </c>
    </row>
    <row r="11" spans="1:12">
      <c r="A11" s="65"/>
      <c r="B11" s="3">
        <v>2019</v>
      </c>
      <c r="C11" s="4">
        <v>261784845240</v>
      </c>
      <c r="D11" s="4">
        <v>1131294696834</v>
      </c>
      <c r="E11" s="6">
        <f t="shared" si="0"/>
        <v>0.2314028749296019</v>
      </c>
    </row>
    <row r="12" spans="1:12">
      <c r="A12" s="65"/>
      <c r="B12" s="3">
        <v>2020</v>
      </c>
      <c r="C12" s="4">
        <v>305958833204</v>
      </c>
      <c r="D12" s="4">
        <v>261784845240</v>
      </c>
      <c r="E12" s="6">
        <f t="shared" si="0"/>
        <v>1.1687415783121518</v>
      </c>
    </row>
    <row r="13" spans="1:12">
      <c r="A13" s="65" t="s">
        <v>8</v>
      </c>
      <c r="B13" s="3">
        <v>2016</v>
      </c>
      <c r="C13" s="4">
        <v>265127000000</v>
      </c>
      <c r="D13" s="4">
        <v>198162000000</v>
      </c>
      <c r="E13" s="6">
        <f t="shared" si="0"/>
        <v>1.3379305820490306</v>
      </c>
    </row>
    <row r="14" spans="1:12">
      <c r="A14" s="65"/>
      <c r="B14" s="3">
        <v>2017</v>
      </c>
      <c r="C14" s="4">
        <v>362948000000</v>
      </c>
      <c r="D14" s="4">
        <v>297970000000</v>
      </c>
      <c r="E14" s="6">
        <f t="shared" si="0"/>
        <v>1.2180689331140719</v>
      </c>
    </row>
    <row r="15" spans="1:12">
      <c r="A15" s="65"/>
      <c r="B15" s="3">
        <v>2018</v>
      </c>
      <c r="C15" s="4">
        <v>198455000000</v>
      </c>
      <c r="D15" s="4">
        <v>635478000000</v>
      </c>
      <c r="E15" s="6">
        <f t="shared" si="0"/>
        <v>0.31229247904726837</v>
      </c>
    </row>
    <row r="16" spans="1:12">
      <c r="A16" s="65"/>
      <c r="B16" s="3">
        <v>2019</v>
      </c>
      <c r="C16" s="4">
        <v>478844867693</v>
      </c>
      <c r="D16" s="4">
        <v>766299436026</v>
      </c>
      <c r="E16" s="6">
        <f t="shared" si="0"/>
        <v>0.62487957733111676</v>
      </c>
    </row>
    <row r="17" spans="1:5">
      <c r="A17" s="65"/>
      <c r="B17" s="3">
        <v>2020</v>
      </c>
      <c r="C17" s="4">
        <v>416194010942</v>
      </c>
      <c r="D17" s="4">
        <v>894746110680</v>
      </c>
      <c r="E17" s="6">
        <f t="shared" si="0"/>
        <v>0.46515319370954944</v>
      </c>
    </row>
    <row r="18" spans="1:5">
      <c r="A18" s="65" t="s">
        <v>9</v>
      </c>
      <c r="B18" s="3">
        <v>2016</v>
      </c>
      <c r="C18" s="4">
        <v>185423000000</v>
      </c>
      <c r="D18" s="4">
        <v>1012374000000</v>
      </c>
      <c r="E18" s="6">
        <f t="shared" si="0"/>
        <v>0.1831566199843141</v>
      </c>
    </row>
    <row r="19" spans="1:5">
      <c r="A19" s="65"/>
      <c r="B19" s="3">
        <v>2017</v>
      </c>
      <c r="C19" s="4">
        <v>196197000000</v>
      </c>
      <c r="D19" s="4">
        <v>1144645000000</v>
      </c>
      <c r="E19" s="6">
        <f t="shared" si="0"/>
        <v>0.17140423450065304</v>
      </c>
    </row>
    <row r="20" spans="1:5">
      <c r="A20" s="65"/>
      <c r="B20" s="3">
        <v>2018</v>
      </c>
      <c r="C20" s="4">
        <v>239353356000</v>
      </c>
      <c r="D20" s="4">
        <v>1213563332000</v>
      </c>
      <c r="E20" s="6">
        <f t="shared" si="0"/>
        <v>0.19723186230877318</v>
      </c>
    </row>
    <row r="21" spans="1:5">
      <c r="A21" s="65"/>
      <c r="B21" s="3">
        <v>2019</v>
      </c>
      <c r="C21" s="4">
        <v>212420390000</v>
      </c>
      <c r="D21" s="4">
        <v>1213563332000</v>
      </c>
      <c r="E21" s="6">
        <f t="shared" si="0"/>
        <v>0.17503856980411797</v>
      </c>
    </row>
    <row r="22" spans="1:5">
      <c r="A22" s="65"/>
      <c r="B22" s="3">
        <v>2020</v>
      </c>
      <c r="C22" s="4">
        <v>205681950000</v>
      </c>
      <c r="D22" s="4">
        <v>1019898963000</v>
      </c>
      <c r="E22" s="6">
        <f t="shared" si="0"/>
        <v>0.20166894708373187</v>
      </c>
    </row>
    <row r="23" spans="1:5">
      <c r="A23" s="65" t="s">
        <v>10</v>
      </c>
      <c r="B23" s="3">
        <v>2016</v>
      </c>
      <c r="C23" s="4">
        <v>38233092000</v>
      </c>
      <c r="D23" s="4">
        <v>43941423000</v>
      </c>
      <c r="E23" s="6">
        <f t="shared" si="0"/>
        <v>0.87009225896029807</v>
      </c>
    </row>
    <row r="24" spans="1:5">
      <c r="A24" s="65"/>
      <c r="B24" s="3">
        <v>2017</v>
      </c>
      <c r="C24" s="4">
        <v>41182764000</v>
      </c>
      <c r="D24" s="4">
        <v>46756724000</v>
      </c>
      <c r="E24" s="6">
        <f t="shared" si="0"/>
        <v>0.88078805521105374</v>
      </c>
    </row>
    <row r="25" spans="1:5">
      <c r="A25" s="65"/>
      <c r="B25" s="3">
        <v>2018</v>
      </c>
      <c r="C25" s="4">
        <v>46620996000</v>
      </c>
      <c r="D25" s="4">
        <v>49916800000</v>
      </c>
      <c r="E25" s="6">
        <f t="shared" si="0"/>
        <v>0.933974052823899</v>
      </c>
    </row>
    <row r="26" spans="1:5">
      <c r="A26" s="65"/>
      <c r="B26" s="3">
        <v>2019</v>
      </c>
      <c r="C26" s="12">
        <v>41996071000</v>
      </c>
      <c r="D26" s="12">
        <v>96198559000</v>
      </c>
      <c r="E26" s="6">
        <f t="shared" si="0"/>
        <v>0.43655613386059139</v>
      </c>
    </row>
    <row r="27" spans="1:5">
      <c r="A27" s="65"/>
      <c r="B27" s="3">
        <v>2020</v>
      </c>
      <c r="C27" s="12">
        <v>83998472000</v>
      </c>
      <c r="D27" s="12">
        <v>79138044000</v>
      </c>
      <c r="E27" s="6">
        <f t="shared" si="0"/>
        <v>1.0614170853148708</v>
      </c>
    </row>
    <row r="28" spans="1:5">
      <c r="A28" s="65" t="s">
        <v>11</v>
      </c>
      <c r="B28" s="3">
        <v>2016</v>
      </c>
      <c r="C28" s="12">
        <v>6657165872077</v>
      </c>
      <c r="D28" s="12">
        <v>6285255987065</v>
      </c>
      <c r="E28" s="6">
        <f t="shared" si="0"/>
        <v>1.0591717959900737</v>
      </c>
    </row>
    <row r="29" spans="1:5">
      <c r="A29" s="65"/>
      <c r="B29" s="3">
        <v>2017</v>
      </c>
      <c r="C29" s="12">
        <v>7561503434179</v>
      </c>
      <c r="D29" s="12">
        <v>7354346366072</v>
      </c>
      <c r="E29" s="6">
        <f t="shared" si="0"/>
        <v>1.0281679781989441</v>
      </c>
    </row>
    <row r="30" spans="1:5">
      <c r="A30" s="65"/>
      <c r="B30" s="3">
        <v>2018</v>
      </c>
      <c r="C30" s="4">
        <v>9049161944940</v>
      </c>
      <c r="D30" s="4">
        <v>8542544481694</v>
      </c>
      <c r="E30" s="6">
        <f t="shared" si="0"/>
        <v>1.0593052180567091</v>
      </c>
    </row>
    <row r="31" spans="1:5">
      <c r="A31" s="65"/>
      <c r="B31" s="3">
        <v>2019</v>
      </c>
      <c r="C31" s="4">
        <v>9125978611155</v>
      </c>
      <c r="D31" s="4">
        <v>9911940195318</v>
      </c>
      <c r="E31" s="6">
        <f t="shared" si="0"/>
        <v>0.92070557643858097</v>
      </c>
    </row>
    <row r="32" spans="1:5">
      <c r="A32" s="65"/>
      <c r="B32" s="3">
        <v>2020</v>
      </c>
      <c r="C32" s="4">
        <v>8506032464592</v>
      </c>
      <c r="D32" s="4">
        <v>11271468049958</v>
      </c>
      <c r="E32" s="6">
        <f>C32/D32</f>
        <v>0.75465169460545078</v>
      </c>
    </row>
    <row r="33" spans="1:5">
      <c r="A33" s="65" t="s">
        <v>13</v>
      </c>
      <c r="B33" s="3">
        <v>2016</v>
      </c>
      <c r="C33" s="4">
        <v>373511385025</v>
      </c>
      <c r="D33" s="4">
        <v>280298186058</v>
      </c>
      <c r="E33" s="6">
        <f t="shared" si="0"/>
        <v>1.3325501326923039</v>
      </c>
    </row>
    <row r="34" spans="1:5">
      <c r="A34" s="65"/>
      <c r="B34" s="3">
        <v>2017</v>
      </c>
      <c r="C34" s="4">
        <v>391494545680</v>
      </c>
      <c r="D34" s="4">
        <v>299519909843</v>
      </c>
      <c r="E34" s="6">
        <f t="shared" si="0"/>
        <v>1.3070735293864455</v>
      </c>
    </row>
    <row r="35" spans="1:5">
      <c r="A35" s="65"/>
      <c r="B35" s="3">
        <v>2018</v>
      </c>
      <c r="C35" s="4">
        <v>454760270998</v>
      </c>
      <c r="D35" s="4">
        <v>242897129653</v>
      </c>
      <c r="E35" s="6">
        <f t="shared" si="0"/>
        <v>1.8722340261808166</v>
      </c>
    </row>
    <row r="36" spans="1:5">
      <c r="A36" s="65"/>
      <c r="B36" s="3">
        <v>2019</v>
      </c>
      <c r="C36" s="4">
        <v>587528831446</v>
      </c>
      <c r="D36" s="4">
        <v>295963488806</v>
      </c>
      <c r="E36" s="6">
        <f t="shared" si="0"/>
        <v>1.9851395650735726</v>
      </c>
    </row>
    <row r="37" spans="1:5">
      <c r="A37" s="65"/>
      <c r="B37" s="3">
        <v>2020</v>
      </c>
      <c r="C37" s="4">
        <v>645223998886</v>
      </c>
      <c r="D37" s="4">
        <v>350151540897</v>
      </c>
      <c r="E37" s="6">
        <f t="shared" si="0"/>
        <v>1.8426992988038799</v>
      </c>
    </row>
    <row r="38" spans="1:5">
      <c r="A38" s="65" t="s">
        <v>12</v>
      </c>
      <c r="B38" s="3">
        <v>2016</v>
      </c>
      <c r="C38" s="12">
        <v>749967000000</v>
      </c>
      <c r="D38" s="12">
        <v>3489233000000</v>
      </c>
      <c r="E38" s="6">
        <f t="shared" si="0"/>
        <v>0.2149374948591854</v>
      </c>
    </row>
    <row r="39" spans="1:5">
      <c r="A39" s="65"/>
      <c r="B39" s="3">
        <v>2017</v>
      </c>
      <c r="C39" s="12">
        <v>978185000000</v>
      </c>
      <c r="D39" s="12">
        <v>4208755000000</v>
      </c>
      <c r="E39" s="6">
        <f t="shared" si="0"/>
        <v>0.23241671230565808</v>
      </c>
    </row>
    <row r="40" spans="1:5">
      <c r="A40" s="65"/>
      <c r="B40" s="3">
        <v>2018</v>
      </c>
      <c r="C40" s="12">
        <v>780915000000</v>
      </c>
      <c r="D40" s="12">
        <v>4774956000000</v>
      </c>
      <c r="E40" s="6">
        <f t="shared" si="0"/>
        <v>0.16354391537848725</v>
      </c>
    </row>
    <row r="41" spans="1:5">
      <c r="A41" s="65"/>
      <c r="B41" s="3">
        <v>2019</v>
      </c>
      <c r="C41" s="12">
        <v>953283000000</v>
      </c>
      <c r="D41" s="12">
        <v>5665139000000</v>
      </c>
      <c r="E41" s="6">
        <f t="shared" si="0"/>
        <v>0.16827177585580866</v>
      </c>
    </row>
    <row r="42" spans="1:5">
      <c r="A42" s="65"/>
      <c r="B42" s="3">
        <v>2020</v>
      </c>
      <c r="C42" s="12">
        <v>3972379000000</v>
      </c>
      <c r="D42" s="12">
        <v>4781737000000</v>
      </c>
      <c r="E42" s="6">
        <f t="shared" si="0"/>
        <v>0.83073975001134526</v>
      </c>
    </row>
  </sheetData>
  <mergeCells count="12">
    <mergeCell ref="A8:A12"/>
    <mergeCell ref="E1:E2"/>
    <mergeCell ref="C1:D1"/>
    <mergeCell ref="A1:A2"/>
    <mergeCell ref="B1:B2"/>
    <mergeCell ref="A3:A7"/>
    <mergeCell ref="A38:A42"/>
    <mergeCell ref="A13:A17"/>
    <mergeCell ref="A18:A22"/>
    <mergeCell ref="A23:A27"/>
    <mergeCell ref="A28:A32"/>
    <mergeCell ref="A33:A3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tabSelected="1" topLeftCell="A2" workbookViewId="0">
      <pane ySplit="3000" topLeftCell="A5" activePane="bottomLeft"/>
      <selection pane="bottomLeft" activeCell="AA15" sqref="AA15"/>
    </sheetView>
  </sheetViews>
  <sheetFormatPr defaultColWidth="10" defaultRowHeight="15"/>
  <cols>
    <col min="1" max="1" width="13" style="13" customWidth="1"/>
    <col min="2" max="2" width="9.140625" style="13"/>
    <col min="3" max="3" width="24.140625" style="14" customWidth="1"/>
    <col min="4" max="4" width="17.7109375" style="13" customWidth="1"/>
    <col min="5" max="5" width="19.28515625" style="15" customWidth="1"/>
    <col min="6" max="6" width="20.5703125" style="13" customWidth="1"/>
    <col min="7" max="7" width="28.5703125" customWidth="1"/>
    <col min="8" max="8" width="18.85546875" style="16" customWidth="1"/>
    <col min="9" max="9" width="19.85546875" style="17" customWidth="1"/>
    <col min="10" max="10" width="18.7109375" customWidth="1"/>
    <col min="11" max="11" width="19.42578125" customWidth="1"/>
    <col min="12" max="12" width="18.140625" style="18" customWidth="1"/>
    <col min="13" max="13" width="18.42578125" style="19" customWidth="1"/>
    <col min="14" max="14" width="18.42578125" style="17" customWidth="1"/>
    <col min="15" max="15" width="20" customWidth="1"/>
    <col min="16" max="16" width="24.42578125" style="18" customWidth="1"/>
    <col min="17" max="17" width="12.140625" style="17" customWidth="1"/>
    <col min="18" max="18" width="20" customWidth="1"/>
    <col min="19" max="19" width="22.5703125" customWidth="1"/>
    <col min="20" max="20" width="20" style="20" customWidth="1"/>
    <col min="21" max="21" width="9.140625" style="17"/>
    <col min="25" max="25" width="12.85546875" style="21" customWidth="1"/>
    <col min="27" max="27" width="35.85546875" customWidth="1"/>
  </cols>
  <sheetData>
    <row r="1" spans="1:27">
      <c r="A1" s="74" t="s">
        <v>14</v>
      </c>
      <c r="B1" s="74" t="s">
        <v>5</v>
      </c>
      <c r="C1" s="66" t="s">
        <v>17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</row>
    <row r="2" spans="1:27" ht="15.75" customHeight="1">
      <c r="A2" s="74"/>
      <c r="B2" s="74"/>
      <c r="C2" s="65" t="s">
        <v>41</v>
      </c>
      <c r="D2" s="65"/>
      <c r="E2" s="65"/>
      <c r="F2" s="65"/>
      <c r="G2" s="65"/>
      <c r="H2" s="65"/>
      <c r="I2" s="72" t="s">
        <v>22</v>
      </c>
      <c r="J2" s="65" t="s">
        <v>42</v>
      </c>
      <c r="K2" s="65"/>
      <c r="L2" s="65"/>
      <c r="M2" s="65"/>
      <c r="N2" s="72" t="s">
        <v>25</v>
      </c>
      <c r="O2" s="68" t="s">
        <v>43</v>
      </c>
      <c r="P2" s="68"/>
      <c r="Q2" s="70" t="s">
        <v>29</v>
      </c>
      <c r="R2" s="68" t="s">
        <v>44</v>
      </c>
      <c r="S2" s="68"/>
      <c r="T2" s="68"/>
      <c r="U2" s="70" t="s">
        <v>32</v>
      </c>
      <c r="V2" s="69" t="s">
        <v>35</v>
      </c>
      <c r="W2" s="69"/>
      <c r="X2" s="69"/>
      <c r="Y2" s="75" t="s">
        <v>35</v>
      </c>
    </row>
    <row r="3" spans="1:27" ht="15" customHeight="1">
      <c r="A3" s="74"/>
      <c r="B3" s="74"/>
      <c r="C3" s="65" t="s">
        <v>23</v>
      </c>
      <c r="D3" s="65"/>
      <c r="E3" s="65"/>
      <c r="F3" s="65" t="s">
        <v>24</v>
      </c>
      <c r="G3" s="65"/>
      <c r="H3" s="65"/>
      <c r="I3" s="72"/>
      <c r="J3" s="65" t="s">
        <v>22</v>
      </c>
      <c r="K3" s="65" t="s">
        <v>26</v>
      </c>
      <c r="L3" s="65"/>
      <c r="M3" s="71" t="s">
        <v>26</v>
      </c>
      <c r="N3" s="72"/>
      <c r="O3" s="68" t="s">
        <v>22</v>
      </c>
      <c r="P3" s="22" t="s">
        <v>30</v>
      </c>
      <c r="Q3" s="70"/>
      <c r="R3" s="68" t="s">
        <v>33</v>
      </c>
      <c r="S3" s="68"/>
      <c r="T3" s="73" t="s">
        <v>33</v>
      </c>
      <c r="U3" s="70"/>
      <c r="V3" s="69"/>
      <c r="W3" s="69"/>
      <c r="X3" s="69"/>
      <c r="Y3" s="75"/>
    </row>
    <row r="4" spans="1:27" ht="31.5">
      <c r="A4" s="74"/>
      <c r="B4" s="74"/>
      <c r="C4" s="23" t="s">
        <v>18</v>
      </c>
      <c r="D4" s="24" t="s">
        <v>19</v>
      </c>
      <c r="E4" s="25" t="s">
        <v>23</v>
      </c>
      <c r="F4" s="24" t="s">
        <v>20</v>
      </c>
      <c r="G4" s="26" t="s">
        <v>21</v>
      </c>
      <c r="H4" s="27" t="s">
        <v>24</v>
      </c>
      <c r="I4" s="72"/>
      <c r="J4" s="65"/>
      <c r="K4" s="24" t="s">
        <v>27</v>
      </c>
      <c r="L4" s="23" t="s">
        <v>28</v>
      </c>
      <c r="M4" s="71"/>
      <c r="N4" s="72"/>
      <c r="O4" s="68"/>
      <c r="P4" s="22" t="s">
        <v>31</v>
      </c>
      <c r="Q4" s="70"/>
      <c r="R4" s="28" t="s">
        <v>22</v>
      </c>
      <c r="S4" s="28" t="s">
        <v>34</v>
      </c>
      <c r="T4" s="73"/>
      <c r="U4" s="70"/>
      <c r="V4" s="29" t="s">
        <v>25</v>
      </c>
      <c r="W4" s="28" t="s">
        <v>29</v>
      </c>
      <c r="X4" s="28" t="s">
        <v>32</v>
      </c>
      <c r="Y4" s="75"/>
    </row>
    <row r="5" spans="1:27">
      <c r="A5" s="65" t="s">
        <v>6</v>
      </c>
      <c r="B5" s="3">
        <v>2016</v>
      </c>
      <c r="C5" s="12">
        <v>262143990839</v>
      </c>
      <c r="D5" s="4">
        <v>28060979300</v>
      </c>
      <c r="E5" s="30">
        <f>C5+D5</f>
        <v>290204970139</v>
      </c>
      <c r="F5" s="4">
        <v>24728935173</v>
      </c>
      <c r="G5" s="4">
        <v>35235012656</v>
      </c>
      <c r="H5" s="30">
        <f>F5+G5</f>
        <v>59963947829</v>
      </c>
      <c r="I5" s="31">
        <f>E5-H5</f>
        <v>230241022310</v>
      </c>
      <c r="J5" s="32">
        <f>I5</f>
        <v>230241022310</v>
      </c>
      <c r="K5" s="5">
        <v>480840000000</v>
      </c>
      <c r="L5" s="12">
        <v>26500565763</v>
      </c>
      <c r="M5" s="33">
        <f>K5+L5</f>
        <v>507340565763</v>
      </c>
      <c r="N5" s="34">
        <f>J5/M5</f>
        <v>0.45381946141786583</v>
      </c>
      <c r="O5" s="32">
        <f>J5</f>
        <v>230241022310</v>
      </c>
      <c r="P5" s="12">
        <v>205235012656</v>
      </c>
      <c r="Q5" s="34">
        <f>O5/P5</f>
        <v>1.1218408561501796</v>
      </c>
      <c r="R5" s="32">
        <f>J5</f>
        <v>230241022310</v>
      </c>
      <c r="S5" s="32">
        <f>P5</f>
        <v>205235012656</v>
      </c>
      <c r="T5" s="35">
        <f>R5-S5</f>
        <v>25006009654</v>
      </c>
      <c r="U5" s="34">
        <f>T5/R5</f>
        <v>0.10860796830693155</v>
      </c>
      <c r="V5" s="3">
        <f>N5</f>
        <v>0.45381946141786583</v>
      </c>
      <c r="W5" s="3">
        <f>Q5</f>
        <v>1.1218408561501796</v>
      </c>
      <c r="X5" s="3">
        <f>U5</f>
        <v>0.10860796830693155</v>
      </c>
      <c r="Y5" s="36">
        <f>V5+W5+X5</f>
        <v>1.684268285874982</v>
      </c>
      <c r="AA5" s="37" t="s">
        <v>40</v>
      </c>
    </row>
    <row r="6" spans="1:27" ht="15.75">
      <c r="A6" s="65"/>
      <c r="B6" s="3">
        <v>2017</v>
      </c>
      <c r="C6" s="12">
        <v>262143990839</v>
      </c>
      <c r="D6" s="4">
        <v>33997564862</v>
      </c>
      <c r="E6" s="30">
        <f t="shared" ref="E6:E44" si="0">C6+D6</f>
        <v>296141555701</v>
      </c>
      <c r="F6" s="4">
        <v>23941275960</v>
      </c>
      <c r="G6" s="4">
        <v>51227133346</v>
      </c>
      <c r="H6" s="30">
        <f t="shared" ref="H6:H44" si="1">F6+G6</f>
        <v>75168409306</v>
      </c>
      <c r="I6" s="31">
        <f t="shared" ref="I6:I44" si="2">E6-H6</f>
        <v>220973146395</v>
      </c>
      <c r="J6" s="32">
        <f t="shared" ref="J6:J44" si="3">I6</f>
        <v>220973146395</v>
      </c>
      <c r="K6" s="5">
        <v>419280000000</v>
      </c>
      <c r="L6" s="12">
        <v>33997564862</v>
      </c>
      <c r="M6" s="33">
        <f t="shared" ref="M6:M44" si="4">K6+L6</f>
        <v>453277564862</v>
      </c>
      <c r="N6" s="34">
        <f t="shared" ref="N6:N44" si="5">J6/M6</f>
        <v>0.48750073580693343</v>
      </c>
      <c r="O6" s="32">
        <f t="shared" ref="O6:O44" si="6">J6</f>
        <v>220973146395</v>
      </c>
      <c r="P6" s="12">
        <v>200227133346</v>
      </c>
      <c r="Q6" s="34">
        <f t="shared" ref="Q6:Q44" si="7">O6/P6</f>
        <v>1.1036123960939406</v>
      </c>
      <c r="R6" s="32">
        <f t="shared" ref="R6:R44" si="8">J6</f>
        <v>220973146395</v>
      </c>
      <c r="S6" s="32">
        <f t="shared" ref="S6:S44" si="9">P6</f>
        <v>200227133346</v>
      </c>
      <c r="T6" s="35">
        <f t="shared" ref="T6:T44" si="10">R6-S6</f>
        <v>20746013049</v>
      </c>
      <c r="U6" s="34">
        <f t="shared" ref="U6:U44" si="11">T6/R6</f>
        <v>9.3884770106479429E-2</v>
      </c>
      <c r="V6" s="3">
        <f t="shared" ref="V6:V44" si="12">N6</f>
        <v>0.48750073580693343</v>
      </c>
      <c r="W6" s="3">
        <f t="shared" ref="W6:W44" si="13">Q6</f>
        <v>1.1036123960939406</v>
      </c>
      <c r="X6" s="3">
        <f t="shared" ref="X6:X44" si="14">U6</f>
        <v>9.3884770106479429E-2</v>
      </c>
      <c r="Y6" s="36">
        <f t="shared" ref="Y6:Y44" si="15">V6+W6+X6</f>
        <v>1.6849979020073493</v>
      </c>
      <c r="AA6" s="38" t="s">
        <v>39</v>
      </c>
    </row>
    <row r="7" spans="1:27" ht="15.75">
      <c r="A7" s="65"/>
      <c r="B7" s="3">
        <v>2018</v>
      </c>
      <c r="C7" s="12">
        <v>350274839317</v>
      </c>
      <c r="D7" s="4">
        <v>32940498933</v>
      </c>
      <c r="E7" s="30">
        <f t="shared" si="0"/>
        <v>383215338250</v>
      </c>
      <c r="F7" s="4">
        <v>26149795156</v>
      </c>
      <c r="G7" s="4">
        <v>27547841915</v>
      </c>
      <c r="H7" s="30">
        <f t="shared" si="1"/>
        <v>53697637071</v>
      </c>
      <c r="I7" s="31">
        <f>E7-H7</f>
        <v>329517701179</v>
      </c>
      <c r="J7" s="32">
        <f>I7</f>
        <v>329517701179</v>
      </c>
      <c r="K7" s="5">
        <v>387130000000</v>
      </c>
      <c r="L7" s="12">
        <v>22940498933</v>
      </c>
      <c r="M7" s="33">
        <f t="shared" si="4"/>
        <v>410070498933</v>
      </c>
      <c r="N7" s="34">
        <f t="shared" si="5"/>
        <v>0.80356353855349827</v>
      </c>
      <c r="O7" s="32">
        <f>J7</f>
        <v>329517701179</v>
      </c>
      <c r="P7" s="12">
        <v>200547841915</v>
      </c>
      <c r="Q7" s="34">
        <f>O7/P7</f>
        <v>1.6430877442134852</v>
      </c>
      <c r="R7" s="32">
        <f>J7</f>
        <v>329517701179</v>
      </c>
      <c r="S7" s="32">
        <f t="shared" si="9"/>
        <v>200547841915</v>
      </c>
      <c r="T7" s="35">
        <f>R7-S7</f>
        <v>128969859264</v>
      </c>
      <c r="U7" s="34">
        <f t="shared" si="11"/>
        <v>0.39138977603494884</v>
      </c>
      <c r="V7" s="3">
        <f t="shared" si="12"/>
        <v>0.80356353855349827</v>
      </c>
      <c r="W7" s="3">
        <f>Q7</f>
        <v>1.6430877442134852</v>
      </c>
      <c r="X7" s="3">
        <f>U7</f>
        <v>0.39138977603494884</v>
      </c>
      <c r="Y7" s="36">
        <f t="shared" si="15"/>
        <v>2.8380410588019291</v>
      </c>
      <c r="AA7" s="38" t="s">
        <v>38</v>
      </c>
    </row>
    <row r="8" spans="1:27" ht="15.75">
      <c r="A8" s="65"/>
      <c r="B8" s="3">
        <v>2019</v>
      </c>
      <c r="C8" s="12">
        <v>543971642312</v>
      </c>
      <c r="D8" s="4">
        <v>22340436431</v>
      </c>
      <c r="E8" s="30">
        <f t="shared" si="0"/>
        <v>566312078743</v>
      </c>
      <c r="F8" s="4">
        <v>16106381016</v>
      </c>
      <c r="G8" s="4">
        <v>30316049687</v>
      </c>
      <c r="H8" s="30">
        <f t="shared" si="1"/>
        <v>46422430703</v>
      </c>
      <c r="I8" s="31">
        <f t="shared" si="2"/>
        <v>519889648040</v>
      </c>
      <c r="J8" s="32">
        <f t="shared" si="3"/>
        <v>519889648040</v>
      </c>
      <c r="K8" s="4">
        <v>380730523614</v>
      </c>
      <c r="L8" s="12">
        <v>11089562244</v>
      </c>
      <c r="M8" s="33">
        <f t="shared" si="4"/>
        <v>391820085858</v>
      </c>
      <c r="N8" s="34">
        <f t="shared" si="5"/>
        <v>1.326858083095857</v>
      </c>
      <c r="O8" s="32">
        <f t="shared" si="6"/>
        <v>519889648040</v>
      </c>
      <c r="P8" s="12">
        <v>225827168117</v>
      </c>
      <c r="Q8" s="34">
        <f>O8/P8</f>
        <v>2.3021572310141516</v>
      </c>
      <c r="R8" s="32">
        <f t="shared" si="8"/>
        <v>519889648040</v>
      </c>
      <c r="S8" s="32">
        <f t="shared" si="9"/>
        <v>225827168117</v>
      </c>
      <c r="T8" s="35">
        <f t="shared" si="10"/>
        <v>294062479923</v>
      </c>
      <c r="U8" s="34">
        <f t="shared" si="11"/>
        <v>0.56562480332436815</v>
      </c>
      <c r="V8" s="3">
        <f t="shared" si="12"/>
        <v>1.326858083095857</v>
      </c>
      <c r="W8" s="3">
        <f t="shared" si="13"/>
        <v>2.3021572310141516</v>
      </c>
      <c r="X8" s="3">
        <f t="shared" si="14"/>
        <v>0.56562480332436815</v>
      </c>
      <c r="Y8" s="36">
        <f>V8+W8+X8</f>
        <v>4.1946401174343784</v>
      </c>
      <c r="AA8" s="38" t="s">
        <v>37</v>
      </c>
    </row>
    <row r="9" spans="1:27" ht="15.75">
      <c r="A9" s="65"/>
      <c r="B9" s="3">
        <v>2020</v>
      </c>
      <c r="C9" s="12">
        <v>321504859340</v>
      </c>
      <c r="D9" s="4">
        <v>2004692132</v>
      </c>
      <c r="E9" s="30">
        <f>C9+D9</f>
        <v>323509551472</v>
      </c>
      <c r="F9" s="4">
        <v>19535607685</v>
      </c>
      <c r="G9" s="4">
        <v>19057913409</v>
      </c>
      <c r="H9" s="30">
        <f t="shared" si="1"/>
        <v>38593521094</v>
      </c>
      <c r="I9" s="31">
        <f t="shared" si="2"/>
        <v>284916030378</v>
      </c>
      <c r="J9" s="32">
        <f t="shared" si="3"/>
        <v>284916030378</v>
      </c>
      <c r="K9" s="4">
        <v>372883080340</v>
      </c>
      <c r="L9" s="12">
        <v>8840581507</v>
      </c>
      <c r="M9" s="33">
        <f t="shared" si="4"/>
        <v>381723661847</v>
      </c>
      <c r="N9" s="34">
        <f t="shared" si="5"/>
        <v>0.74639342240250806</v>
      </c>
      <c r="O9" s="32">
        <f>J9</f>
        <v>284916030378</v>
      </c>
      <c r="P9" s="12">
        <f>265961358630+9258012554</f>
        <v>275219371184</v>
      </c>
      <c r="Q9" s="34">
        <f>O9/P9</f>
        <v>1.0352324734711977</v>
      </c>
      <c r="R9" s="32">
        <f>J9</f>
        <v>284916030378</v>
      </c>
      <c r="S9" s="32">
        <f t="shared" si="9"/>
        <v>275219371184</v>
      </c>
      <c r="T9" s="35">
        <f t="shared" si="10"/>
        <v>9696659194</v>
      </c>
      <c r="U9" s="34">
        <f>T9/R9</f>
        <v>3.4033392860118743E-2</v>
      </c>
      <c r="V9" s="3">
        <f t="shared" si="12"/>
        <v>0.74639342240250806</v>
      </c>
      <c r="W9" s="3">
        <f>Q9</f>
        <v>1.0352324734711977</v>
      </c>
      <c r="X9" s="3">
        <f t="shared" si="14"/>
        <v>3.4033392860118743E-2</v>
      </c>
      <c r="Y9" s="36">
        <f t="shared" si="15"/>
        <v>1.8156592887338285</v>
      </c>
      <c r="AA9" s="38" t="s">
        <v>36</v>
      </c>
    </row>
    <row r="10" spans="1:27">
      <c r="A10" s="65" t="s">
        <v>7</v>
      </c>
      <c r="B10" s="3">
        <v>2016</v>
      </c>
      <c r="C10" s="12">
        <v>4115541761173</v>
      </c>
      <c r="D10" s="4">
        <v>307478822</v>
      </c>
      <c r="E10" s="30">
        <f t="shared" si="0"/>
        <v>4115849239995</v>
      </c>
      <c r="F10" s="4">
        <v>72368779720</v>
      </c>
      <c r="G10" s="4">
        <v>42737216576</v>
      </c>
      <c r="H10" s="30">
        <f t="shared" si="1"/>
        <v>115105996296</v>
      </c>
      <c r="I10" s="31">
        <f t="shared" si="2"/>
        <v>4000743243699</v>
      </c>
      <c r="J10" s="32">
        <f t="shared" si="3"/>
        <v>4000743243699</v>
      </c>
      <c r="K10" s="4">
        <v>887920113728</v>
      </c>
      <c r="L10" s="12">
        <v>349697013626</v>
      </c>
      <c r="M10" s="33">
        <f t="shared" si="4"/>
        <v>1237617127354</v>
      </c>
      <c r="N10" s="34">
        <f t="shared" si="5"/>
        <v>3.232617871289893</v>
      </c>
      <c r="O10" s="32">
        <f t="shared" si="6"/>
        <v>4000743243699</v>
      </c>
      <c r="P10" s="12">
        <f>4370965136409+330062032000+45062032000</f>
        <v>4746089200409</v>
      </c>
      <c r="Q10" s="34">
        <f t="shared" si="7"/>
        <v>0.84295576310580744</v>
      </c>
      <c r="R10" s="32">
        <f t="shared" si="8"/>
        <v>4000743243699</v>
      </c>
      <c r="S10" s="32">
        <f t="shared" si="9"/>
        <v>4746089200409</v>
      </c>
      <c r="T10" s="35">
        <f t="shared" si="10"/>
        <v>-745345956710</v>
      </c>
      <c r="U10" s="34">
        <f t="shared" si="11"/>
        <v>-0.18630187225433376</v>
      </c>
      <c r="V10" s="3">
        <f t="shared" si="12"/>
        <v>3.232617871289893</v>
      </c>
      <c r="W10" s="3">
        <f t="shared" si="13"/>
        <v>0.84295576310580744</v>
      </c>
      <c r="X10" s="3">
        <f t="shared" si="14"/>
        <v>-0.18630187225433376</v>
      </c>
      <c r="Y10" s="36">
        <f t="shared" si="15"/>
        <v>3.8892717621413659</v>
      </c>
    </row>
    <row r="11" spans="1:27">
      <c r="A11" s="65"/>
      <c r="B11" s="3">
        <v>2017</v>
      </c>
      <c r="C11" s="12">
        <v>4257738486908</v>
      </c>
      <c r="D11" s="4">
        <v>1087253800</v>
      </c>
      <c r="E11" s="30">
        <f t="shared" si="0"/>
        <v>4258825740708</v>
      </c>
      <c r="F11" s="4">
        <v>72724361949</v>
      </c>
      <c r="G11" s="4">
        <v>51447784731</v>
      </c>
      <c r="H11" s="30">
        <f t="shared" si="1"/>
        <v>124172146680</v>
      </c>
      <c r="I11" s="31">
        <f t="shared" si="2"/>
        <v>4134653594028</v>
      </c>
      <c r="J11" s="32">
        <f t="shared" si="3"/>
        <v>4134653594028</v>
      </c>
      <c r="K11" s="4">
        <v>903044187067</v>
      </c>
      <c r="L11" s="12">
        <v>357420886839</v>
      </c>
      <c r="M11" s="33">
        <f t="shared" si="4"/>
        <v>1260465073906</v>
      </c>
      <c r="N11" s="34">
        <f t="shared" si="5"/>
        <v>3.2802603416969762</v>
      </c>
      <c r="O11" s="32">
        <f t="shared" si="6"/>
        <v>4134653594028</v>
      </c>
      <c r="P11" s="12">
        <f>4127071624943+610164335000+27071624943</f>
        <v>4764307584886</v>
      </c>
      <c r="Q11" s="34">
        <f t="shared" si="7"/>
        <v>0.86783934923608286</v>
      </c>
      <c r="R11" s="32">
        <f t="shared" si="8"/>
        <v>4134653594028</v>
      </c>
      <c r="S11" s="32">
        <f t="shared" si="9"/>
        <v>4764307584886</v>
      </c>
      <c r="T11" s="35">
        <f t="shared" si="10"/>
        <v>-629653990858</v>
      </c>
      <c r="U11" s="34">
        <f t="shared" si="11"/>
        <v>-0.15228699975433443</v>
      </c>
      <c r="V11" s="3">
        <f t="shared" si="12"/>
        <v>3.2802603416969762</v>
      </c>
      <c r="W11" s="3">
        <f t="shared" si="13"/>
        <v>0.86783934923608286</v>
      </c>
      <c r="X11" s="3">
        <f t="shared" si="14"/>
        <v>-0.15228699975433443</v>
      </c>
      <c r="Y11" s="36">
        <f t="shared" si="15"/>
        <v>3.9958126911787262</v>
      </c>
      <c r="Z11" s="39"/>
    </row>
    <row r="12" spans="1:27">
      <c r="A12" s="65"/>
      <c r="B12" s="3">
        <v>2018</v>
      </c>
      <c r="C12" s="12">
        <v>3629327583572</v>
      </c>
      <c r="D12" s="4">
        <v>1562361087</v>
      </c>
      <c r="E12" s="30">
        <f t="shared" si="0"/>
        <v>3630889944659</v>
      </c>
      <c r="F12" s="4">
        <v>77735839903</v>
      </c>
      <c r="G12" s="4">
        <v>62839760948</v>
      </c>
      <c r="H12" s="30">
        <f t="shared" si="1"/>
        <v>140575600851</v>
      </c>
      <c r="I12" s="31">
        <f t="shared" si="2"/>
        <v>3490314343808</v>
      </c>
      <c r="J12" s="32">
        <f t="shared" si="3"/>
        <v>3490314343808</v>
      </c>
      <c r="K12" s="4">
        <v>976647575842</v>
      </c>
      <c r="L12" s="12">
        <v>362649656775</v>
      </c>
      <c r="M12" s="33">
        <f t="shared" si="4"/>
        <v>1339297232617</v>
      </c>
      <c r="N12" s="34">
        <f>J12/M12</f>
        <v>2.6060789635082657</v>
      </c>
      <c r="O12" s="32">
        <f t="shared" si="6"/>
        <v>3490314343808</v>
      </c>
      <c r="P12" s="12">
        <f>4060208512468+25551300000+7851300000</f>
        <v>4093611112468</v>
      </c>
      <c r="Q12" s="34">
        <f t="shared" si="7"/>
        <v>0.85262479701051086</v>
      </c>
      <c r="R12" s="32">
        <f t="shared" si="8"/>
        <v>3490314343808</v>
      </c>
      <c r="S12" s="32">
        <f t="shared" si="9"/>
        <v>4093611112468</v>
      </c>
      <c r="T12" s="35">
        <f t="shared" si="10"/>
        <v>-603296768660</v>
      </c>
      <c r="U12" s="34">
        <f t="shared" si="11"/>
        <v>-0.17284883515729177</v>
      </c>
      <c r="V12" s="3">
        <f>N12</f>
        <v>2.6060789635082657</v>
      </c>
      <c r="W12" s="3">
        <f t="shared" si="13"/>
        <v>0.85262479701051086</v>
      </c>
      <c r="X12" s="3">
        <f t="shared" si="14"/>
        <v>-0.17284883515729177</v>
      </c>
      <c r="Y12" s="36">
        <f t="shared" si="15"/>
        <v>3.2858549253614879</v>
      </c>
      <c r="Z12" s="39"/>
    </row>
    <row r="13" spans="1:27">
      <c r="A13" s="65"/>
      <c r="B13" s="3">
        <v>2019</v>
      </c>
      <c r="C13" s="12">
        <v>3120937098980</v>
      </c>
      <c r="D13" s="4">
        <v>3069330484</v>
      </c>
      <c r="E13" s="30">
        <f t="shared" si="0"/>
        <v>3124006429464</v>
      </c>
      <c r="F13" s="4">
        <v>48951237291</v>
      </c>
      <c r="G13" s="4">
        <v>44598253533</v>
      </c>
      <c r="H13" s="30">
        <f t="shared" si="1"/>
        <v>93549490824</v>
      </c>
      <c r="I13" s="31">
        <f t="shared" si="2"/>
        <v>3030456938640</v>
      </c>
      <c r="J13" s="32">
        <f t="shared" si="3"/>
        <v>3030456938640</v>
      </c>
      <c r="K13" s="4">
        <v>1131294696834</v>
      </c>
      <c r="L13" s="12">
        <v>215459200242</v>
      </c>
      <c r="M13" s="33">
        <f t="shared" si="4"/>
        <v>1346753897076</v>
      </c>
      <c r="N13" s="34">
        <f t="shared" si="5"/>
        <v>2.2501935544568061</v>
      </c>
      <c r="O13" s="32">
        <f t="shared" si="6"/>
        <v>3030456938640</v>
      </c>
      <c r="P13" s="12">
        <f>1520226725346+15076364000+960164335000</f>
        <v>2495467424346</v>
      </c>
      <c r="Q13" s="34">
        <f t="shared" si="7"/>
        <v>1.2143844912879227</v>
      </c>
      <c r="R13" s="32">
        <f t="shared" si="8"/>
        <v>3030456938640</v>
      </c>
      <c r="S13" s="32">
        <f t="shared" si="9"/>
        <v>2495467424346</v>
      </c>
      <c r="T13" s="35">
        <f t="shared" si="10"/>
        <v>534989514294</v>
      </c>
      <c r="U13" s="34">
        <f t="shared" si="11"/>
        <v>0.17653757341758866</v>
      </c>
      <c r="V13" s="3">
        <f t="shared" si="12"/>
        <v>2.2501935544568061</v>
      </c>
      <c r="W13" s="3">
        <f t="shared" si="13"/>
        <v>1.2143844912879227</v>
      </c>
      <c r="X13" s="3">
        <f t="shared" si="14"/>
        <v>0.17653757341758866</v>
      </c>
      <c r="Y13" s="36">
        <f t="shared" si="15"/>
        <v>3.6411156191623193</v>
      </c>
    </row>
    <row r="14" spans="1:27">
      <c r="A14" s="65"/>
      <c r="B14" s="3">
        <v>2020</v>
      </c>
      <c r="C14" s="12">
        <v>3634297273749</v>
      </c>
      <c r="D14" s="4">
        <v>2937044196</v>
      </c>
      <c r="E14" s="30">
        <f t="shared" si="0"/>
        <v>3637234317945</v>
      </c>
      <c r="F14" s="4">
        <v>79134141192</v>
      </c>
      <c r="G14" s="4">
        <v>51430321036</v>
      </c>
      <c r="H14" s="30">
        <f t="shared" si="1"/>
        <v>130564462228</v>
      </c>
      <c r="I14" s="31">
        <f t="shared" si="2"/>
        <v>3506669855717</v>
      </c>
      <c r="J14" s="32">
        <f t="shared" si="3"/>
        <v>3506669855717</v>
      </c>
      <c r="K14" s="4">
        <v>1260714994864</v>
      </c>
      <c r="L14" s="12">
        <v>181812593992</v>
      </c>
      <c r="M14" s="33">
        <f t="shared" si="4"/>
        <v>1442527588856</v>
      </c>
      <c r="N14" s="34">
        <f t="shared" si="5"/>
        <v>2.4309204779216547</v>
      </c>
      <c r="O14" s="32">
        <f t="shared" si="6"/>
        <v>3506669855717</v>
      </c>
      <c r="P14" s="12">
        <f>4529632099970+10195467000+1007071624943</f>
        <v>5546899191913</v>
      </c>
      <c r="Q14" s="34">
        <f t="shared" si="7"/>
        <v>0.63218561116623229</v>
      </c>
      <c r="R14" s="32">
        <f t="shared" si="8"/>
        <v>3506669855717</v>
      </c>
      <c r="S14" s="32">
        <f t="shared" si="9"/>
        <v>5546899191913</v>
      </c>
      <c r="T14" s="35">
        <f t="shared" si="10"/>
        <v>-2040229336196</v>
      </c>
      <c r="U14" s="34">
        <f t="shared" si="11"/>
        <v>-0.58181392036942681</v>
      </c>
      <c r="V14" s="3">
        <f t="shared" si="12"/>
        <v>2.4309204779216547</v>
      </c>
      <c r="W14" s="3">
        <f t="shared" si="13"/>
        <v>0.63218561116623229</v>
      </c>
      <c r="X14" s="3">
        <f t="shared" si="14"/>
        <v>-0.58181392036942681</v>
      </c>
      <c r="Y14" s="36">
        <f t="shared" si="15"/>
        <v>2.481292168718463</v>
      </c>
    </row>
    <row r="15" spans="1:27">
      <c r="A15" s="65" t="s">
        <v>8</v>
      </c>
      <c r="B15" s="3">
        <v>2016</v>
      </c>
      <c r="C15" s="12">
        <v>523933000000</v>
      </c>
      <c r="D15" s="5">
        <v>7802000000</v>
      </c>
      <c r="E15" s="30">
        <f t="shared" si="0"/>
        <v>531735000000</v>
      </c>
      <c r="F15" s="5">
        <v>74338000000</v>
      </c>
      <c r="G15" s="5">
        <v>28169000000</v>
      </c>
      <c r="H15" s="30">
        <f t="shared" si="1"/>
        <v>102507000000</v>
      </c>
      <c r="I15" s="31">
        <f t="shared" si="2"/>
        <v>429228000000</v>
      </c>
      <c r="J15" s="32">
        <f t="shared" si="3"/>
        <v>429228000000</v>
      </c>
      <c r="K15" s="4">
        <v>198162000000</v>
      </c>
      <c r="L15" s="12">
        <v>39016000000</v>
      </c>
      <c r="M15" s="33">
        <f t="shared" si="4"/>
        <v>237178000000</v>
      </c>
      <c r="N15" s="34">
        <f t="shared" si="5"/>
        <v>1.8097294015465177</v>
      </c>
      <c r="O15" s="32">
        <f t="shared" si="6"/>
        <v>429228000000</v>
      </c>
      <c r="P15" s="12">
        <v>497366631693</v>
      </c>
      <c r="Q15" s="34">
        <f t="shared" si="7"/>
        <v>0.86300120001806102</v>
      </c>
      <c r="R15" s="32">
        <f t="shared" si="8"/>
        <v>429228000000</v>
      </c>
      <c r="S15" s="32">
        <f t="shared" si="9"/>
        <v>497366631693</v>
      </c>
      <c r="T15" s="35">
        <f t="shared" si="10"/>
        <v>-68138631693</v>
      </c>
      <c r="U15" s="34">
        <f t="shared" si="11"/>
        <v>-0.15874694030445358</v>
      </c>
      <c r="V15" s="3">
        <f t="shared" si="12"/>
        <v>1.8097294015465177</v>
      </c>
      <c r="W15" s="3">
        <f t="shared" si="13"/>
        <v>0.86300120001806102</v>
      </c>
      <c r="X15" s="3">
        <f t="shared" si="14"/>
        <v>-0.15874694030445358</v>
      </c>
      <c r="Y15" s="36">
        <f t="shared" si="15"/>
        <v>2.5139836612601258</v>
      </c>
    </row>
    <row r="16" spans="1:27">
      <c r="A16" s="65"/>
      <c r="B16" s="3">
        <v>2017</v>
      </c>
      <c r="C16" s="12">
        <v>614678000000</v>
      </c>
      <c r="D16" s="4">
        <v>5869054062</v>
      </c>
      <c r="E16" s="30">
        <f t="shared" si="0"/>
        <v>620547054062</v>
      </c>
      <c r="F16" s="5">
        <v>96993000000</v>
      </c>
      <c r="G16" s="5">
        <v>14662000000</v>
      </c>
      <c r="H16" s="30">
        <f t="shared" si="1"/>
        <v>111655000000</v>
      </c>
      <c r="I16" s="31">
        <f t="shared" si="2"/>
        <v>508892054062</v>
      </c>
      <c r="J16" s="32">
        <f t="shared" si="3"/>
        <v>508892054062</v>
      </c>
      <c r="K16" s="4">
        <v>297970000000</v>
      </c>
      <c r="L16" s="40">
        <v>50174000000</v>
      </c>
      <c r="M16" s="33">
        <f t="shared" si="4"/>
        <v>348144000000</v>
      </c>
      <c r="N16" s="34">
        <f t="shared" si="5"/>
        <v>1.4617286354554437</v>
      </c>
      <c r="O16" s="32">
        <f t="shared" si="6"/>
        <v>508892054062</v>
      </c>
      <c r="P16" s="12">
        <v>335112887818</v>
      </c>
      <c r="Q16" s="34">
        <f t="shared" si="7"/>
        <v>1.518569033186153</v>
      </c>
      <c r="R16" s="32">
        <f t="shared" si="8"/>
        <v>508892054062</v>
      </c>
      <c r="S16" s="32">
        <f t="shared" si="9"/>
        <v>335112887818</v>
      </c>
      <c r="T16" s="35">
        <f t="shared" si="10"/>
        <v>173779166244</v>
      </c>
      <c r="U16" s="34">
        <f t="shared" si="11"/>
        <v>0.34148532062327686</v>
      </c>
      <c r="V16" s="3">
        <f t="shared" si="12"/>
        <v>1.4617286354554437</v>
      </c>
      <c r="W16" s="3">
        <f t="shared" si="13"/>
        <v>1.518569033186153</v>
      </c>
      <c r="X16" s="3">
        <f t="shared" si="14"/>
        <v>0.34148532062327686</v>
      </c>
      <c r="Y16" s="36">
        <f t="shared" si="15"/>
        <v>3.3217829892648769</v>
      </c>
    </row>
    <row r="17" spans="1:26">
      <c r="A17" s="65"/>
      <c r="B17" s="3">
        <v>2018</v>
      </c>
      <c r="C17" s="12">
        <v>831104000000</v>
      </c>
      <c r="D17" s="4">
        <v>1692997857</v>
      </c>
      <c r="E17" s="30">
        <f t="shared" si="0"/>
        <v>832796997857</v>
      </c>
      <c r="F17" s="4">
        <f>104898000000</f>
        <v>104898000000</v>
      </c>
      <c r="G17" s="5">
        <v>26208000000</v>
      </c>
      <c r="H17" s="30">
        <f t="shared" si="1"/>
        <v>131106000000</v>
      </c>
      <c r="I17" s="31">
        <f t="shared" si="2"/>
        <v>701690997857</v>
      </c>
      <c r="J17" s="32">
        <f t="shared" si="3"/>
        <v>701690997857</v>
      </c>
      <c r="K17" s="4">
        <v>635478000000</v>
      </c>
      <c r="L17" s="40">
        <v>63262000000</v>
      </c>
      <c r="M17" s="33">
        <f t="shared" si="4"/>
        <v>698740000000</v>
      </c>
      <c r="N17" s="34">
        <f t="shared" si="5"/>
        <v>1.004223313188024</v>
      </c>
      <c r="O17" s="32">
        <f t="shared" si="6"/>
        <v>701690997857</v>
      </c>
      <c r="P17" s="12">
        <v>501474732867</v>
      </c>
      <c r="Q17" s="34">
        <f t="shared" si="7"/>
        <v>1.3992549412117656</v>
      </c>
      <c r="R17" s="32">
        <f t="shared" si="8"/>
        <v>701690997857</v>
      </c>
      <c r="S17" s="32">
        <f t="shared" si="9"/>
        <v>501474732867</v>
      </c>
      <c r="T17" s="35">
        <f t="shared" si="10"/>
        <v>200216264990</v>
      </c>
      <c r="U17" s="34">
        <f t="shared" si="11"/>
        <v>0.28533395127124428</v>
      </c>
      <c r="V17" s="3">
        <f t="shared" si="12"/>
        <v>1.004223313188024</v>
      </c>
      <c r="W17" s="3">
        <f t="shared" si="13"/>
        <v>1.3992549412117656</v>
      </c>
      <c r="X17" s="3">
        <f t="shared" si="14"/>
        <v>0.28533395127124428</v>
      </c>
      <c r="Y17" s="36">
        <f t="shared" si="15"/>
        <v>2.688812205671034</v>
      </c>
    </row>
    <row r="18" spans="1:26">
      <c r="A18" s="65"/>
      <c r="B18" s="3">
        <v>2019</v>
      </c>
      <c r="C18" s="12">
        <v>1084912780290</v>
      </c>
      <c r="D18" s="4">
        <v>7243541741</v>
      </c>
      <c r="E18" s="30">
        <f t="shared" si="0"/>
        <v>1092156322031</v>
      </c>
      <c r="F18" s="12">
        <f>128864024173+58062408046+14850093220</f>
        <v>201776525439</v>
      </c>
      <c r="G18" s="4">
        <v>4779585179</v>
      </c>
      <c r="H18" s="30">
        <f t="shared" si="1"/>
        <v>206556110618</v>
      </c>
      <c r="I18" s="31">
        <f t="shared" si="2"/>
        <v>885600211413</v>
      </c>
      <c r="J18" s="32">
        <f t="shared" si="3"/>
        <v>885600211413</v>
      </c>
      <c r="K18" s="4">
        <v>766299436026</v>
      </c>
      <c r="L18" s="12">
        <v>128863892653</v>
      </c>
      <c r="M18" s="33">
        <f t="shared" si="4"/>
        <v>895163328679</v>
      </c>
      <c r="N18" s="34">
        <f t="shared" si="5"/>
        <v>0.98931690233545155</v>
      </c>
      <c r="O18" s="32">
        <f t="shared" si="6"/>
        <v>885600211413</v>
      </c>
      <c r="P18" s="12">
        <v>369773272782</v>
      </c>
      <c r="Q18" s="34">
        <f t="shared" si="7"/>
        <v>2.3949816728238926</v>
      </c>
      <c r="R18" s="32">
        <f t="shared" si="8"/>
        <v>885600211413</v>
      </c>
      <c r="S18" s="32">
        <f t="shared" si="9"/>
        <v>369773272782</v>
      </c>
      <c r="T18" s="35">
        <f t="shared" si="10"/>
        <v>515826938631</v>
      </c>
      <c r="U18" s="34">
        <f t="shared" si="11"/>
        <v>0.58246027042832749</v>
      </c>
      <c r="V18" s="3">
        <f t="shared" si="12"/>
        <v>0.98931690233545155</v>
      </c>
      <c r="W18" s="3">
        <f t="shared" si="13"/>
        <v>2.3949816728238926</v>
      </c>
      <c r="X18" s="3">
        <f t="shared" si="14"/>
        <v>0.58246027042832749</v>
      </c>
      <c r="Y18" s="36">
        <f t="shared" si="15"/>
        <v>3.9667588455876679</v>
      </c>
    </row>
    <row r="19" spans="1:26">
      <c r="A19" s="65"/>
      <c r="B19" s="3">
        <v>2020</v>
      </c>
      <c r="C19" s="12">
        <v>972634784176</v>
      </c>
      <c r="D19" s="4">
        <v>6088833511</v>
      </c>
      <c r="E19" s="30">
        <f t="shared" si="0"/>
        <v>978723617687</v>
      </c>
      <c r="F19" s="12">
        <f>130882499011+66492672966+25461582184</f>
        <v>222836754161</v>
      </c>
      <c r="G19" s="4">
        <v>4180993047</v>
      </c>
      <c r="H19" s="30">
        <f t="shared" si="1"/>
        <v>227017747208</v>
      </c>
      <c r="I19" s="31">
        <f t="shared" si="2"/>
        <v>751705870479</v>
      </c>
      <c r="J19" s="32">
        <f t="shared" si="3"/>
        <v>751705870479</v>
      </c>
      <c r="K19" s="4">
        <v>894746110680</v>
      </c>
      <c r="L19" s="12">
        <v>131148898505</v>
      </c>
      <c r="M19" s="33">
        <f t="shared" si="4"/>
        <v>1025895009185</v>
      </c>
      <c r="N19" s="34">
        <f t="shared" si="5"/>
        <v>0.73273177444948911</v>
      </c>
      <c r="O19" s="32">
        <f t="shared" si="6"/>
        <v>751705870479</v>
      </c>
      <c r="P19" s="12">
        <v>353589003117</v>
      </c>
      <c r="Q19" s="34">
        <f t="shared" si="7"/>
        <v>2.1259311343182978</v>
      </c>
      <c r="R19" s="32">
        <f t="shared" si="8"/>
        <v>751705870479</v>
      </c>
      <c r="S19" s="32">
        <f t="shared" si="9"/>
        <v>353589003117</v>
      </c>
      <c r="T19" s="35">
        <f t="shared" si="10"/>
        <v>398116867362</v>
      </c>
      <c r="U19" s="34">
        <f t="shared" si="11"/>
        <v>0.52961787714696584</v>
      </c>
      <c r="V19" s="3">
        <f t="shared" si="12"/>
        <v>0.73273177444948911</v>
      </c>
      <c r="W19" s="3">
        <f t="shared" si="13"/>
        <v>2.1259311343182978</v>
      </c>
      <c r="X19" s="3">
        <f t="shared" si="14"/>
        <v>0.52961787714696584</v>
      </c>
      <c r="Y19" s="36">
        <f t="shared" si="15"/>
        <v>3.3882807859147563</v>
      </c>
    </row>
    <row r="20" spans="1:26">
      <c r="A20" s="65" t="s">
        <v>9</v>
      </c>
      <c r="B20" s="3">
        <v>2016</v>
      </c>
      <c r="C20" s="12">
        <v>774968000000</v>
      </c>
      <c r="D20" s="4">
        <v>6077675000</v>
      </c>
      <c r="E20" s="30">
        <f t="shared" si="0"/>
        <v>781045675000</v>
      </c>
      <c r="F20" s="12">
        <v>158879740000</v>
      </c>
      <c r="G20" s="4">
        <v>87984166000</v>
      </c>
      <c r="H20" s="30">
        <f t="shared" si="1"/>
        <v>246863906000</v>
      </c>
      <c r="I20" s="31">
        <f t="shared" si="2"/>
        <v>534181769000</v>
      </c>
      <c r="J20" s="32">
        <f t="shared" si="3"/>
        <v>534181769000</v>
      </c>
      <c r="K20" s="4">
        <v>1012374000000</v>
      </c>
      <c r="L20" s="12">
        <v>254509000000</v>
      </c>
      <c r="M20" s="33">
        <f t="shared" si="4"/>
        <v>1266883000000</v>
      </c>
      <c r="N20" s="34">
        <f t="shared" si="5"/>
        <v>0.4216504357545251</v>
      </c>
      <c r="O20" s="32">
        <f t="shared" si="6"/>
        <v>534181769000</v>
      </c>
      <c r="P20" s="12">
        <v>254765982000</v>
      </c>
      <c r="Q20" s="34">
        <f t="shared" si="7"/>
        <v>2.0967546954522365</v>
      </c>
      <c r="R20" s="32">
        <f t="shared" si="8"/>
        <v>534181769000</v>
      </c>
      <c r="S20" s="32">
        <f t="shared" si="9"/>
        <v>254765982000</v>
      </c>
      <c r="T20" s="35">
        <f t="shared" si="10"/>
        <v>279415787000</v>
      </c>
      <c r="U20" s="34">
        <f t="shared" si="11"/>
        <v>0.52307248808410756</v>
      </c>
      <c r="V20" s="3">
        <f t="shared" si="12"/>
        <v>0.4216504357545251</v>
      </c>
      <c r="W20" s="3">
        <f t="shared" si="13"/>
        <v>2.0967546954522365</v>
      </c>
      <c r="X20" s="3">
        <f t="shared" si="14"/>
        <v>0.52307248808410756</v>
      </c>
      <c r="Y20" s="36">
        <f t="shared" si="15"/>
        <v>3.0414776192908679</v>
      </c>
    </row>
    <row r="21" spans="1:26">
      <c r="A21" s="65"/>
      <c r="B21" s="3">
        <v>2017</v>
      </c>
      <c r="C21" s="12">
        <v>777308000000</v>
      </c>
      <c r="D21" s="4">
        <v>4584616000</v>
      </c>
      <c r="E21" s="30">
        <f t="shared" si="0"/>
        <v>781892616000</v>
      </c>
      <c r="F21" s="4">
        <v>157245312000</v>
      </c>
      <c r="G21" s="4">
        <v>85421633000</v>
      </c>
      <c r="H21" s="30">
        <f t="shared" si="1"/>
        <v>242666945000</v>
      </c>
      <c r="I21" s="31">
        <f t="shared" si="2"/>
        <v>539225671000</v>
      </c>
      <c r="J21" s="32">
        <f t="shared" si="3"/>
        <v>539225671000</v>
      </c>
      <c r="K21" s="4">
        <v>1144645000000</v>
      </c>
      <c r="L21" s="12">
        <v>279773000000</v>
      </c>
      <c r="M21" s="33">
        <f t="shared" si="4"/>
        <v>1424418000000</v>
      </c>
      <c r="N21" s="34">
        <f t="shared" si="5"/>
        <v>0.37855859094732025</v>
      </c>
      <c r="O21" s="32">
        <f t="shared" si="6"/>
        <v>539225671000</v>
      </c>
      <c r="P21" s="12">
        <v>166672112000</v>
      </c>
      <c r="Q21" s="34">
        <f t="shared" si="7"/>
        <v>3.2352483239667595</v>
      </c>
      <c r="R21" s="32">
        <f t="shared" si="8"/>
        <v>539225671000</v>
      </c>
      <c r="S21" s="32">
        <f t="shared" si="9"/>
        <v>166672112000</v>
      </c>
      <c r="T21" s="35">
        <f t="shared" si="10"/>
        <v>372553559000</v>
      </c>
      <c r="U21" s="34">
        <f t="shared" si="11"/>
        <v>0.69090471584762514</v>
      </c>
      <c r="V21" s="3">
        <f t="shared" si="12"/>
        <v>0.37855859094732025</v>
      </c>
      <c r="W21" s="3">
        <f t="shared" si="13"/>
        <v>3.2352483239667595</v>
      </c>
      <c r="X21" s="3">
        <f t="shared" si="14"/>
        <v>0.69090471584762514</v>
      </c>
      <c r="Y21" s="36">
        <f t="shared" si="15"/>
        <v>4.3047116307617053</v>
      </c>
    </row>
    <row r="22" spans="1:26">
      <c r="A22" s="65"/>
      <c r="B22" s="3">
        <v>2018</v>
      </c>
      <c r="C22" s="12">
        <v>827136727000</v>
      </c>
      <c r="D22" s="4">
        <v>6073506000</v>
      </c>
      <c r="E22" s="30">
        <f t="shared" si="0"/>
        <v>833210233000</v>
      </c>
      <c r="F22" s="4">
        <v>175692185000</v>
      </c>
      <c r="G22" s="4">
        <v>79000788000</v>
      </c>
      <c r="H22" s="30">
        <f t="shared" si="1"/>
        <v>254692973000</v>
      </c>
      <c r="I22" s="31">
        <f t="shared" si="2"/>
        <v>578517260000</v>
      </c>
      <c r="J22" s="32">
        <f t="shared" si="3"/>
        <v>578517260000</v>
      </c>
      <c r="K22" s="4">
        <v>1213563332000</v>
      </c>
      <c r="L22" s="12">
        <v>254509268000</v>
      </c>
      <c r="M22" s="33">
        <f t="shared" si="4"/>
        <v>1468072600000</v>
      </c>
      <c r="N22" s="34">
        <f t="shared" si="5"/>
        <v>0.39406583843333087</v>
      </c>
      <c r="O22" s="32">
        <f t="shared" si="6"/>
        <v>578517260000</v>
      </c>
      <c r="P22" s="12">
        <v>160767849000</v>
      </c>
      <c r="Q22" s="34">
        <f t="shared" si="7"/>
        <v>3.5984636455514187</v>
      </c>
      <c r="R22" s="32">
        <f t="shared" si="8"/>
        <v>578517260000</v>
      </c>
      <c r="S22" s="32">
        <f t="shared" si="9"/>
        <v>160767849000</v>
      </c>
      <c r="T22" s="35">
        <f t="shared" si="10"/>
        <v>417749411000</v>
      </c>
      <c r="U22" s="34">
        <f t="shared" si="11"/>
        <v>0.72210362574143427</v>
      </c>
      <c r="V22" s="3">
        <f t="shared" si="12"/>
        <v>0.39406583843333087</v>
      </c>
      <c r="W22" s="3">
        <f t="shared" si="13"/>
        <v>3.5984636455514187</v>
      </c>
      <c r="X22" s="3">
        <f t="shared" si="14"/>
        <v>0.72210362574143427</v>
      </c>
      <c r="Y22" s="36">
        <f t="shared" si="15"/>
        <v>4.7146331097261838</v>
      </c>
      <c r="Z22" s="39"/>
    </row>
    <row r="23" spans="1:26">
      <c r="A23" s="65"/>
      <c r="B23" s="3">
        <v>2019</v>
      </c>
      <c r="C23" s="12">
        <v>827136727000</v>
      </c>
      <c r="D23" s="4">
        <v>2351683000</v>
      </c>
      <c r="E23" s="30">
        <f t="shared" si="0"/>
        <v>829488410000</v>
      </c>
      <c r="F23" s="4">
        <v>166486011000</v>
      </c>
      <c r="G23" s="4">
        <v>68361970000</v>
      </c>
      <c r="H23" s="30">
        <f t="shared" si="1"/>
        <v>234847981000</v>
      </c>
      <c r="I23" s="31">
        <f t="shared" si="2"/>
        <v>594640429000</v>
      </c>
      <c r="J23" s="32">
        <f t="shared" si="3"/>
        <v>594640429000</v>
      </c>
      <c r="K23" s="4">
        <v>1213563332000</v>
      </c>
      <c r="L23" s="12">
        <v>279772635000</v>
      </c>
      <c r="M23" s="33">
        <f t="shared" si="4"/>
        <v>1493335967000</v>
      </c>
      <c r="N23" s="34">
        <f t="shared" si="5"/>
        <v>0.39819601358332513</v>
      </c>
      <c r="O23" s="32">
        <f t="shared" si="6"/>
        <v>594640429000</v>
      </c>
      <c r="P23" s="12">
        <v>133686289000</v>
      </c>
      <c r="Q23" s="34">
        <f t="shared" si="7"/>
        <v>4.4480285409074378</v>
      </c>
      <c r="R23" s="32">
        <f t="shared" si="8"/>
        <v>594640429000</v>
      </c>
      <c r="S23" s="32">
        <f t="shared" si="9"/>
        <v>133686289000</v>
      </c>
      <c r="T23" s="35">
        <f t="shared" si="10"/>
        <v>460954140000</v>
      </c>
      <c r="U23" s="34">
        <f t="shared" si="11"/>
        <v>0.77518129868024832</v>
      </c>
      <c r="V23" s="3">
        <f t="shared" si="12"/>
        <v>0.39819601358332513</v>
      </c>
      <c r="W23" s="3">
        <f t="shared" si="13"/>
        <v>4.4480285409074378</v>
      </c>
      <c r="X23" s="3">
        <f t="shared" si="14"/>
        <v>0.77518129868024832</v>
      </c>
      <c r="Y23" s="36">
        <f t="shared" si="15"/>
        <v>5.6214058531710087</v>
      </c>
    </row>
    <row r="24" spans="1:26">
      <c r="A24" s="65"/>
      <c r="B24" s="3">
        <v>2020</v>
      </c>
      <c r="C24" s="12">
        <v>546336411000</v>
      </c>
      <c r="D24" s="4">
        <v>3077163000</v>
      </c>
      <c r="E24" s="30">
        <f t="shared" si="0"/>
        <v>549413574000</v>
      </c>
      <c r="F24" s="4">
        <v>101529989000</v>
      </c>
      <c r="G24" s="4">
        <v>78513510000</v>
      </c>
      <c r="H24" s="30">
        <f t="shared" si="1"/>
        <v>180043499000</v>
      </c>
      <c r="I24" s="31">
        <f t="shared" si="2"/>
        <v>369370075000</v>
      </c>
      <c r="J24" s="32">
        <f t="shared" si="3"/>
        <v>369370075000</v>
      </c>
      <c r="K24" s="4">
        <v>1019898963000</v>
      </c>
      <c r="L24" s="12">
        <v>123465762000</v>
      </c>
      <c r="M24" s="33">
        <f t="shared" si="4"/>
        <v>1143364725000</v>
      </c>
      <c r="N24" s="34">
        <f t="shared" si="5"/>
        <v>0.32305533564541272</v>
      </c>
      <c r="O24" s="32">
        <f t="shared" si="6"/>
        <v>369370075000</v>
      </c>
      <c r="P24" s="12">
        <v>131529989000</v>
      </c>
      <c r="Q24" s="34">
        <f t="shared" si="7"/>
        <v>2.8082574765516024</v>
      </c>
      <c r="R24" s="32">
        <f t="shared" si="8"/>
        <v>369370075000</v>
      </c>
      <c r="S24" s="32">
        <f t="shared" si="9"/>
        <v>131529989000</v>
      </c>
      <c r="T24" s="35">
        <f t="shared" si="10"/>
        <v>237840086000</v>
      </c>
      <c r="U24" s="34">
        <f t="shared" si="11"/>
        <v>0.64390729541368508</v>
      </c>
      <c r="V24" s="3">
        <f t="shared" si="12"/>
        <v>0.32305533564541272</v>
      </c>
      <c r="W24" s="3">
        <f t="shared" si="13"/>
        <v>2.8082574765516024</v>
      </c>
      <c r="X24" s="3">
        <f t="shared" si="14"/>
        <v>0.64390729541368508</v>
      </c>
      <c r="Y24" s="36">
        <f t="shared" si="15"/>
        <v>3.7752201076107053</v>
      </c>
    </row>
    <row r="25" spans="1:26">
      <c r="A25" s="65" t="s">
        <v>10</v>
      </c>
      <c r="B25" s="3">
        <v>2016</v>
      </c>
      <c r="C25" s="12">
        <v>66659484000</v>
      </c>
      <c r="D25" s="4">
        <v>642368000</v>
      </c>
      <c r="E25" s="30">
        <f t="shared" si="0"/>
        <v>67301852000</v>
      </c>
      <c r="F25" s="4">
        <v>7077207000</v>
      </c>
      <c r="G25" s="12">
        <f>3988897000+628864000</f>
        <v>4617761000</v>
      </c>
      <c r="H25" s="30">
        <f t="shared" si="1"/>
        <v>11694968000</v>
      </c>
      <c r="I25" s="31">
        <f t="shared" si="2"/>
        <v>55606884000</v>
      </c>
      <c r="J25" s="32">
        <f t="shared" si="3"/>
        <v>55606884000</v>
      </c>
      <c r="K25" s="4">
        <v>43941423000</v>
      </c>
      <c r="L25" s="12">
        <v>5266906000</v>
      </c>
      <c r="M25" s="33">
        <f t="shared" si="4"/>
        <v>49208329000</v>
      </c>
      <c r="N25" s="34">
        <f t="shared" si="5"/>
        <v>1.1300299183091544</v>
      </c>
      <c r="O25" s="32">
        <f t="shared" si="6"/>
        <v>55606884000</v>
      </c>
      <c r="P25" s="12">
        <v>40286442000</v>
      </c>
      <c r="Q25" s="34">
        <f t="shared" si="7"/>
        <v>1.3802877901205572</v>
      </c>
      <c r="R25" s="32">
        <f t="shared" si="8"/>
        <v>55606884000</v>
      </c>
      <c r="S25" s="32">
        <f t="shared" si="9"/>
        <v>40286442000</v>
      </c>
      <c r="T25" s="35">
        <f t="shared" si="10"/>
        <v>15320442000</v>
      </c>
      <c r="U25" s="34">
        <f t="shared" si="11"/>
        <v>0.27551340585816675</v>
      </c>
      <c r="V25" s="3">
        <f t="shared" si="12"/>
        <v>1.1300299183091544</v>
      </c>
      <c r="W25" s="3">
        <f t="shared" si="13"/>
        <v>1.3802877901205572</v>
      </c>
      <c r="X25" s="3">
        <f t="shared" si="14"/>
        <v>0.27551340585816675</v>
      </c>
      <c r="Y25" s="36">
        <f t="shared" si="15"/>
        <v>2.7858311142878773</v>
      </c>
    </row>
    <row r="26" spans="1:26">
      <c r="A26" s="65"/>
      <c r="B26" s="3">
        <v>2017</v>
      </c>
      <c r="C26" s="12">
        <v>70186618000</v>
      </c>
      <c r="D26" s="4">
        <v>888863000</v>
      </c>
      <c r="E26" s="30">
        <f t="shared" si="0"/>
        <v>71075481000</v>
      </c>
      <c r="F26" s="4">
        <v>7237120000</v>
      </c>
      <c r="G26" s="12">
        <f>4070151000+702612000</f>
        <v>4772763000</v>
      </c>
      <c r="H26" s="30">
        <f t="shared" si="1"/>
        <v>12009883000</v>
      </c>
      <c r="I26" s="31">
        <f t="shared" si="2"/>
        <v>59065598000</v>
      </c>
      <c r="J26" s="32">
        <f t="shared" si="3"/>
        <v>59065598000</v>
      </c>
      <c r="K26" s="4">
        <v>46756724000</v>
      </c>
      <c r="L26" s="12">
        <v>5145063000</v>
      </c>
      <c r="M26" s="33">
        <f t="shared" si="4"/>
        <v>51901787000</v>
      </c>
      <c r="N26" s="34">
        <f t="shared" si="5"/>
        <v>1.1380262879965963</v>
      </c>
      <c r="O26" s="32">
        <f t="shared" si="6"/>
        <v>59065598000</v>
      </c>
      <c r="P26" s="12">
        <v>31802016000</v>
      </c>
      <c r="Q26" s="34">
        <f t="shared" si="7"/>
        <v>1.8572909968978066</v>
      </c>
      <c r="R26" s="32">
        <f t="shared" si="8"/>
        <v>59065598000</v>
      </c>
      <c r="S26" s="32">
        <f t="shared" si="9"/>
        <v>31802016000</v>
      </c>
      <c r="T26" s="35">
        <f t="shared" si="10"/>
        <v>27263582000</v>
      </c>
      <c r="U26" s="34">
        <f t="shared" si="11"/>
        <v>0.46158140987584684</v>
      </c>
      <c r="V26" s="3">
        <f t="shared" si="12"/>
        <v>1.1380262879965963</v>
      </c>
      <c r="W26" s="3">
        <f t="shared" si="13"/>
        <v>1.8572909968978066</v>
      </c>
      <c r="X26" s="3">
        <f t="shared" si="14"/>
        <v>0.46158140987584684</v>
      </c>
      <c r="Y26" s="36">
        <f t="shared" si="15"/>
        <v>3.4568986947702469</v>
      </c>
      <c r="Z26" s="39"/>
    </row>
    <row r="27" spans="1:26">
      <c r="A27" s="65"/>
      <c r="B27" s="3">
        <v>2018</v>
      </c>
      <c r="C27" s="12">
        <v>73394728000</v>
      </c>
      <c r="D27" s="4">
        <v>1524070000</v>
      </c>
      <c r="E27" s="30">
        <f t="shared" si="0"/>
        <v>74918798000</v>
      </c>
      <c r="F27" s="4">
        <v>7817444000</v>
      </c>
      <c r="G27" s="12">
        <f>4466279000+278450000</f>
        <v>4744729000</v>
      </c>
      <c r="H27" s="30">
        <f t="shared" si="1"/>
        <v>12562173000</v>
      </c>
      <c r="I27" s="31">
        <f t="shared" si="2"/>
        <v>62356625000</v>
      </c>
      <c r="J27" s="32">
        <f t="shared" si="3"/>
        <v>62356625000</v>
      </c>
      <c r="K27" s="4">
        <v>49916800000</v>
      </c>
      <c r="L27" s="12">
        <v>4961851000</v>
      </c>
      <c r="M27" s="33">
        <f t="shared" si="4"/>
        <v>54878651000</v>
      </c>
      <c r="N27" s="34">
        <f t="shared" si="5"/>
        <v>1.1362638086712444</v>
      </c>
      <c r="O27" s="32">
        <f t="shared" si="6"/>
        <v>62356625000</v>
      </c>
      <c r="P27" s="12">
        <v>32352150000</v>
      </c>
      <c r="Q27" s="34">
        <f t="shared" si="7"/>
        <v>1.92743372542474</v>
      </c>
      <c r="R27" s="32">
        <f t="shared" si="8"/>
        <v>62356625000</v>
      </c>
      <c r="S27" s="32">
        <f t="shared" si="9"/>
        <v>32352150000</v>
      </c>
      <c r="T27" s="35">
        <f t="shared" si="10"/>
        <v>30004475000</v>
      </c>
      <c r="U27" s="34">
        <f t="shared" si="11"/>
        <v>0.48117541640523359</v>
      </c>
      <c r="V27" s="3">
        <f t="shared" si="12"/>
        <v>1.1362638086712444</v>
      </c>
      <c r="W27" s="3">
        <f t="shared" si="13"/>
        <v>1.92743372542474</v>
      </c>
      <c r="X27" s="3">
        <f t="shared" si="14"/>
        <v>0.48117541640523359</v>
      </c>
      <c r="Y27" s="36">
        <f t="shared" si="15"/>
        <v>3.5448729505012135</v>
      </c>
      <c r="Z27" s="39"/>
    </row>
    <row r="28" spans="1:26">
      <c r="A28" s="65"/>
      <c r="B28" s="3">
        <v>2019</v>
      </c>
      <c r="C28" s="12">
        <v>76592955000</v>
      </c>
      <c r="D28" s="12">
        <v>869970000</v>
      </c>
      <c r="E28" s="30">
        <f t="shared" si="0"/>
        <v>77462925000</v>
      </c>
      <c r="F28" s="12">
        <v>8489356000</v>
      </c>
      <c r="G28" s="12">
        <f>4697173000+759131000</f>
        <v>5456304000</v>
      </c>
      <c r="H28" s="30">
        <f t="shared" si="1"/>
        <v>13945660000</v>
      </c>
      <c r="I28" s="31">
        <f t="shared" si="2"/>
        <v>63517265000</v>
      </c>
      <c r="J28" s="32">
        <f t="shared" si="3"/>
        <v>63517265000</v>
      </c>
      <c r="K28" s="12">
        <v>96198559000</v>
      </c>
      <c r="L28" s="12">
        <v>5902729000</v>
      </c>
      <c r="M28" s="33">
        <f t="shared" si="4"/>
        <v>102101288000</v>
      </c>
      <c r="N28" s="34">
        <f t="shared" si="5"/>
        <v>0.62210052629306689</v>
      </c>
      <c r="O28" s="32">
        <f t="shared" si="6"/>
        <v>63517265000</v>
      </c>
      <c r="P28" s="12">
        <v>33043510000</v>
      </c>
      <c r="Q28" s="34">
        <f t="shared" si="7"/>
        <v>1.9222311733832151</v>
      </c>
      <c r="R28" s="32">
        <f t="shared" si="8"/>
        <v>63517265000</v>
      </c>
      <c r="S28" s="32">
        <f t="shared" si="9"/>
        <v>33043510000</v>
      </c>
      <c r="T28" s="35">
        <f t="shared" si="10"/>
        <v>30473755000</v>
      </c>
      <c r="U28" s="34">
        <f t="shared" si="11"/>
        <v>0.47977120866271555</v>
      </c>
      <c r="V28" s="3">
        <f t="shared" si="12"/>
        <v>0.62210052629306689</v>
      </c>
      <c r="W28" s="3">
        <f t="shared" si="13"/>
        <v>1.9222311733832151</v>
      </c>
      <c r="X28" s="3">
        <f t="shared" si="14"/>
        <v>0.47977120866271555</v>
      </c>
      <c r="Y28" s="36">
        <f t="shared" si="15"/>
        <v>3.0241029083389961</v>
      </c>
      <c r="Z28" s="39"/>
    </row>
    <row r="29" spans="1:26">
      <c r="A29" s="65"/>
      <c r="B29" s="3">
        <v>2020</v>
      </c>
      <c r="C29" s="12">
        <v>81731469000</v>
      </c>
      <c r="D29" s="12">
        <v>792250000</v>
      </c>
      <c r="E29" s="30">
        <f t="shared" si="0"/>
        <v>82523719000</v>
      </c>
      <c r="F29" s="12">
        <v>9007860000</v>
      </c>
      <c r="G29" s="12">
        <f>5087140000+563315000</f>
        <v>5650455000</v>
      </c>
      <c r="H29" s="30">
        <f t="shared" si="1"/>
        <v>14658315000</v>
      </c>
      <c r="I29" s="31">
        <f t="shared" si="2"/>
        <v>67865404000</v>
      </c>
      <c r="J29" s="32">
        <f t="shared" si="3"/>
        <v>67865404000</v>
      </c>
      <c r="K29" s="12">
        <v>79138044000</v>
      </c>
      <c r="L29" s="12">
        <v>8752066000</v>
      </c>
      <c r="M29" s="33">
        <f t="shared" si="4"/>
        <v>87890110000</v>
      </c>
      <c r="N29" s="34">
        <f t="shared" si="5"/>
        <v>0.77216201003730678</v>
      </c>
      <c r="O29" s="32">
        <f t="shared" si="6"/>
        <v>67865404000</v>
      </c>
      <c r="P29" s="12">
        <v>31851131000</v>
      </c>
      <c r="Q29" s="34">
        <f t="shared" si="7"/>
        <v>2.1307062534137327</v>
      </c>
      <c r="R29" s="32">
        <f t="shared" si="8"/>
        <v>67865404000</v>
      </c>
      <c r="S29" s="32">
        <f t="shared" si="9"/>
        <v>31851131000</v>
      </c>
      <c r="T29" s="35">
        <f t="shared" si="10"/>
        <v>36014273000</v>
      </c>
      <c r="U29" s="34">
        <f t="shared" si="11"/>
        <v>0.5306720490457848</v>
      </c>
      <c r="V29" s="3">
        <f t="shared" si="12"/>
        <v>0.77216201003730678</v>
      </c>
      <c r="W29" s="3">
        <f t="shared" si="13"/>
        <v>2.1307062534137327</v>
      </c>
      <c r="X29" s="3">
        <f t="shared" si="14"/>
        <v>0.5306720490457848</v>
      </c>
      <c r="Y29" s="36">
        <f t="shared" si="15"/>
        <v>3.4335403124968247</v>
      </c>
    </row>
    <row r="30" spans="1:26">
      <c r="A30" s="65" t="s">
        <v>11</v>
      </c>
      <c r="B30" s="3">
        <v>2016</v>
      </c>
      <c r="C30" s="12">
        <v>18349959698358</v>
      </c>
      <c r="D30" s="12">
        <f>14887762248+2401999998+15007233711</f>
        <v>32296995957</v>
      </c>
      <c r="E30" s="30">
        <f t="shared" si="0"/>
        <v>18382256694315</v>
      </c>
      <c r="F30" s="12">
        <v>2315242242867</v>
      </c>
      <c r="G30" s="12">
        <f>356714077463+20805610860+124336281261</f>
        <v>501855969584</v>
      </c>
      <c r="H30" s="30">
        <f t="shared" si="1"/>
        <v>2817098212451</v>
      </c>
      <c r="I30" s="31">
        <f t="shared" si="2"/>
        <v>15565158481864</v>
      </c>
      <c r="J30" s="32">
        <f t="shared" si="3"/>
        <v>15565158481864</v>
      </c>
      <c r="K30" s="12">
        <v>6285255987065</v>
      </c>
      <c r="L30" s="12">
        <v>1388676127665</v>
      </c>
      <c r="M30" s="33">
        <f t="shared" si="4"/>
        <v>7673932114730</v>
      </c>
      <c r="N30" s="34">
        <f t="shared" si="5"/>
        <v>2.0283158945316844</v>
      </c>
      <c r="O30" s="32">
        <f t="shared" si="6"/>
        <v>15565158481864</v>
      </c>
      <c r="P30" s="12">
        <f>5521899415+34915877801013</f>
        <v>34921399700428</v>
      </c>
      <c r="Q30" s="34">
        <f>O30/P30</f>
        <v>0.44571977685285141</v>
      </c>
      <c r="R30" s="32">
        <f t="shared" si="8"/>
        <v>15565158481864</v>
      </c>
      <c r="S30" s="32">
        <f t="shared" si="9"/>
        <v>34921399700428</v>
      </c>
      <c r="T30" s="35">
        <f t="shared" si="10"/>
        <v>-19356241218564</v>
      </c>
      <c r="U30" s="34">
        <f t="shared" si="11"/>
        <v>-1.2435621032138697</v>
      </c>
      <c r="V30" s="3">
        <f t="shared" si="12"/>
        <v>2.0283158945316844</v>
      </c>
      <c r="W30" s="3">
        <f t="shared" si="13"/>
        <v>0.44571977685285141</v>
      </c>
      <c r="X30" s="3">
        <f t="shared" si="14"/>
        <v>-1.2435621032138697</v>
      </c>
      <c r="Y30" s="36">
        <f t="shared" si="15"/>
        <v>1.2304735681706702</v>
      </c>
    </row>
    <row r="31" spans="1:26">
      <c r="A31" s="65"/>
      <c r="B31" s="3">
        <v>2017</v>
      </c>
      <c r="C31" s="12">
        <v>20616673946473</v>
      </c>
      <c r="D31" s="12">
        <f>913636499350+36492708776+3064131489</f>
        <v>953193339615</v>
      </c>
      <c r="E31" s="30">
        <f t="shared" si="0"/>
        <v>21569867286088</v>
      </c>
      <c r="F31" s="12">
        <v>2460559388050</v>
      </c>
      <c r="G31" s="12">
        <f>366922167017+7393536955+10297420219</f>
        <v>384613124191</v>
      </c>
      <c r="H31" s="30">
        <f t="shared" si="1"/>
        <v>2845172512241</v>
      </c>
      <c r="I31" s="31">
        <f t="shared" si="2"/>
        <v>18724694773847</v>
      </c>
      <c r="J31" s="32">
        <f t="shared" si="3"/>
        <v>18724694773847</v>
      </c>
      <c r="K31" s="12">
        <v>7354346366072</v>
      </c>
      <c r="L31" s="12">
        <v>1630953830893</v>
      </c>
      <c r="M31" s="33">
        <f t="shared" si="4"/>
        <v>8985300196965</v>
      </c>
      <c r="N31" s="34">
        <f t="shared" si="5"/>
        <v>2.0839253406549192</v>
      </c>
      <c r="O31" s="32">
        <f t="shared" si="6"/>
        <v>18724694773847</v>
      </c>
      <c r="P31" s="12">
        <f>4881499997+37021009320999</f>
        <v>37025890820996</v>
      </c>
      <c r="Q31" s="34">
        <f t="shared" si="7"/>
        <v>0.505718953917212</v>
      </c>
      <c r="R31" s="32">
        <f t="shared" si="8"/>
        <v>18724694773847</v>
      </c>
      <c r="S31" s="32">
        <f t="shared" si="9"/>
        <v>37025890820996</v>
      </c>
      <c r="T31" s="35">
        <f t="shared" si="10"/>
        <v>-18301196047149</v>
      </c>
      <c r="U31" s="34">
        <f t="shared" si="11"/>
        <v>-0.97738287690064218</v>
      </c>
      <c r="V31" s="3">
        <f t="shared" si="12"/>
        <v>2.0839253406549192</v>
      </c>
      <c r="W31" s="3">
        <f t="shared" si="13"/>
        <v>0.505718953917212</v>
      </c>
      <c r="X31" s="3">
        <f t="shared" si="14"/>
        <v>-0.97738287690064218</v>
      </c>
      <c r="Y31" s="36">
        <f t="shared" si="15"/>
        <v>1.6122614176714882</v>
      </c>
    </row>
    <row r="32" spans="1:26">
      <c r="A32" s="65"/>
      <c r="B32" s="3">
        <v>2018</v>
      </c>
      <c r="C32" s="12">
        <v>24060802395725</v>
      </c>
      <c r="D32" s="12">
        <f>163690127162+46799131766+1709061216+34490627444</f>
        <v>246688947588</v>
      </c>
      <c r="E32" s="30">
        <f t="shared" si="0"/>
        <v>24307491343313</v>
      </c>
      <c r="F32" s="4">
        <v>2627892008006</v>
      </c>
      <c r="G32" s="4">
        <v>492638756739</v>
      </c>
      <c r="H32" s="30">
        <f t="shared" si="1"/>
        <v>3120530764745</v>
      </c>
      <c r="I32" s="31">
        <f t="shared" si="2"/>
        <v>21186960578568</v>
      </c>
      <c r="J32" s="32">
        <f t="shared" si="3"/>
        <v>21186960578568</v>
      </c>
      <c r="K32" s="4">
        <v>8542544481694</v>
      </c>
      <c r="L32" s="12">
        <v>1760434280304</v>
      </c>
      <c r="M32" s="33">
        <f t="shared" si="4"/>
        <v>10302978761998</v>
      </c>
      <c r="N32" s="34">
        <f t="shared" si="5"/>
        <v>2.0563917550441819</v>
      </c>
      <c r="O32" s="32">
        <f t="shared" si="6"/>
        <v>21186960578568</v>
      </c>
      <c r="P32" s="12">
        <f>20489627058+33099880533599</f>
        <v>33120370160657</v>
      </c>
      <c r="Q32" s="34">
        <f t="shared" si="7"/>
        <v>0.63969576655684701</v>
      </c>
      <c r="R32" s="32">
        <f t="shared" si="8"/>
        <v>21186960578568</v>
      </c>
      <c r="S32" s="32">
        <f t="shared" si="9"/>
        <v>33120370160657</v>
      </c>
      <c r="T32" s="35">
        <f t="shared" si="10"/>
        <v>-11933409582089</v>
      </c>
      <c r="U32" s="34">
        <f t="shared" si="11"/>
        <v>-0.56324311067819832</v>
      </c>
      <c r="V32" s="3">
        <f t="shared" si="12"/>
        <v>2.0563917550441819</v>
      </c>
      <c r="W32" s="3">
        <f t="shared" si="13"/>
        <v>0.63969576655684701</v>
      </c>
      <c r="X32" s="3">
        <f t="shared" si="14"/>
        <v>-0.56324311067819832</v>
      </c>
      <c r="Y32" s="36">
        <f t="shared" si="15"/>
        <v>2.1328444109228317</v>
      </c>
    </row>
    <row r="33" spans="1:25">
      <c r="A33" s="65"/>
      <c r="B33" s="3">
        <v>2019</v>
      </c>
      <c r="C33" s="12">
        <v>25026739472547</v>
      </c>
      <c r="D33" s="12">
        <f>52352843077+2387589067+38898423523</f>
        <v>93638855667</v>
      </c>
      <c r="E33" s="30">
        <f t="shared" si="0"/>
        <v>25120378328214</v>
      </c>
      <c r="F33" s="12">
        <f>4744976395481</f>
        <v>4744976395481</v>
      </c>
      <c r="G33" s="4">
        <v>353822336007</v>
      </c>
      <c r="H33" s="30">
        <f t="shared" si="1"/>
        <v>5098798731488</v>
      </c>
      <c r="I33" s="31">
        <f t="shared" si="2"/>
        <v>20021579596726</v>
      </c>
      <c r="J33" s="32">
        <f t="shared" si="3"/>
        <v>20021579596726</v>
      </c>
      <c r="K33" s="4">
        <v>9911940195318</v>
      </c>
      <c r="L33" s="12">
        <v>2051404206764</v>
      </c>
      <c r="M33" s="33">
        <f t="shared" si="4"/>
        <v>11963344402082</v>
      </c>
      <c r="N33" s="34">
        <f t="shared" si="5"/>
        <v>1.6735771305924798</v>
      </c>
      <c r="O33" s="32">
        <f t="shared" si="6"/>
        <v>20021579596726</v>
      </c>
      <c r="P33" s="12">
        <f>5528655782+27992784877383</f>
        <v>27998313533165</v>
      </c>
      <c r="Q33" s="34">
        <f t="shared" si="7"/>
        <v>0.71509948529613132</v>
      </c>
      <c r="R33" s="32">
        <f t="shared" si="8"/>
        <v>20021579596726</v>
      </c>
      <c r="S33" s="32">
        <f t="shared" si="9"/>
        <v>27998313533165</v>
      </c>
      <c r="T33" s="35">
        <f t="shared" si="10"/>
        <v>-7976733936439</v>
      </c>
      <c r="U33" s="34">
        <f t="shared" si="11"/>
        <v>-0.39840682389232585</v>
      </c>
      <c r="V33" s="3">
        <f t="shared" si="12"/>
        <v>1.6735771305924798</v>
      </c>
      <c r="W33" s="3">
        <f t="shared" si="13"/>
        <v>0.71509948529613132</v>
      </c>
      <c r="X33" s="3">
        <f t="shared" si="14"/>
        <v>-0.39840682389232585</v>
      </c>
      <c r="Y33" s="36">
        <f t="shared" si="15"/>
        <v>1.9902697919962842</v>
      </c>
    </row>
    <row r="34" spans="1:25">
      <c r="A34" s="65"/>
      <c r="B34" s="3">
        <v>2020</v>
      </c>
      <c r="C34" s="12">
        <v>24476953742651</v>
      </c>
      <c r="D34" s="4">
        <f>116986949959+51405459416+1965163012+36426849401</f>
        <v>206784421788</v>
      </c>
      <c r="E34" s="30">
        <f t="shared" si="0"/>
        <v>24683738164439</v>
      </c>
      <c r="F34" s="4">
        <v>4468194765530</v>
      </c>
      <c r="G34" s="12">
        <f>355074879758+206361945932</f>
        <v>561436825690</v>
      </c>
      <c r="H34" s="30">
        <f t="shared" si="1"/>
        <v>5029631591220</v>
      </c>
      <c r="I34" s="31">
        <f t="shared" si="2"/>
        <v>19654106573219</v>
      </c>
      <c r="J34" s="32">
        <f t="shared" si="3"/>
        <v>19654106573219</v>
      </c>
      <c r="K34" s="4">
        <v>11271468049958</v>
      </c>
      <c r="L34" s="12">
        <v>2098168514645</v>
      </c>
      <c r="M34" s="33">
        <f t="shared" si="4"/>
        <v>13369636564603</v>
      </c>
      <c r="N34" s="34">
        <f t="shared" si="5"/>
        <v>1.4700554108744102</v>
      </c>
      <c r="O34" s="32">
        <f t="shared" si="6"/>
        <v>19654106573219</v>
      </c>
      <c r="P34" s="12">
        <f>22073086285+19475882317664</f>
        <v>19497955403949</v>
      </c>
      <c r="Q34" s="34">
        <f>O34/P34</f>
        <v>1.008008591979771</v>
      </c>
      <c r="R34" s="32">
        <f t="shared" si="8"/>
        <v>19654106573219</v>
      </c>
      <c r="S34" s="32">
        <f t="shared" si="9"/>
        <v>19497955403949</v>
      </c>
      <c r="T34" s="35">
        <f t="shared" si="10"/>
        <v>156151169270</v>
      </c>
      <c r="U34" s="34">
        <f t="shared" si="11"/>
        <v>7.9449640047629579E-3</v>
      </c>
      <c r="V34" s="3">
        <f t="shared" si="12"/>
        <v>1.4700554108744102</v>
      </c>
      <c r="W34" s="3">
        <f t="shared" si="13"/>
        <v>1.008008591979771</v>
      </c>
      <c r="X34" s="3">
        <f t="shared" si="14"/>
        <v>7.9449640047629579E-3</v>
      </c>
      <c r="Y34" s="36">
        <f t="shared" si="15"/>
        <v>2.4860089668589427</v>
      </c>
    </row>
    <row r="35" spans="1:25">
      <c r="A35" s="65" t="s">
        <v>13</v>
      </c>
      <c r="B35" s="3">
        <v>2016</v>
      </c>
      <c r="C35" s="12">
        <v>932905806441</v>
      </c>
      <c r="D35" s="4">
        <v>8831306887</v>
      </c>
      <c r="E35" s="30">
        <f t="shared" si="0"/>
        <v>941737113328</v>
      </c>
      <c r="F35" s="4">
        <v>814620861786</v>
      </c>
      <c r="G35" s="12">
        <f>17434620438+105630877342+44803838</f>
        <v>123110301618</v>
      </c>
      <c r="H35" s="30">
        <f t="shared" si="1"/>
        <v>937731163404</v>
      </c>
      <c r="I35" s="31">
        <f t="shared" si="2"/>
        <v>4005949924</v>
      </c>
      <c r="J35" s="32">
        <f t="shared" si="3"/>
        <v>4005949924</v>
      </c>
      <c r="K35" s="4">
        <v>280298186058</v>
      </c>
      <c r="L35" s="12">
        <v>-36662178272</v>
      </c>
      <c r="M35" s="33">
        <f t="shared" si="4"/>
        <v>243636007786</v>
      </c>
      <c r="N35" s="34">
        <f t="shared" si="5"/>
        <v>1.6442355792985509E-2</v>
      </c>
      <c r="O35" s="32">
        <f t="shared" si="6"/>
        <v>4005949924</v>
      </c>
      <c r="P35" s="12">
        <v>10065235056</v>
      </c>
      <c r="Q35" s="34">
        <f t="shared" si="7"/>
        <v>0.39799864600400048</v>
      </c>
      <c r="R35" s="32">
        <f t="shared" si="8"/>
        <v>4005949924</v>
      </c>
      <c r="S35" s="32">
        <f t="shared" si="9"/>
        <v>10065235056</v>
      </c>
      <c r="T35" s="35">
        <f t="shared" si="10"/>
        <v>-6059285132</v>
      </c>
      <c r="U35" s="34">
        <f>T35/R35</f>
        <v>-1.5125713618381216</v>
      </c>
      <c r="V35" s="3">
        <f t="shared" si="12"/>
        <v>1.6442355792985509E-2</v>
      </c>
      <c r="W35" s="3">
        <f t="shared" si="13"/>
        <v>0.39799864600400048</v>
      </c>
      <c r="X35" s="3">
        <f t="shared" si="14"/>
        <v>-1.5125713618381216</v>
      </c>
      <c r="Y35" s="36">
        <f t="shared" si="15"/>
        <v>-1.0981303600411341</v>
      </c>
    </row>
    <row r="36" spans="1:25">
      <c r="A36" s="65"/>
      <c r="B36" s="3">
        <v>2017</v>
      </c>
      <c r="C36" s="12">
        <v>1399580416996</v>
      </c>
      <c r="D36" s="4">
        <v>8606208093</v>
      </c>
      <c r="E36" s="30">
        <f t="shared" si="0"/>
        <v>1408186625089</v>
      </c>
      <c r="F36" s="4">
        <v>1204486947065</v>
      </c>
      <c r="G36" s="12">
        <f>17129269596+107503163905+9359980929</f>
        <v>133992414430</v>
      </c>
      <c r="H36" s="30">
        <f t="shared" si="1"/>
        <v>1338479361495</v>
      </c>
      <c r="I36" s="31">
        <f t="shared" si="2"/>
        <v>69707263594</v>
      </c>
      <c r="J36" s="32">
        <f t="shared" si="3"/>
        <v>69707263594</v>
      </c>
      <c r="K36" s="4">
        <v>299519909843</v>
      </c>
      <c r="L36" s="12">
        <v>32172307135</v>
      </c>
      <c r="M36" s="33">
        <f t="shared" si="4"/>
        <v>331692216978</v>
      </c>
      <c r="N36" s="34">
        <f t="shared" si="5"/>
        <v>0.21015646441479041</v>
      </c>
      <c r="O36" s="32">
        <f t="shared" si="6"/>
        <v>69707263594</v>
      </c>
      <c r="P36" s="12">
        <v>28612033474</v>
      </c>
      <c r="Q36" s="34">
        <f t="shared" si="7"/>
        <v>2.436291837046241</v>
      </c>
      <c r="R36" s="32">
        <f t="shared" si="8"/>
        <v>69707263594</v>
      </c>
      <c r="S36" s="32">
        <f t="shared" si="9"/>
        <v>28612033474</v>
      </c>
      <c r="T36" s="35">
        <f t="shared" si="10"/>
        <v>41095230120</v>
      </c>
      <c r="U36" s="34">
        <f t="shared" si="11"/>
        <v>0.58954014260771015</v>
      </c>
      <c r="V36" s="3">
        <f t="shared" si="12"/>
        <v>0.21015646441479041</v>
      </c>
      <c r="W36" s="3">
        <f t="shared" si="13"/>
        <v>2.436291837046241</v>
      </c>
      <c r="X36" s="3">
        <f t="shared" si="14"/>
        <v>0.58954014260771015</v>
      </c>
      <c r="Y36" s="36">
        <f t="shared" si="15"/>
        <v>3.2359884440687399</v>
      </c>
    </row>
    <row r="37" spans="1:25">
      <c r="A37" s="65"/>
      <c r="B37" s="3">
        <v>2018</v>
      </c>
      <c r="C37" s="12">
        <v>1334070483011</v>
      </c>
      <c r="D37" s="4">
        <v>527185907</v>
      </c>
      <c r="E37" s="30">
        <f t="shared" si="0"/>
        <v>1334597668918</v>
      </c>
      <c r="F37" s="12">
        <f>1187091634641</f>
        <v>1187091634641</v>
      </c>
      <c r="G37" s="12">
        <f>17654476268+116968185254+15491400354</f>
        <v>150114061876</v>
      </c>
      <c r="H37" s="30">
        <f t="shared" si="1"/>
        <v>1337205696517</v>
      </c>
      <c r="I37" s="31">
        <f t="shared" si="2"/>
        <v>-2608027599</v>
      </c>
      <c r="J37" s="32">
        <f t="shared" si="3"/>
        <v>-2608027599</v>
      </c>
      <c r="K37" s="4">
        <v>242897129653</v>
      </c>
      <c r="L37" s="12">
        <v>-41264215665</v>
      </c>
      <c r="M37" s="33">
        <f t="shared" si="4"/>
        <v>201632913988</v>
      </c>
      <c r="N37" s="34">
        <f t="shared" si="5"/>
        <v>-1.2934533094905401E-2</v>
      </c>
      <c r="O37" s="32">
        <f t="shared" si="6"/>
        <v>-2608027599</v>
      </c>
      <c r="P37" s="12">
        <v>2537767043</v>
      </c>
      <c r="Q37" s="34">
        <f t="shared" si="7"/>
        <v>-1.0276859754301726</v>
      </c>
      <c r="R37" s="32">
        <f t="shared" si="8"/>
        <v>-2608027599</v>
      </c>
      <c r="S37" s="32">
        <f>P37</f>
        <v>2537767043</v>
      </c>
      <c r="T37" s="35">
        <f>R37-S37</f>
        <v>-5145794642</v>
      </c>
      <c r="U37" s="34">
        <f>T37/R37</f>
        <v>1.9730598878528203</v>
      </c>
      <c r="V37" s="3">
        <f t="shared" si="12"/>
        <v>-1.2934533094905401E-2</v>
      </c>
      <c r="W37" s="3">
        <f t="shared" si="13"/>
        <v>-1.0276859754301726</v>
      </c>
      <c r="X37" s="3">
        <f>U37</f>
        <v>1.9730598878528203</v>
      </c>
      <c r="Y37" s="36">
        <f t="shared" si="15"/>
        <v>0.93243937932774013</v>
      </c>
    </row>
    <row r="38" spans="1:25">
      <c r="A38" s="65"/>
      <c r="B38" s="3">
        <v>2019</v>
      </c>
      <c r="C38" s="12">
        <v>1224283552949</v>
      </c>
      <c r="D38" s="4">
        <v>14950007568</v>
      </c>
      <c r="E38" s="30">
        <f t="shared" si="0"/>
        <v>1239233560517</v>
      </c>
      <c r="F38" s="4">
        <v>1061531948922</v>
      </c>
      <c r="G38" s="12">
        <f>69128070+19516036975+121677892042+632712916</f>
        <v>141895770003</v>
      </c>
      <c r="H38" s="30">
        <f t="shared" si="1"/>
        <v>1203427718925</v>
      </c>
      <c r="I38" s="31">
        <f t="shared" si="2"/>
        <v>35805841592</v>
      </c>
      <c r="J38" s="32">
        <f t="shared" si="3"/>
        <v>35805841592</v>
      </c>
      <c r="K38" s="4">
        <v>175963488806</v>
      </c>
      <c r="L38" s="12">
        <v>-28372081772</v>
      </c>
      <c r="M38" s="33">
        <f t="shared" si="4"/>
        <v>147591407034</v>
      </c>
      <c r="N38" s="34">
        <f t="shared" si="5"/>
        <v>0.24260112639045145</v>
      </c>
      <c r="O38" s="32">
        <f t="shared" si="6"/>
        <v>35805841592</v>
      </c>
      <c r="P38" s="12">
        <v>25464863299</v>
      </c>
      <c r="Q38" s="34">
        <f t="shared" si="7"/>
        <v>1.4060881133183263</v>
      </c>
      <c r="R38" s="32">
        <f t="shared" si="8"/>
        <v>35805841592</v>
      </c>
      <c r="S38" s="32">
        <f t="shared" si="9"/>
        <v>25464863299</v>
      </c>
      <c r="T38" s="35">
        <f t="shared" si="10"/>
        <v>10340978293</v>
      </c>
      <c r="U38" s="34">
        <f t="shared" si="11"/>
        <v>0.2888070167665171</v>
      </c>
      <c r="V38" s="3">
        <f t="shared" si="12"/>
        <v>0.24260112639045145</v>
      </c>
      <c r="W38" s="3">
        <f t="shared" si="13"/>
        <v>1.4060881133183263</v>
      </c>
      <c r="X38" s="3">
        <f t="shared" si="14"/>
        <v>0.2888070167665171</v>
      </c>
      <c r="Y38" s="36">
        <f t="shared" si="15"/>
        <v>1.9374962564752969</v>
      </c>
    </row>
    <row r="39" spans="1:25">
      <c r="A39" s="65"/>
      <c r="B39" s="3">
        <v>2020</v>
      </c>
      <c r="C39" s="12">
        <v>895456045999</v>
      </c>
      <c r="D39" s="4">
        <v>122178482</v>
      </c>
      <c r="E39" s="30">
        <f t="shared" si="0"/>
        <v>895578224481</v>
      </c>
      <c r="F39" s="4">
        <v>768310868739</v>
      </c>
      <c r="G39" s="12">
        <f>55312522+16066756011+113932206334+4129518561</f>
        <v>134183793428</v>
      </c>
      <c r="H39" s="30">
        <f t="shared" si="1"/>
        <v>902494662167</v>
      </c>
      <c r="I39" s="31">
        <f t="shared" si="2"/>
        <v>-6916437686</v>
      </c>
      <c r="J39" s="32">
        <f t="shared" si="3"/>
        <v>-6916437686</v>
      </c>
      <c r="K39" s="4">
        <v>120151540897</v>
      </c>
      <c r="L39" s="12">
        <v>55312522</v>
      </c>
      <c r="M39" s="33">
        <f t="shared" si="4"/>
        <v>120206853419</v>
      </c>
      <c r="N39" s="34">
        <f t="shared" si="5"/>
        <v>-5.7537798297503578E-2</v>
      </c>
      <c r="O39" s="32">
        <f t="shared" si="6"/>
        <v>-6916437686</v>
      </c>
      <c r="P39" s="12">
        <v>4752756855</v>
      </c>
      <c r="Q39" s="34">
        <f t="shared" si="7"/>
        <v>-1.4552475325397221</v>
      </c>
      <c r="R39" s="32">
        <f t="shared" si="8"/>
        <v>-6916437686</v>
      </c>
      <c r="S39" s="32">
        <f t="shared" si="9"/>
        <v>4752756855</v>
      </c>
      <c r="T39" s="35">
        <f t="shared" si="10"/>
        <v>-11669194541</v>
      </c>
      <c r="U39" s="34">
        <f t="shared" si="11"/>
        <v>1.68716831854357</v>
      </c>
      <c r="V39" s="3">
        <f t="shared" si="12"/>
        <v>-5.7537798297503578E-2</v>
      </c>
      <c r="W39" s="3">
        <f t="shared" si="13"/>
        <v>-1.4552475325397221</v>
      </c>
      <c r="X39" s="3">
        <f t="shared" si="14"/>
        <v>1.68716831854357</v>
      </c>
      <c r="Y39" s="36">
        <f t="shared" si="15"/>
        <v>0.17438298770633986</v>
      </c>
    </row>
    <row r="40" spans="1:25">
      <c r="A40" s="65" t="s">
        <v>12</v>
      </c>
      <c r="B40" s="3">
        <v>2016</v>
      </c>
      <c r="C40" s="12">
        <v>4685988000000</v>
      </c>
      <c r="D40" s="4">
        <v>12214000000</v>
      </c>
      <c r="E40" s="30">
        <f t="shared" si="0"/>
        <v>4698202000000</v>
      </c>
      <c r="F40" s="4">
        <v>3052883000000</v>
      </c>
      <c r="G40" s="12">
        <f>634650000000+136487000000</f>
        <v>771137000000</v>
      </c>
      <c r="H40" s="30">
        <f t="shared" si="1"/>
        <v>3824020000000</v>
      </c>
      <c r="I40" s="31">
        <f t="shared" si="2"/>
        <v>874182000000</v>
      </c>
      <c r="J40" s="32">
        <f t="shared" si="3"/>
        <v>874182000000</v>
      </c>
      <c r="K40" s="12">
        <v>3489233000000</v>
      </c>
      <c r="L40" s="12">
        <v>709826000000</v>
      </c>
      <c r="M40" s="33">
        <f t="shared" si="4"/>
        <v>4199059000000</v>
      </c>
      <c r="N40" s="34">
        <f t="shared" si="5"/>
        <v>0.20818521483027508</v>
      </c>
      <c r="O40" s="32">
        <f t="shared" si="6"/>
        <v>874182000000</v>
      </c>
      <c r="P40" s="12">
        <v>313490000000</v>
      </c>
      <c r="Q40" s="34">
        <f t="shared" si="7"/>
        <v>2.7885482790519633</v>
      </c>
      <c r="R40" s="32">
        <f t="shared" si="8"/>
        <v>874182000000</v>
      </c>
      <c r="S40" s="32">
        <f t="shared" si="9"/>
        <v>313490000000</v>
      </c>
      <c r="T40" s="35">
        <f t="shared" si="10"/>
        <v>560692000000</v>
      </c>
      <c r="U40" s="34">
        <f t="shared" si="11"/>
        <v>0.64139046560098467</v>
      </c>
      <c r="V40" s="3">
        <f t="shared" si="12"/>
        <v>0.20818521483027508</v>
      </c>
      <c r="W40" s="3">
        <f t="shared" si="13"/>
        <v>2.7885482790519633</v>
      </c>
      <c r="X40" s="3">
        <f t="shared" si="14"/>
        <v>0.64139046560098467</v>
      </c>
      <c r="Y40" s="36">
        <f t="shared" si="15"/>
        <v>3.6381239594832246</v>
      </c>
    </row>
    <row r="41" spans="1:25">
      <c r="A41" s="65"/>
      <c r="B41" s="3">
        <v>2017</v>
      </c>
      <c r="C41" s="12">
        <v>4879559000000</v>
      </c>
      <c r="D41" s="4">
        <v>12214000000</v>
      </c>
      <c r="E41" s="30">
        <f t="shared" si="0"/>
        <v>4891773000000</v>
      </c>
      <c r="F41" s="4">
        <v>3056681000000</v>
      </c>
      <c r="G41" s="12">
        <f>689769000000+172082000000+13886000000+21000000</f>
        <v>875758000000</v>
      </c>
      <c r="H41" s="30">
        <f t="shared" si="1"/>
        <v>3932439000000</v>
      </c>
      <c r="I41" s="31">
        <f t="shared" si="2"/>
        <v>959334000000</v>
      </c>
      <c r="J41" s="32">
        <f t="shared" si="3"/>
        <v>959334000000</v>
      </c>
      <c r="K41" s="12">
        <v>4208755000000</v>
      </c>
      <c r="L41" s="12">
        <v>711681000000</v>
      </c>
      <c r="M41" s="33">
        <f t="shared" si="4"/>
        <v>4920436000000</v>
      </c>
      <c r="N41" s="34">
        <f t="shared" si="5"/>
        <v>0.19496930759794456</v>
      </c>
      <c r="O41" s="32">
        <f t="shared" si="6"/>
        <v>959334000000</v>
      </c>
      <c r="P41" s="12">
        <v>336093000000</v>
      </c>
      <c r="Q41" s="34">
        <f t="shared" si="7"/>
        <v>2.8543706652622935</v>
      </c>
      <c r="R41" s="32">
        <f t="shared" si="8"/>
        <v>959334000000</v>
      </c>
      <c r="S41" s="32">
        <f t="shared" si="9"/>
        <v>336093000000</v>
      </c>
      <c r="T41" s="35">
        <f t="shared" si="10"/>
        <v>623241000000</v>
      </c>
      <c r="U41" s="34">
        <f t="shared" si="11"/>
        <v>0.64966007667819547</v>
      </c>
      <c r="V41" s="3">
        <f t="shared" si="12"/>
        <v>0.19496930759794456</v>
      </c>
      <c r="W41" s="3">
        <f t="shared" si="13"/>
        <v>2.8543706652622935</v>
      </c>
      <c r="X41" s="3">
        <f t="shared" si="14"/>
        <v>0.64966007667819547</v>
      </c>
      <c r="Y41" s="36">
        <f t="shared" si="15"/>
        <v>3.6990000495384363</v>
      </c>
    </row>
    <row r="42" spans="1:25">
      <c r="A42" s="65"/>
      <c r="B42" s="3">
        <v>2018</v>
      </c>
      <c r="C42" s="12">
        <v>5472882000000</v>
      </c>
      <c r="D42" s="12">
        <f>4030000000+13268000000</f>
        <v>17298000000</v>
      </c>
      <c r="E42" s="30">
        <f t="shared" si="0"/>
        <v>5490180000000</v>
      </c>
      <c r="F42" s="12">
        <v>3516606000000</v>
      </c>
      <c r="G42" s="12">
        <f>855358000000+196900000000+25851000000+2900000000</f>
        <v>1081009000000</v>
      </c>
      <c r="H42" s="30">
        <f t="shared" si="1"/>
        <v>4597615000000</v>
      </c>
      <c r="I42" s="31">
        <f t="shared" si="2"/>
        <v>892565000000</v>
      </c>
      <c r="J42" s="32">
        <f t="shared" si="3"/>
        <v>892565000000</v>
      </c>
      <c r="K42" s="12">
        <v>4774956000000</v>
      </c>
      <c r="L42" s="12">
        <v>701607000000</v>
      </c>
      <c r="M42" s="33">
        <f t="shared" si="4"/>
        <v>5476563000000</v>
      </c>
      <c r="N42" s="34">
        <f t="shared" si="5"/>
        <v>0.16297904360819002</v>
      </c>
      <c r="O42" s="32">
        <f t="shared" si="6"/>
        <v>892565000000</v>
      </c>
      <c r="P42" s="12">
        <v>367142000000</v>
      </c>
      <c r="Q42" s="34">
        <f t="shared" si="7"/>
        <v>2.4311165707001652</v>
      </c>
      <c r="R42" s="32">
        <f t="shared" si="8"/>
        <v>892565000000</v>
      </c>
      <c r="S42" s="32">
        <f t="shared" si="9"/>
        <v>367142000000</v>
      </c>
      <c r="T42" s="35">
        <f t="shared" si="10"/>
        <v>525423000000</v>
      </c>
      <c r="U42" s="34">
        <f t="shared" si="11"/>
        <v>0.58866637163679958</v>
      </c>
      <c r="V42" s="3">
        <f t="shared" si="12"/>
        <v>0.16297904360819002</v>
      </c>
      <c r="W42" s="3">
        <f t="shared" si="13"/>
        <v>2.4311165707001652</v>
      </c>
      <c r="X42" s="3">
        <f t="shared" si="14"/>
        <v>0.58866637163679958</v>
      </c>
      <c r="Y42" s="36">
        <f t="shared" si="15"/>
        <v>3.1827619859451599</v>
      </c>
    </row>
    <row r="43" spans="1:25">
      <c r="A43" s="65"/>
      <c r="B43" s="3">
        <v>2019</v>
      </c>
      <c r="C43" s="12">
        <v>6223057000000</v>
      </c>
      <c r="D43" s="12">
        <v>74765000000</v>
      </c>
      <c r="E43" s="30">
        <f t="shared" si="0"/>
        <v>6297822000000</v>
      </c>
      <c r="F43" s="12">
        <v>3881051000000</v>
      </c>
      <c r="G43" s="12">
        <f>890515000000+202883000000+38358000000+1174000000+19447000000</f>
        <v>1152377000000</v>
      </c>
      <c r="H43" s="30">
        <f t="shared" si="1"/>
        <v>5033428000000</v>
      </c>
      <c r="I43" s="31">
        <f t="shared" si="2"/>
        <v>1264394000000</v>
      </c>
      <c r="J43" s="32">
        <f t="shared" si="3"/>
        <v>1264394000000</v>
      </c>
      <c r="K43" s="12">
        <v>5665139000000</v>
      </c>
      <c r="L43" s="12">
        <v>1035865000000</v>
      </c>
      <c r="M43" s="33">
        <f t="shared" si="4"/>
        <v>6701004000000</v>
      </c>
      <c r="N43" s="34">
        <f t="shared" si="5"/>
        <v>0.18868724746321597</v>
      </c>
      <c r="O43" s="32">
        <f t="shared" si="6"/>
        <v>1264394000000</v>
      </c>
      <c r="P43" s="12">
        <v>398363000000</v>
      </c>
      <c r="Q43" s="34">
        <f t="shared" si="7"/>
        <v>3.173974490602792</v>
      </c>
      <c r="R43" s="32">
        <f t="shared" si="8"/>
        <v>1264394000000</v>
      </c>
      <c r="S43" s="32">
        <f t="shared" si="9"/>
        <v>398363000000</v>
      </c>
      <c r="T43" s="35">
        <f t="shared" si="10"/>
        <v>866031000000</v>
      </c>
      <c r="U43" s="34">
        <f t="shared" si="11"/>
        <v>0.68493760647393143</v>
      </c>
      <c r="V43" s="3">
        <f t="shared" si="12"/>
        <v>0.18868724746321597</v>
      </c>
      <c r="W43" s="3">
        <f t="shared" si="13"/>
        <v>3.173974490602792</v>
      </c>
      <c r="X43" s="3">
        <f t="shared" si="14"/>
        <v>0.68493760647393143</v>
      </c>
      <c r="Y43" s="36">
        <f t="shared" si="15"/>
        <v>4.0475993445399414</v>
      </c>
    </row>
    <row r="44" spans="1:25">
      <c r="A44" s="65"/>
      <c r="B44" s="3">
        <v>2020</v>
      </c>
      <c r="C44" s="12">
        <v>5967362000000</v>
      </c>
      <c r="D44" s="12">
        <v>97446000000</v>
      </c>
      <c r="E44" s="30">
        <f t="shared" si="0"/>
        <v>6064808000000</v>
      </c>
      <c r="F44" s="12">
        <v>3738835000000</v>
      </c>
      <c r="G44" s="12">
        <f>773759000000+231175000000+60744000000+4225000000+13297000000</f>
        <v>1083200000000</v>
      </c>
      <c r="H44" s="30">
        <f t="shared" si="1"/>
        <v>4822035000000</v>
      </c>
      <c r="I44" s="31">
        <f t="shared" si="2"/>
        <v>1242773000000</v>
      </c>
      <c r="J44" s="32">
        <f t="shared" si="3"/>
        <v>1242773000000</v>
      </c>
      <c r="K44" s="12">
        <v>4781737000000</v>
      </c>
      <c r="L44" s="12">
        <v>1109666000000</v>
      </c>
      <c r="M44" s="33">
        <f t="shared" si="4"/>
        <v>5891403000000</v>
      </c>
      <c r="N44" s="34">
        <f t="shared" si="5"/>
        <v>0.2109468661369796</v>
      </c>
      <c r="O44" s="32">
        <f t="shared" si="6"/>
        <v>1242773000000</v>
      </c>
      <c r="P44" s="12">
        <v>399420000000</v>
      </c>
      <c r="Q44" s="34">
        <f t="shared" si="7"/>
        <v>3.1114440939362074</v>
      </c>
      <c r="R44" s="32">
        <f t="shared" si="8"/>
        <v>1242773000000</v>
      </c>
      <c r="S44" s="32">
        <f t="shared" si="9"/>
        <v>399420000000</v>
      </c>
      <c r="T44" s="35">
        <f t="shared" si="10"/>
        <v>843353000000</v>
      </c>
      <c r="U44" s="34">
        <f t="shared" si="11"/>
        <v>0.67860582745199649</v>
      </c>
      <c r="V44" s="3">
        <f t="shared" si="12"/>
        <v>0.2109468661369796</v>
      </c>
      <c r="W44" s="3">
        <f t="shared" si="13"/>
        <v>3.1114440939362074</v>
      </c>
      <c r="X44" s="3">
        <f t="shared" si="14"/>
        <v>0.67860582745199649</v>
      </c>
      <c r="Y44" s="36">
        <f t="shared" si="15"/>
        <v>4.0009967875251871</v>
      </c>
    </row>
  </sheetData>
  <mergeCells count="29">
    <mergeCell ref="A40:A44"/>
    <mergeCell ref="A35:A39"/>
    <mergeCell ref="T3:T4"/>
    <mergeCell ref="A15:A19"/>
    <mergeCell ref="B1:B4"/>
    <mergeCell ref="A10:A14"/>
    <mergeCell ref="A5:A9"/>
    <mergeCell ref="J3:J4"/>
    <mergeCell ref="A20:A24"/>
    <mergeCell ref="O2:P2"/>
    <mergeCell ref="A1:A4"/>
    <mergeCell ref="A25:A29"/>
    <mergeCell ref="A30:A34"/>
    <mergeCell ref="C1:Y1"/>
    <mergeCell ref="N2:N4"/>
    <mergeCell ref="Y2:Y4"/>
    <mergeCell ref="F3:H3"/>
    <mergeCell ref="J2:M2"/>
    <mergeCell ref="M3:M4"/>
    <mergeCell ref="I2:I4"/>
    <mergeCell ref="C2:H2"/>
    <mergeCell ref="C3:E3"/>
    <mergeCell ref="O3:O4"/>
    <mergeCell ref="V2:X3"/>
    <mergeCell ref="K3:L3"/>
    <mergeCell ref="U2:U4"/>
    <mergeCell ref="Q2:Q4"/>
    <mergeCell ref="R3:S3"/>
    <mergeCell ref="R2:T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H5" sqref="H5"/>
    </sheetView>
  </sheetViews>
  <sheetFormatPr defaultColWidth="10" defaultRowHeight="15"/>
  <cols>
    <col min="1" max="1" width="16.140625" style="41" customWidth="1"/>
    <col min="2" max="2" width="9.140625" style="42"/>
    <col min="3" max="3" width="26.7109375" style="43" customWidth="1"/>
    <col min="4" max="4" width="31.85546875" style="43" customWidth="1"/>
    <col min="5" max="5" width="14.140625" style="43" customWidth="1"/>
    <col min="9" max="9" width="17.28515625" customWidth="1"/>
    <col min="11" max="11" width="31.85546875" customWidth="1"/>
  </cols>
  <sheetData>
    <row r="1" spans="1:12">
      <c r="A1" s="67" t="s">
        <v>14</v>
      </c>
      <c r="B1" s="67" t="s">
        <v>5</v>
      </c>
      <c r="C1" s="76" t="s">
        <v>4</v>
      </c>
      <c r="D1" s="76"/>
      <c r="E1" s="76" t="s">
        <v>45</v>
      </c>
    </row>
    <row r="2" spans="1:12">
      <c r="A2" s="67"/>
      <c r="B2" s="67"/>
      <c r="C2" s="44" t="s">
        <v>2</v>
      </c>
      <c r="D2" s="44" t="s">
        <v>3</v>
      </c>
      <c r="E2" s="76"/>
    </row>
    <row r="3" spans="1:12">
      <c r="A3" s="65" t="s">
        <v>6</v>
      </c>
      <c r="B3" s="45">
        <v>2016</v>
      </c>
      <c r="C3" s="46">
        <v>245</v>
      </c>
      <c r="D3" s="47">
        <v>330</v>
      </c>
      <c r="E3" s="48">
        <f>C3/D3</f>
        <v>0.74242424242424243</v>
      </c>
    </row>
    <row r="4" spans="1:12" ht="15.75" customHeight="1">
      <c r="A4" s="65"/>
      <c r="B4" s="45">
        <v>2017</v>
      </c>
      <c r="C4" s="49">
        <v>245</v>
      </c>
      <c r="D4" s="47">
        <v>390</v>
      </c>
      <c r="E4" s="50">
        <f>C4/D4</f>
        <v>0.62820512820512819</v>
      </c>
      <c r="I4" s="7" t="s">
        <v>45</v>
      </c>
      <c r="J4" s="8" t="s">
        <v>16</v>
      </c>
      <c r="K4" s="51" t="s">
        <v>2</v>
      </c>
    </row>
    <row r="5" spans="1:12">
      <c r="A5" s="65"/>
      <c r="B5" s="45">
        <v>2018</v>
      </c>
      <c r="C5" s="49">
        <v>260</v>
      </c>
      <c r="D5" s="47">
        <v>400</v>
      </c>
      <c r="E5" s="50">
        <f t="shared" ref="E5:E42" si="0">C5/D5</f>
        <v>0.65</v>
      </c>
      <c r="K5" s="52" t="s">
        <v>3</v>
      </c>
    </row>
    <row r="6" spans="1:12">
      <c r="A6" s="65"/>
      <c r="B6" s="45">
        <v>2019</v>
      </c>
      <c r="C6" s="49">
        <v>260</v>
      </c>
      <c r="D6" s="47">
        <v>398</v>
      </c>
      <c r="E6" s="50">
        <f t="shared" si="0"/>
        <v>0.65326633165829151</v>
      </c>
    </row>
    <row r="7" spans="1:12" ht="15.75">
      <c r="A7" s="65"/>
      <c r="B7" s="45">
        <v>2020</v>
      </c>
      <c r="C7" s="49">
        <v>260</v>
      </c>
      <c r="D7" s="47">
        <v>308</v>
      </c>
      <c r="E7" s="50">
        <f t="shared" si="0"/>
        <v>0.8441558441558441</v>
      </c>
      <c r="L7" s="10"/>
    </row>
    <row r="8" spans="1:12" ht="15.75">
      <c r="A8" s="65" t="s">
        <v>7</v>
      </c>
      <c r="B8" s="45">
        <v>2016</v>
      </c>
      <c r="C8" s="46">
        <v>250</v>
      </c>
      <c r="D8" s="53">
        <v>1012.69</v>
      </c>
      <c r="E8" s="50">
        <f t="shared" si="0"/>
        <v>0.24686725453988881</v>
      </c>
      <c r="L8" s="11"/>
    </row>
    <row r="9" spans="1:12">
      <c r="A9" s="65"/>
      <c r="B9" s="45">
        <v>2017</v>
      </c>
      <c r="C9" s="46">
        <v>250</v>
      </c>
      <c r="D9" s="53">
        <v>1048.54</v>
      </c>
      <c r="E9" s="50">
        <f t="shared" si="0"/>
        <v>0.23842676483491332</v>
      </c>
    </row>
    <row r="10" spans="1:12">
      <c r="A10" s="65"/>
      <c r="B10" s="45">
        <v>2018</v>
      </c>
      <c r="C10" s="46">
        <v>250</v>
      </c>
      <c r="D10" s="53">
        <v>1159.3699999999999</v>
      </c>
      <c r="E10" s="50">
        <f t="shared" si="0"/>
        <v>0.21563435314006746</v>
      </c>
    </row>
    <row r="11" spans="1:12">
      <c r="A11" s="65"/>
      <c r="B11" s="45">
        <v>2019</v>
      </c>
      <c r="C11" s="46">
        <v>250</v>
      </c>
      <c r="D11" s="53">
        <v>1505.56</v>
      </c>
      <c r="E11" s="50">
        <f t="shared" si="0"/>
        <v>0.1660511703286485</v>
      </c>
    </row>
    <row r="12" spans="1:12">
      <c r="A12" s="65"/>
      <c r="B12" s="45">
        <v>2020</v>
      </c>
      <c r="C12" s="46">
        <v>250</v>
      </c>
      <c r="D12" s="53">
        <v>169393</v>
      </c>
      <c r="E12" s="50">
        <f t="shared" si="0"/>
        <v>1.4758579162066909E-3</v>
      </c>
    </row>
    <row r="13" spans="1:12">
      <c r="A13" s="65" t="s">
        <v>8</v>
      </c>
      <c r="B13" s="45">
        <v>2016</v>
      </c>
      <c r="C13" s="46">
        <v>100</v>
      </c>
      <c r="D13" s="53">
        <v>115</v>
      </c>
      <c r="E13" s="50">
        <f>C13/D13</f>
        <v>0.86956521739130432</v>
      </c>
    </row>
    <row r="14" spans="1:12">
      <c r="A14" s="65"/>
      <c r="B14" s="45">
        <v>2017</v>
      </c>
      <c r="C14" s="46">
        <v>100</v>
      </c>
      <c r="D14" s="53">
        <v>115</v>
      </c>
      <c r="E14" s="50">
        <f t="shared" si="0"/>
        <v>0.86956521739130432</v>
      </c>
    </row>
    <row r="15" spans="1:12">
      <c r="A15" s="65"/>
      <c r="B15" s="45">
        <v>2018</v>
      </c>
      <c r="C15" s="46">
        <v>20</v>
      </c>
      <c r="D15" s="53">
        <v>280.85000000000002</v>
      </c>
      <c r="E15" s="50">
        <f t="shared" si="0"/>
        <v>7.1212390956026342E-2</v>
      </c>
    </row>
    <row r="16" spans="1:12">
      <c r="A16" s="65"/>
      <c r="B16" s="45">
        <v>2019</v>
      </c>
      <c r="C16" s="46">
        <v>20</v>
      </c>
      <c r="D16" s="53">
        <v>499.4</v>
      </c>
      <c r="E16" s="50">
        <f t="shared" si="0"/>
        <v>4.0048057669203045E-2</v>
      </c>
    </row>
    <row r="17" spans="1:5">
      <c r="A17" s="65"/>
      <c r="B17" s="45">
        <v>2020</v>
      </c>
      <c r="C17" s="46">
        <v>20</v>
      </c>
      <c r="D17" s="53">
        <v>494.46</v>
      </c>
      <c r="E17" s="50">
        <f t="shared" si="0"/>
        <v>4.0448165675686612E-2</v>
      </c>
    </row>
    <row r="18" spans="1:5">
      <c r="A18" s="65" t="s">
        <v>9</v>
      </c>
      <c r="B18" s="45">
        <v>2016</v>
      </c>
      <c r="C18" s="54">
        <v>1000</v>
      </c>
      <c r="D18" s="54">
        <v>5000</v>
      </c>
      <c r="E18" s="50">
        <f t="shared" si="0"/>
        <v>0.2</v>
      </c>
    </row>
    <row r="19" spans="1:5">
      <c r="A19" s="65"/>
      <c r="B19" s="45">
        <v>2017</v>
      </c>
      <c r="C19" s="54">
        <v>1000</v>
      </c>
      <c r="D19" s="54">
        <v>4590</v>
      </c>
      <c r="E19" s="50">
        <f t="shared" si="0"/>
        <v>0.2178649237472767</v>
      </c>
    </row>
    <row r="20" spans="1:5">
      <c r="A20" s="65"/>
      <c r="B20" s="45">
        <v>2018</v>
      </c>
      <c r="C20" s="54">
        <v>1000</v>
      </c>
      <c r="D20" s="55">
        <v>5500</v>
      </c>
      <c r="E20" s="50">
        <f t="shared" si="0"/>
        <v>0.18181818181818182</v>
      </c>
    </row>
    <row r="21" spans="1:5">
      <c r="A21" s="65"/>
      <c r="B21" s="45">
        <v>2019</v>
      </c>
      <c r="C21" s="54">
        <v>1000</v>
      </c>
      <c r="D21" s="55">
        <v>6800</v>
      </c>
      <c r="E21" s="50">
        <f t="shared" si="0"/>
        <v>0.14705882352941177</v>
      </c>
    </row>
    <row r="22" spans="1:5">
      <c r="A22" s="65"/>
      <c r="B22" s="45">
        <v>2020</v>
      </c>
      <c r="C22" s="54">
        <v>1000</v>
      </c>
      <c r="D22" s="55">
        <v>4122</v>
      </c>
      <c r="E22" s="50">
        <f t="shared" si="0"/>
        <v>0.24260067928190199</v>
      </c>
    </row>
    <row r="23" spans="1:5">
      <c r="A23" s="65" t="s">
        <v>10</v>
      </c>
      <c r="B23" s="45">
        <v>2016</v>
      </c>
      <c r="C23" s="46">
        <v>100</v>
      </c>
      <c r="D23" s="46">
        <v>6590.95</v>
      </c>
      <c r="E23" s="50">
        <f t="shared" si="0"/>
        <v>1.5172319620085117E-2</v>
      </c>
    </row>
    <row r="24" spans="1:5">
      <c r="A24" s="65"/>
      <c r="B24" s="45">
        <v>2017</v>
      </c>
      <c r="C24" s="46">
        <v>100</v>
      </c>
      <c r="D24" s="46">
        <v>6521.76</v>
      </c>
      <c r="E24" s="50">
        <f t="shared" si="0"/>
        <v>1.5333284266823679E-2</v>
      </c>
    </row>
    <row r="25" spans="1:5">
      <c r="A25" s="65"/>
      <c r="B25" s="45">
        <v>2018</v>
      </c>
      <c r="C25" s="46">
        <v>100</v>
      </c>
      <c r="D25" s="46">
        <v>6669.6</v>
      </c>
      <c r="E25" s="50">
        <f t="shared" si="0"/>
        <v>1.49934029027228E-2</v>
      </c>
    </row>
    <row r="26" spans="1:5">
      <c r="A26" s="65"/>
      <c r="B26" s="45">
        <v>2019</v>
      </c>
      <c r="C26" s="46">
        <v>100</v>
      </c>
      <c r="D26" s="46">
        <v>7271.21</v>
      </c>
      <c r="E26" s="50">
        <f t="shared" si="0"/>
        <v>1.3752869192335251E-2</v>
      </c>
    </row>
    <row r="27" spans="1:5">
      <c r="A27" s="65"/>
      <c r="B27" s="45">
        <v>2020</v>
      </c>
      <c r="C27" s="46">
        <v>100</v>
      </c>
      <c r="D27" s="46">
        <v>6555.9</v>
      </c>
      <c r="E27" s="50">
        <f t="shared" si="0"/>
        <v>1.5253435836422155E-2</v>
      </c>
    </row>
    <row r="28" spans="1:5">
      <c r="A28" s="65" t="s">
        <v>11</v>
      </c>
      <c r="B28" s="45">
        <v>2016</v>
      </c>
      <c r="C28" s="46">
        <v>20</v>
      </c>
      <c r="D28" s="46">
        <v>1665.43</v>
      </c>
      <c r="E28" s="50">
        <f t="shared" si="0"/>
        <v>1.2008910611673862E-2</v>
      </c>
    </row>
    <row r="29" spans="1:5">
      <c r="A29" s="65"/>
      <c r="B29" s="45">
        <v>2017</v>
      </c>
      <c r="C29" s="46">
        <v>20</v>
      </c>
      <c r="D29" s="46">
        <v>1907.13</v>
      </c>
      <c r="E29" s="50">
        <f t="shared" si="0"/>
        <v>1.0486962084388584E-2</v>
      </c>
    </row>
    <row r="30" spans="1:5">
      <c r="A30" s="65"/>
      <c r="B30" s="45">
        <v>2018</v>
      </c>
      <c r="C30" s="46">
        <v>20</v>
      </c>
      <c r="D30" s="46">
        <v>2495.2600000000002</v>
      </c>
      <c r="E30" s="50">
        <f t="shared" si="0"/>
        <v>8.0151968131577465E-3</v>
      </c>
    </row>
    <row r="31" spans="1:5">
      <c r="A31" s="65"/>
      <c r="B31" s="45">
        <v>2019</v>
      </c>
      <c r="C31" s="46">
        <v>20</v>
      </c>
      <c r="D31" s="46">
        <v>1975.5</v>
      </c>
      <c r="E31" s="50">
        <f t="shared" si="0"/>
        <v>1.0124019235636548E-2</v>
      </c>
    </row>
    <row r="32" spans="1:5">
      <c r="A32" s="65"/>
      <c r="B32" s="45">
        <v>2020</v>
      </c>
      <c r="C32" s="46">
        <v>20</v>
      </c>
      <c r="D32" s="46">
        <v>2646.81</v>
      </c>
      <c r="E32" s="50">
        <f t="shared" si="0"/>
        <v>7.556265844544943E-3</v>
      </c>
    </row>
    <row r="33" spans="1:5">
      <c r="A33" s="65" t="s">
        <v>13</v>
      </c>
      <c r="B33" s="45">
        <v>2016</v>
      </c>
      <c r="C33" s="46">
        <v>175</v>
      </c>
      <c r="D33" s="46">
        <v>148</v>
      </c>
      <c r="E33" s="50">
        <f t="shared" si="0"/>
        <v>1.1824324324324325</v>
      </c>
    </row>
    <row r="34" spans="1:5">
      <c r="A34" s="65"/>
      <c r="B34" s="45">
        <v>2017</v>
      </c>
      <c r="C34" s="46">
        <v>175</v>
      </c>
      <c r="D34" s="46">
        <v>256</v>
      </c>
      <c r="E34" s="50">
        <f t="shared" si="0"/>
        <v>0.68359375</v>
      </c>
    </row>
    <row r="35" spans="1:5">
      <c r="A35" s="65"/>
      <c r="B35" s="45">
        <v>2018</v>
      </c>
      <c r="C35" s="46">
        <v>175</v>
      </c>
      <c r="D35" s="46">
        <v>192</v>
      </c>
      <c r="E35" s="50">
        <f t="shared" si="0"/>
        <v>0.91145833333333337</v>
      </c>
    </row>
    <row r="36" spans="1:5">
      <c r="A36" s="65"/>
      <c r="B36" s="45">
        <v>2019</v>
      </c>
      <c r="C36" s="46">
        <v>175</v>
      </c>
      <c r="D36" s="46">
        <v>153</v>
      </c>
      <c r="E36" s="50">
        <f t="shared" si="0"/>
        <v>1.1437908496732025</v>
      </c>
    </row>
    <row r="37" spans="1:5">
      <c r="A37" s="65"/>
      <c r="B37" s="45">
        <v>2020</v>
      </c>
      <c r="C37" s="46">
        <v>175</v>
      </c>
      <c r="D37" s="46">
        <v>130</v>
      </c>
      <c r="E37" s="50">
        <f t="shared" si="0"/>
        <v>1.3461538461538463</v>
      </c>
    </row>
    <row r="38" spans="1:5">
      <c r="A38" s="65" t="s">
        <v>12</v>
      </c>
      <c r="B38" s="45">
        <v>2016</v>
      </c>
      <c r="C38" s="46">
        <v>200</v>
      </c>
      <c r="D38" s="46">
        <v>1009.08</v>
      </c>
      <c r="E38" s="50">
        <f t="shared" si="0"/>
        <v>0.19820034090458635</v>
      </c>
    </row>
    <row r="39" spans="1:5">
      <c r="A39" s="65"/>
      <c r="B39" s="45">
        <v>2017</v>
      </c>
      <c r="C39" s="46">
        <v>50</v>
      </c>
      <c r="D39" s="46">
        <v>1197.06</v>
      </c>
      <c r="E39" s="50">
        <f t="shared" si="0"/>
        <v>4.1769000718426812E-2</v>
      </c>
    </row>
    <row r="40" spans="1:5">
      <c r="A40" s="65"/>
      <c r="B40" s="45">
        <v>2018</v>
      </c>
      <c r="C40" s="46">
        <v>50</v>
      </c>
      <c r="D40" s="46">
        <v>1258.1300000000001</v>
      </c>
      <c r="E40" s="50">
        <f t="shared" si="0"/>
        <v>3.9741521146463399E-2</v>
      </c>
    </row>
    <row r="41" spans="1:5">
      <c r="A41" s="65"/>
      <c r="B41" s="45">
        <v>2019</v>
      </c>
      <c r="C41" s="46">
        <v>50</v>
      </c>
      <c r="D41" s="46">
        <v>1579.16</v>
      </c>
      <c r="E41" s="50">
        <f t="shared" si="0"/>
        <v>3.1662402796423413E-2</v>
      </c>
    </row>
    <row r="42" spans="1:5">
      <c r="A42" s="65"/>
      <c r="B42" s="45">
        <v>2020</v>
      </c>
      <c r="C42" s="46">
        <v>50</v>
      </c>
      <c r="D42" s="46">
        <v>1514.2</v>
      </c>
      <c r="E42" s="50">
        <f t="shared" si="0"/>
        <v>3.3020737022850348E-2</v>
      </c>
    </row>
  </sheetData>
  <mergeCells count="12">
    <mergeCell ref="A1:A2"/>
    <mergeCell ref="B1:B2"/>
    <mergeCell ref="C1:D1"/>
    <mergeCell ref="E1:E2"/>
    <mergeCell ref="A3:A7"/>
    <mergeCell ref="A38:A42"/>
    <mergeCell ref="A8:A12"/>
    <mergeCell ref="A13:A17"/>
    <mergeCell ref="A18:A22"/>
    <mergeCell ref="A23:A27"/>
    <mergeCell ref="A28:A32"/>
    <mergeCell ref="A33:A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38" workbookViewId="0">
      <selection sqref="A1:E42"/>
    </sheetView>
  </sheetViews>
  <sheetFormatPr defaultColWidth="10" defaultRowHeight="15"/>
  <cols>
    <col min="1" max="1" width="17.5703125" customWidth="1"/>
    <col min="2" max="2" width="9.42578125" style="56" customWidth="1"/>
    <col min="3" max="3" width="9.42578125" customWidth="1"/>
    <col min="4" max="4" width="8.7109375" customWidth="1"/>
    <col min="5" max="5" width="9.140625" customWidth="1"/>
    <col min="6" max="6" width="9.42578125" customWidth="1"/>
    <col min="7" max="7" width="9" customWidth="1"/>
    <col min="12" max="12" width="10.5703125" bestFit="1" customWidth="1"/>
  </cols>
  <sheetData>
    <row r="1" spans="1:12" ht="15" customHeight="1">
      <c r="A1" s="81" t="s">
        <v>14</v>
      </c>
      <c r="B1" s="82" t="s">
        <v>5</v>
      </c>
      <c r="C1" s="77" t="s">
        <v>46</v>
      </c>
      <c r="D1" s="77" t="s">
        <v>47</v>
      </c>
      <c r="E1" s="80" t="s">
        <v>48</v>
      </c>
      <c r="F1" s="78"/>
      <c r="G1" s="79"/>
    </row>
    <row r="2" spans="1:12" ht="15" customHeight="1">
      <c r="A2" s="81"/>
      <c r="B2" s="82"/>
      <c r="C2" s="77"/>
      <c r="D2" s="77"/>
      <c r="E2" s="80"/>
      <c r="F2" s="78"/>
      <c r="G2" s="79"/>
    </row>
    <row r="3" spans="1:12" ht="15.75">
      <c r="A3" s="77" t="s">
        <v>6</v>
      </c>
      <c r="B3" s="57">
        <v>2016</v>
      </c>
      <c r="C3" s="58">
        <f>'KEBIJAKAN HUTANG (DER) X1'!E3</f>
        <v>0.14230305299059978</v>
      </c>
      <c r="D3" s="58">
        <f>'INTELLECTUAL CAPITAL (IC) X2'!Y5</f>
        <v>1.684268285874982</v>
      </c>
      <c r="E3" s="61">
        <f>'NILAI PERUSAHAAN (PBV) Y'!E3</f>
        <v>0.74242424242424243</v>
      </c>
      <c r="F3" s="64"/>
      <c r="G3" s="63"/>
      <c r="L3" s="60"/>
    </row>
    <row r="4" spans="1:12" ht="15.75">
      <c r="A4" s="77"/>
      <c r="B4" s="57">
        <v>2017</v>
      </c>
      <c r="C4" s="58">
        <f>'KEBIJAKAN HUTANG (DER) X1'!E4</f>
        <v>0.99270253017641596</v>
      </c>
      <c r="D4" s="58">
        <f>'INTELLECTUAL CAPITAL (IC) X2'!Y6</f>
        <v>1.6849979020073493</v>
      </c>
      <c r="E4" s="61">
        <f>'NILAI PERUSAHAAN (PBV) Y'!E4</f>
        <v>0.62820512820512819</v>
      </c>
      <c r="F4" s="64"/>
      <c r="G4" s="62"/>
    </row>
    <row r="5" spans="1:12" ht="15.75">
      <c r="A5" s="77"/>
      <c r="B5" s="57">
        <v>2018</v>
      </c>
      <c r="C5" s="58">
        <f>'KEBIJAKAN HUTANG (DER) X1'!E5</f>
        <v>0.91817107720452784</v>
      </c>
      <c r="D5" s="59">
        <f>'INTELLECTUAL CAPITAL (IC) X2'!Y7</f>
        <v>2.8380410588019291</v>
      </c>
      <c r="E5" s="61">
        <f>'NILAI PERUSAHAAN (PBV) Y'!E5</f>
        <v>0.65</v>
      </c>
      <c r="F5" s="64"/>
      <c r="G5" s="62"/>
    </row>
    <row r="6" spans="1:12" ht="15.75">
      <c r="A6" s="77"/>
      <c r="B6" s="57">
        <v>2019</v>
      </c>
      <c r="C6" s="58">
        <f>'KEBIJAKAN HUTANG (DER) X1'!E6</f>
        <v>0.92569656455153393</v>
      </c>
      <c r="D6" s="59">
        <f>'INTELLECTUAL CAPITAL (IC) X2'!Y8</f>
        <v>4.1946401174343784</v>
      </c>
      <c r="E6" s="61">
        <f>'NILAI PERUSAHAAN (PBV) Y'!E6</f>
        <v>0.65326633165829151</v>
      </c>
      <c r="F6" s="64"/>
      <c r="G6" s="62"/>
    </row>
    <row r="7" spans="1:12" ht="15.75">
      <c r="A7" s="77"/>
      <c r="B7" s="57">
        <v>2020</v>
      </c>
      <c r="C7" s="58">
        <f>'KEBIJAKAN HUTANG (DER) X1'!E7</f>
        <v>1.9657403984317237</v>
      </c>
      <c r="D7" s="59">
        <f>'INTELLECTUAL CAPITAL (IC) X2'!Y9</f>
        <v>1.8156592887338285</v>
      </c>
      <c r="E7" s="61">
        <f>'NILAI PERUSAHAAN (PBV) Y'!E7</f>
        <v>0.8441558441558441</v>
      </c>
      <c r="F7" s="64"/>
      <c r="G7" s="62"/>
    </row>
    <row r="8" spans="1:12" ht="15.75">
      <c r="A8" s="77" t="s">
        <v>7</v>
      </c>
      <c r="B8" s="57">
        <v>2016</v>
      </c>
      <c r="C8" s="58">
        <f>'KEBIJAKAN HUTANG (DER) X1'!E8</f>
        <v>0.60595996235627692</v>
      </c>
      <c r="D8" s="59">
        <f>'INTELLECTUAL CAPITAL (IC) X2'!Y10</f>
        <v>3.8892717621413659</v>
      </c>
      <c r="E8" s="61">
        <f>'NILAI PERUSAHAAN (PBV) Y'!E8</f>
        <v>0.24686725453988881</v>
      </c>
      <c r="F8" s="64"/>
      <c r="G8" s="62"/>
    </row>
    <row r="9" spans="1:12" ht="15.75">
      <c r="A9" s="77"/>
      <c r="B9" s="57">
        <v>2017</v>
      </c>
      <c r="C9" s="58">
        <f>'KEBIJAKAN HUTANG (DER) X1'!E9</f>
        <v>0.54215758702145922</v>
      </c>
      <c r="D9" s="59">
        <f>'INTELLECTUAL CAPITAL (IC) X2'!Y11</f>
        <v>3.9958126911787262</v>
      </c>
      <c r="E9" s="61">
        <f>'NILAI PERUSAHAAN (PBV) Y'!E9</f>
        <v>0.23842676483491332</v>
      </c>
      <c r="F9" s="64"/>
      <c r="G9" s="62"/>
    </row>
    <row r="10" spans="1:12" ht="15.75">
      <c r="A10" s="77"/>
      <c r="B10" s="57">
        <v>2018</v>
      </c>
      <c r="C10" s="58">
        <f>'KEBIJAKAN HUTANG (DER) X1'!E10</f>
        <v>0.19690671601596363</v>
      </c>
      <c r="D10" s="59">
        <f>'INTELLECTUAL CAPITAL (IC) X2'!Y12</f>
        <v>3.2858549253614879</v>
      </c>
      <c r="E10" s="61">
        <f>'NILAI PERUSAHAAN (PBV) Y'!E10</f>
        <v>0.21563435314006746</v>
      </c>
      <c r="F10" s="64"/>
      <c r="G10" s="62"/>
    </row>
    <row r="11" spans="1:12" ht="15.75">
      <c r="A11" s="77"/>
      <c r="B11" s="57">
        <v>2019</v>
      </c>
      <c r="C11" s="58">
        <f>'KEBIJAKAN HUTANG (DER) X1'!E11</f>
        <v>0.2314028749296019</v>
      </c>
      <c r="D11" s="59">
        <f>'INTELLECTUAL CAPITAL (IC) X2'!Y13</f>
        <v>3.6411156191623193</v>
      </c>
      <c r="E11" s="61">
        <f>'NILAI PERUSAHAAN (PBV) Y'!E11</f>
        <v>0.1660511703286485</v>
      </c>
      <c r="F11" s="64"/>
      <c r="G11" s="62"/>
    </row>
    <row r="12" spans="1:12" ht="15.75">
      <c r="A12" s="77"/>
      <c r="B12" s="57">
        <v>2020</v>
      </c>
      <c r="C12" s="58">
        <f>'KEBIJAKAN HUTANG (DER) X1'!E12</f>
        <v>1.1687415783121518</v>
      </c>
      <c r="D12" s="59">
        <f>'INTELLECTUAL CAPITAL (IC) X2'!Y14</f>
        <v>2.481292168718463</v>
      </c>
      <c r="E12" s="61">
        <f>'NILAI PERUSAHAAN (PBV) Y'!E12</f>
        <v>1.4758579162066909E-3</v>
      </c>
      <c r="F12" s="64"/>
      <c r="G12" s="62"/>
    </row>
    <row r="13" spans="1:12" ht="15.75">
      <c r="A13" s="77" t="s">
        <v>8</v>
      </c>
      <c r="B13" s="57">
        <v>2016</v>
      </c>
      <c r="C13" s="58">
        <f>'KEBIJAKAN HUTANG (DER) X1'!E13</f>
        <v>1.3379305820490306</v>
      </c>
      <c r="D13" s="59">
        <f>'INTELLECTUAL CAPITAL (IC) X2'!Y15</f>
        <v>2.5139836612601258</v>
      </c>
      <c r="E13" s="61">
        <f>'NILAI PERUSAHAAN (PBV) Y'!E13</f>
        <v>0.86956521739130432</v>
      </c>
      <c r="F13" s="64"/>
      <c r="G13" s="62"/>
    </row>
    <row r="14" spans="1:12" ht="15.75">
      <c r="A14" s="77"/>
      <c r="B14" s="57">
        <v>2017</v>
      </c>
      <c r="C14" s="58">
        <f>'KEBIJAKAN HUTANG (DER) X1'!E14</f>
        <v>1.2180689331140719</v>
      </c>
      <c r="D14" s="59">
        <f>'INTELLECTUAL CAPITAL (IC) X2'!Y16</f>
        <v>3.3217829892648769</v>
      </c>
      <c r="E14" s="61">
        <f>'NILAI PERUSAHAAN (PBV) Y'!E14</f>
        <v>0.86956521739130432</v>
      </c>
      <c r="F14" s="64"/>
      <c r="G14" s="62"/>
    </row>
    <row r="15" spans="1:12" ht="15.75">
      <c r="A15" s="77"/>
      <c r="B15" s="57">
        <v>2018</v>
      </c>
      <c r="C15" s="58">
        <f>'KEBIJAKAN HUTANG (DER) X1'!E15</f>
        <v>0.31229247904726837</v>
      </c>
      <c r="D15" s="59">
        <f>'INTELLECTUAL CAPITAL (IC) X2'!Y17</f>
        <v>2.688812205671034</v>
      </c>
      <c r="E15" s="61">
        <f>'NILAI PERUSAHAAN (PBV) Y'!E15</f>
        <v>7.1212390956026342E-2</v>
      </c>
      <c r="F15" s="64"/>
      <c r="G15" s="62"/>
    </row>
    <row r="16" spans="1:12" ht="15.75">
      <c r="A16" s="77"/>
      <c r="B16" s="57">
        <v>2019</v>
      </c>
      <c r="C16" s="58">
        <f>'KEBIJAKAN HUTANG (DER) X1'!E16</f>
        <v>0.62487957733111676</v>
      </c>
      <c r="D16" s="59">
        <f>'INTELLECTUAL CAPITAL (IC) X2'!Y18</f>
        <v>3.9667588455876679</v>
      </c>
      <c r="E16" s="61">
        <f>'NILAI PERUSAHAAN (PBV) Y'!E16</f>
        <v>4.0048057669203045E-2</v>
      </c>
      <c r="F16" s="64"/>
      <c r="G16" s="62"/>
    </row>
    <row r="17" spans="1:7" ht="15.75">
      <c r="A17" s="77"/>
      <c r="B17" s="57">
        <v>2020</v>
      </c>
      <c r="C17" s="58">
        <f>'KEBIJAKAN HUTANG (DER) X1'!E17</f>
        <v>0.46515319370954944</v>
      </c>
      <c r="D17" s="59">
        <f>'INTELLECTUAL CAPITAL (IC) X2'!Y19</f>
        <v>3.3882807859147563</v>
      </c>
      <c r="E17" s="61">
        <f>'NILAI PERUSAHAAN (PBV) Y'!E17</f>
        <v>4.0448165675686612E-2</v>
      </c>
      <c r="F17" s="64"/>
      <c r="G17" s="62"/>
    </row>
    <row r="18" spans="1:7" ht="15.75">
      <c r="A18" s="77" t="s">
        <v>9</v>
      </c>
      <c r="B18" s="57">
        <v>2016</v>
      </c>
      <c r="C18" s="58">
        <f>'KEBIJAKAN HUTANG (DER) X1'!E18</f>
        <v>0.1831566199843141</v>
      </c>
      <c r="D18" s="59">
        <f>'INTELLECTUAL CAPITAL (IC) X2'!Y20</f>
        <v>3.0414776192908679</v>
      </c>
      <c r="E18" s="61">
        <f>'NILAI PERUSAHAAN (PBV) Y'!E18</f>
        <v>0.2</v>
      </c>
      <c r="F18" s="64"/>
      <c r="G18" s="62"/>
    </row>
    <row r="19" spans="1:7" ht="15.75">
      <c r="A19" s="77"/>
      <c r="B19" s="57">
        <v>2017</v>
      </c>
      <c r="C19" s="58">
        <f>'KEBIJAKAN HUTANG (DER) X1'!E19</f>
        <v>0.17140423450065304</v>
      </c>
      <c r="D19" s="59">
        <f>'INTELLECTUAL CAPITAL (IC) X2'!Y21</f>
        <v>4.3047116307617053</v>
      </c>
      <c r="E19" s="61">
        <f>'NILAI PERUSAHAAN (PBV) Y'!E19</f>
        <v>0.2178649237472767</v>
      </c>
      <c r="F19" s="64"/>
      <c r="G19" s="62"/>
    </row>
    <row r="20" spans="1:7" ht="15.75">
      <c r="A20" s="77"/>
      <c r="B20" s="57">
        <v>2018</v>
      </c>
      <c r="C20" s="58">
        <f>'KEBIJAKAN HUTANG (DER) X1'!E20</f>
        <v>0.19723186230877318</v>
      </c>
      <c r="D20" s="59">
        <f>'INTELLECTUAL CAPITAL (IC) X2'!Y22</f>
        <v>4.7146331097261838</v>
      </c>
      <c r="E20" s="61">
        <f>'NILAI PERUSAHAAN (PBV) Y'!E20</f>
        <v>0.18181818181818182</v>
      </c>
      <c r="F20" s="64"/>
      <c r="G20" s="62"/>
    </row>
    <row r="21" spans="1:7" ht="15.75">
      <c r="A21" s="77"/>
      <c r="B21" s="57">
        <v>2019</v>
      </c>
      <c r="C21" s="58">
        <f>'KEBIJAKAN HUTANG (DER) X1'!E21</f>
        <v>0.17503856980411797</v>
      </c>
      <c r="D21" s="59">
        <f>'INTELLECTUAL CAPITAL (IC) X2'!Y23</f>
        <v>5.6214058531710087</v>
      </c>
      <c r="E21" s="61">
        <f>'NILAI PERUSAHAAN (PBV) Y'!E21</f>
        <v>0.14705882352941177</v>
      </c>
      <c r="F21" s="64"/>
      <c r="G21" s="62"/>
    </row>
    <row r="22" spans="1:7" ht="15.75">
      <c r="A22" s="77"/>
      <c r="B22" s="57">
        <v>2020</v>
      </c>
      <c r="C22" s="58">
        <f>'KEBIJAKAN HUTANG (DER) X1'!E22</f>
        <v>0.20166894708373187</v>
      </c>
      <c r="D22" s="59">
        <f>'INTELLECTUAL CAPITAL (IC) X2'!Y24</f>
        <v>3.7752201076107053</v>
      </c>
      <c r="E22" s="61">
        <f>'NILAI PERUSAHAAN (PBV) Y'!E22</f>
        <v>0.24260067928190199</v>
      </c>
      <c r="F22" s="64"/>
      <c r="G22" s="62"/>
    </row>
    <row r="23" spans="1:7" ht="15.75">
      <c r="A23" s="77" t="s">
        <v>10</v>
      </c>
      <c r="B23" s="57">
        <v>2016</v>
      </c>
      <c r="C23" s="58">
        <f>'KEBIJAKAN HUTANG (DER) X1'!E23</f>
        <v>0.87009225896029807</v>
      </c>
      <c r="D23" s="59">
        <f>'INTELLECTUAL CAPITAL (IC) X2'!Y25</f>
        <v>2.7858311142878773</v>
      </c>
      <c r="E23" s="61">
        <f>'NILAI PERUSAHAAN (PBV) Y'!E23</f>
        <v>1.5172319620085117E-2</v>
      </c>
      <c r="F23" s="64"/>
      <c r="G23" s="62"/>
    </row>
    <row r="24" spans="1:7" ht="15.75">
      <c r="A24" s="77"/>
      <c r="B24" s="57">
        <v>2017</v>
      </c>
      <c r="C24" s="58">
        <f>'KEBIJAKAN HUTANG (DER) X1'!E24</f>
        <v>0.88078805521105374</v>
      </c>
      <c r="D24" s="59">
        <f>'INTELLECTUAL CAPITAL (IC) X2'!Y26</f>
        <v>3.4568986947702469</v>
      </c>
      <c r="E24" s="61">
        <f>'NILAI PERUSAHAAN (PBV) Y'!E24</f>
        <v>1.5333284266823679E-2</v>
      </c>
      <c r="F24" s="64"/>
      <c r="G24" s="62"/>
    </row>
    <row r="25" spans="1:7" ht="15.75">
      <c r="A25" s="77"/>
      <c r="B25" s="57">
        <v>2018</v>
      </c>
      <c r="C25" s="58">
        <f>'KEBIJAKAN HUTANG (DER) X1'!E25</f>
        <v>0.933974052823899</v>
      </c>
      <c r="D25" s="59">
        <f>'INTELLECTUAL CAPITAL (IC) X2'!Y27</f>
        <v>3.5448729505012135</v>
      </c>
      <c r="E25" s="61">
        <f>'NILAI PERUSAHAAN (PBV) Y'!E25</f>
        <v>1.49934029027228E-2</v>
      </c>
      <c r="F25" s="64"/>
      <c r="G25" s="62"/>
    </row>
    <row r="26" spans="1:7" ht="15.75">
      <c r="A26" s="77"/>
      <c r="B26" s="57">
        <v>2019</v>
      </c>
      <c r="C26" s="58">
        <f>'KEBIJAKAN HUTANG (DER) X1'!E26</f>
        <v>0.43655613386059139</v>
      </c>
      <c r="D26" s="59">
        <f>'INTELLECTUAL CAPITAL (IC) X2'!Y28</f>
        <v>3.0241029083389961</v>
      </c>
      <c r="E26" s="61">
        <f>'NILAI PERUSAHAAN (PBV) Y'!E26</f>
        <v>1.3752869192335251E-2</v>
      </c>
      <c r="F26" s="64"/>
      <c r="G26" s="62"/>
    </row>
    <row r="27" spans="1:7" ht="15.75">
      <c r="A27" s="77"/>
      <c r="B27" s="57">
        <v>2020</v>
      </c>
      <c r="C27" s="58">
        <f>'KEBIJAKAN HUTANG (DER) X1'!E27</f>
        <v>1.0614170853148708</v>
      </c>
      <c r="D27" s="59">
        <f>'INTELLECTUAL CAPITAL (IC) X2'!Y29</f>
        <v>3.4335403124968247</v>
      </c>
      <c r="E27" s="61">
        <f>'NILAI PERUSAHAAN (PBV) Y'!E27</f>
        <v>1.5253435836422155E-2</v>
      </c>
      <c r="F27" s="64"/>
      <c r="G27" s="62"/>
    </row>
    <row r="28" spans="1:7" ht="15.75">
      <c r="A28" s="77" t="s">
        <v>11</v>
      </c>
      <c r="B28" s="57">
        <v>2016</v>
      </c>
      <c r="C28" s="58">
        <f>'KEBIJAKAN HUTANG (DER) X1'!E28</f>
        <v>1.0591717959900737</v>
      </c>
      <c r="D28" s="59">
        <f>'INTELLECTUAL CAPITAL (IC) X2'!Y30</f>
        <v>1.2304735681706702</v>
      </c>
      <c r="E28" s="61">
        <f>'NILAI PERUSAHAAN (PBV) Y'!E28</f>
        <v>1.2008910611673862E-2</v>
      </c>
      <c r="F28" s="64"/>
      <c r="G28" s="62"/>
    </row>
    <row r="29" spans="1:7" ht="15.75">
      <c r="A29" s="77"/>
      <c r="B29" s="57">
        <v>2017</v>
      </c>
      <c r="C29" s="58">
        <f>'KEBIJAKAN HUTANG (DER) X1'!E29</f>
        <v>1.0281679781989441</v>
      </c>
      <c r="D29" s="59">
        <f>'INTELLECTUAL CAPITAL (IC) X2'!Y31</f>
        <v>1.6122614176714882</v>
      </c>
      <c r="E29" s="61">
        <f>'NILAI PERUSAHAAN (PBV) Y'!E29</f>
        <v>1.0486962084388584E-2</v>
      </c>
      <c r="F29" s="64"/>
      <c r="G29" s="62"/>
    </row>
    <row r="30" spans="1:7" ht="15.75">
      <c r="A30" s="77"/>
      <c r="B30" s="57">
        <v>2018</v>
      </c>
      <c r="C30" s="58">
        <f>'KEBIJAKAN HUTANG (DER) X1'!E30</f>
        <v>1.0593052180567091</v>
      </c>
      <c r="D30" s="59">
        <f>'INTELLECTUAL CAPITAL (IC) X2'!Y32</f>
        <v>2.1328444109228317</v>
      </c>
      <c r="E30" s="61">
        <f>'NILAI PERUSAHAAN (PBV) Y'!E30</f>
        <v>8.0151968131577465E-3</v>
      </c>
      <c r="F30" s="64"/>
      <c r="G30" s="62"/>
    </row>
    <row r="31" spans="1:7" ht="15.75">
      <c r="A31" s="77"/>
      <c r="B31" s="57">
        <v>2019</v>
      </c>
      <c r="C31" s="58">
        <f>'KEBIJAKAN HUTANG (DER) X1'!E31</f>
        <v>0.92070557643858097</v>
      </c>
      <c r="D31" s="59">
        <f>'INTELLECTUAL CAPITAL (IC) X2'!Y33</f>
        <v>1.9902697919962842</v>
      </c>
      <c r="E31" s="61">
        <f>'NILAI PERUSAHAAN (PBV) Y'!E31</f>
        <v>1.0124019235636548E-2</v>
      </c>
      <c r="F31" s="64"/>
      <c r="G31" s="62"/>
    </row>
    <row r="32" spans="1:7" ht="15.75">
      <c r="A32" s="77"/>
      <c r="B32" s="57">
        <v>2020</v>
      </c>
      <c r="C32" s="58">
        <f>'KEBIJAKAN HUTANG (DER) X1'!E32</f>
        <v>0.75465169460545078</v>
      </c>
      <c r="D32" s="59">
        <f>'INTELLECTUAL CAPITAL (IC) X2'!Y34</f>
        <v>2.4860089668589427</v>
      </c>
      <c r="E32" s="61">
        <f>'NILAI PERUSAHAAN (PBV) Y'!E32</f>
        <v>7.556265844544943E-3</v>
      </c>
      <c r="F32" s="64"/>
      <c r="G32" s="62"/>
    </row>
    <row r="33" spans="1:7" ht="15.75">
      <c r="A33" s="77" t="s">
        <v>13</v>
      </c>
      <c r="B33" s="57">
        <v>2016</v>
      </c>
      <c r="C33" s="58">
        <f>'KEBIJAKAN HUTANG (DER) X1'!E33</f>
        <v>1.3325501326923039</v>
      </c>
      <c r="D33" s="59">
        <f>'INTELLECTUAL CAPITAL (IC) X2'!Y35</f>
        <v>-1.0981303600411341</v>
      </c>
      <c r="E33" s="61">
        <f>'NILAI PERUSAHAAN (PBV) Y'!E33</f>
        <v>1.1824324324324325</v>
      </c>
      <c r="F33" s="64"/>
      <c r="G33" s="62"/>
    </row>
    <row r="34" spans="1:7" ht="15.75">
      <c r="A34" s="77"/>
      <c r="B34" s="57">
        <v>2017</v>
      </c>
      <c r="C34" s="58">
        <f>'KEBIJAKAN HUTANG (DER) X1'!E34</f>
        <v>1.3070735293864455</v>
      </c>
      <c r="D34" s="59">
        <f>'INTELLECTUAL CAPITAL (IC) X2'!Y36</f>
        <v>3.2359884440687399</v>
      </c>
      <c r="E34" s="61">
        <f>'NILAI PERUSAHAAN (PBV) Y'!E34</f>
        <v>0.68359375</v>
      </c>
      <c r="F34" s="64"/>
      <c r="G34" s="62"/>
    </row>
    <row r="35" spans="1:7" ht="15.75">
      <c r="A35" s="77"/>
      <c r="B35" s="57">
        <v>2018</v>
      </c>
      <c r="C35" s="58">
        <f>'KEBIJAKAN HUTANG (DER) X1'!E35</f>
        <v>1.8722340261808166</v>
      </c>
      <c r="D35" s="59">
        <f>'INTELLECTUAL CAPITAL (IC) X2'!Y37</f>
        <v>0.93243937932774013</v>
      </c>
      <c r="E35" s="61">
        <f>'NILAI PERUSAHAAN (PBV) Y'!E35</f>
        <v>0.91145833333333337</v>
      </c>
      <c r="F35" s="64"/>
      <c r="G35" s="62"/>
    </row>
    <row r="36" spans="1:7" ht="15.75">
      <c r="A36" s="77"/>
      <c r="B36" s="57">
        <v>2019</v>
      </c>
      <c r="C36" s="58">
        <f>'KEBIJAKAN HUTANG (DER) X1'!E36</f>
        <v>1.9851395650735726</v>
      </c>
      <c r="D36" s="59">
        <f>'INTELLECTUAL CAPITAL (IC) X2'!Y38</f>
        <v>1.9374962564752969</v>
      </c>
      <c r="E36" s="61">
        <f>'NILAI PERUSAHAAN (PBV) Y'!E36</f>
        <v>1.1437908496732025</v>
      </c>
      <c r="F36" s="64"/>
      <c r="G36" s="62"/>
    </row>
    <row r="37" spans="1:7" ht="15.75">
      <c r="A37" s="77"/>
      <c r="B37" s="57">
        <v>2020</v>
      </c>
      <c r="C37" s="58">
        <f>'KEBIJAKAN HUTANG (DER) X1'!E37</f>
        <v>1.8426992988038799</v>
      </c>
      <c r="D37" s="59">
        <f>'INTELLECTUAL CAPITAL (IC) X2'!Y39</f>
        <v>0.17438298770633986</v>
      </c>
      <c r="E37" s="61">
        <f>'NILAI PERUSAHAAN (PBV) Y'!E37</f>
        <v>1.3461538461538463</v>
      </c>
      <c r="F37" s="64"/>
      <c r="G37" s="62"/>
    </row>
    <row r="38" spans="1:7" ht="15.75">
      <c r="A38" s="77" t="s">
        <v>12</v>
      </c>
      <c r="B38" s="57">
        <v>2016</v>
      </c>
      <c r="C38" s="58">
        <f>'KEBIJAKAN HUTANG (DER) X1'!E38</f>
        <v>0.2149374948591854</v>
      </c>
      <c r="D38" s="59">
        <f>'INTELLECTUAL CAPITAL (IC) X2'!Y40</f>
        <v>3.6381239594832246</v>
      </c>
      <c r="E38" s="61">
        <f>'NILAI PERUSAHAAN (PBV) Y'!E38</f>
        <v>0.19820034090458635</v>
      </c>
      <c r="F38" s="64"/>
      <c r="G38" s="62"/>
    </row>
    <row r="39" spans="1:7" ht="15.75">
      <c r="A39" s="77"/>
      <c r="B39" s="57">
        <v>2017</v>
      </c>
      <c r="C39" s="58">
        <f>'KEBIJAKAN HUTANG (DER) X1'!E39</f>
        <v>0.23241671230565808</v>
      </c>
      <c r="D39" s="59">
        <f>'INTELLECTUAL CAPITAL (IC) X2'!Y41</f>
        <v>3.6990000495384363</v>
      </c>
      <c r="E39" s="61">
        <f>'NILAI PERUSAHAAN (PBV) Y'!E39</f>
        <v>4.1769000718426812E-2</v>
      </c>
      <c r="F39" s="64"/>
      <c r="G39" s="62"/>
    </row>
    <row r="40" spans="1:7" ht="15.75">
      <c r="A40" s="77"/>
      <c r="B40" s="57">
        <v>2018</v>
      </c>
      <c r="C40" s="58">
        <f>'KEBIJAKAN HUTANG (DER) X1'!E40</f>
        <v>0.16354391537848725</v>
      </c>
      <c r="D40" s="59">
        <f>'INTELLECTUAL CAPITAL (IC) X2'!Y42</f>
        <v>3.1827619859451599</v>
      </c>
      <c r="E40" s="61">
        <f>'NILAI PERUSAHAAN (PBV) Y'!E40</f>
        <v>3.9741521146463399E-2</v>
      </c>
      <c r="F40" s="64"/>
      <c r="G40" s="62"/>
    </row>
    <row r="41" spans="1:7" ht="15.75">
      <c r="A41" s="77"/>
      <c r="B41" s="57">
        <v>2019</v>
      </c>
      <c r="C41" s="58">
        <f>'KEBIJAKAN HUTANG (DER) X1'!E41</f>
        <v>0.16827177585580866</v>
      </c>
      <c r="D41" s="58">
        <f>'INTELLECTUAL CAPITAL (IC) X2'!Y43</f>
        <v>4.0475993445399414</v>
      </c>
      <c r="E41" s="61">
        <f>'NILAI PERUSAHAAN (PBV) Y'!E41</f>
        <v>3.1662402796423413E-2</v>
      </c>
      <c r="F41" s="64"/>
      <c r="G41" s="62"/>
    </row>
    <row r="42" spans="1:7" ht="15.75">
      <c r="A42" s="77"/>
      <c r="B42" s="57">
        <v>2020</v>
      </c>
      <c r="C42" s="58">
        <f>'KEBIJAKAN HUTANG (DER) X1'!E42</f>
        <v>0.83073975001134526</v>
      </c>
      <c r="D42" s="58">
        <f>'INTELLECTUAL CAPITAL (IC) X2'!Y44</f>
        <v>4.0009967875251871</v>
      </c>
      <c r="E42" s="61">
        <f>'NILAI PERUSAHAAN (PBV) Y'!E42</f>
        <v>3.3020737022850348E-2</v>
      </c>
      <c r="F42" s="64"/>
      <c r="G42" s="62"/>
    </row>
  </sheetData>
  <mergeCells count="15">
    <mergeCell ref="A38:A42"/>
    <mergeCell ref="A3:A7"/>
    <mergeCell ref="A8:A12"/>
    <mergeCell ref="A13:A17"/>
    <mergeCell ref="A18:A22"/>
    <mergeCell ref="A1:A2"/>
    <mergeCell ref="B1:B2"/>
    <mergeCell ref="A23:A27"/>
    <mergeCell ref="A28:A32"/>
    <mergeCell ref="A33:A37"/>
    <mergeCell ref="D1:D2"/>
    <mergeCell ref="F1:F2"/>
    <mergeCell ref="G1:G2"/>
    <mergeCell ref="E1:E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KEBIJAKAN HUTANG (DER) X1</vt:lpstr>
      <vt:lpstr>INTELLECTUAL CAPITAL (IC) X2</vt:lpstr>
      <vt:lpstr>NILAI PERUSAHAAN (PBV) Y</vt:lpstr>
      <vt:lpstr>TABULASI DATA (FIX)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YENNY</dc:creator>
  <cp:lastModifiedBy>Owner</cp:lastModifiedBy>
  <dcterms:created xsi:type="dcterms:W3CDTF">2021-12-16T06:24:10Z</dcterms:created>
  <dcterms:modified xsi:type="dcterms:W3CDTF">2023-07-14T14:47:47Z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3cbb3721931147529ebc67af02569a47</vt:lpwstr>
  </property>
</Properties>
</file>