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FILE SKRIPSI\PERHITUNGAN EXCEL\"/>
    </mc:Choice>
  </mc:AlternateContent>
  <bookViews>
    <workbookView xWindow="0" yWindow="0" windowWidth="20490" windowHeight="7650" activeTab="4"/>
  </bookViews>
  <sheets>
    <sheet name="7 HST" sheetId="1" r:id="rId1"/>
    <sheet name="14 HST" sheetId="2" r:id="rId2"/>
    <sheet name="21 HST" sheetId="3" r:id="rId3"/>
    <sheet name="28 HST" sheetId="4" r:id="rId4"/>
    <sheet name="35 HST" sheetId="5" r:id="rId5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37" i="5" l="1"/>
  <c r="J36" i="5"/>
  <c r="J35" i="5"/>
  <c r="J33" i="5"/>
  <c r="J32" i="5"/>
  <c r="J37" i="4"/>
  <c r="J36" i="4"/>
  <c r="J35" i="4"/>
  <c r="J33" i="4"/>
  <c r="J32" i="4"/>
  <c r="J37" i="3"/>
  <c r="J36" i="3"/>
  <c r="J35" i="3"/>
  <c r="J33" i="3"/>
  <c r="J32" i="3"/>
  <c r="J37" i="2"/>
  <c r="J36" i="2"/>
  <c r="J35" i="2"/>
  <c r="J33" i="2"/>
  <c r="J32" i="2"/>
  <c r="J37" i="1"/>
  <c r="J36" i="1"/>
  <c r="J35" i="1"/>
  <c r="J33" i="1"/>
  <c r="J32" i="1"/>
  <c r="F28" i="1" l="1"/>
  <c r="F27" i="1"/>
  <c r="F28" i="2"/>
  <c r="F27" i="2"/>
  <c r="F28" i="3"/>
  <c r="F27" i="3"/>
  <c r="F28" i="4"/>
  <c r="F27" i="4"/>
  <c r="F28" i="5"/>
  <c r="F27" i="5"/>
  <c r="F22" i="5" l="1"/>
  <c r="F22" i="4"/>
  <c r="F22" i="3"/>
  <c r="F22" i="2"/>
  <c r="F22" i="1"/>
  <c r="P10" i="5" l="1"/>
  <c r="O10" i="5"/>
  <c r="N10" i="5"/>
  <c r="P9" i="5"/>
  <c r="O9" i="5"/>
  <c r="N9" i="5"/>
  <c r="P8" i="5"/>
  <c r="O8" i="5"/>
  <c r="N8" i="5"/>
  <c r="O7" i="5"/>
  <c r="N7" i="5"/>
  <c r="O6" i="5"/>
  <c r="N6" i="5"/>
  <c r="O5" i="5"/>
  <c r="N5" i="5"/>
  <c r="J10" i="5"/>
  <c r="I10" i="5"/>
  <c r="H10" i="5"/>
  <c r="J9" i="5"/>
  <c r="I9" i="5"/>
  <c r="H9" i="5"/>
  <c r="I8" i="5"/>
  <c r="H8" i="5"/>
  <c r="I7" i="5"/>
  <c r="H7" i="5"/>
  <c r="I6" i="5"/>
  <c r="H6" i="5"/>
  <c r="I5" i="5"/>
  <c r="H5" i="5"/>
  <c r="D8" i="5"/>
  <c r="D7" i="5"/>
  <c r="C10" i="5"/>
  <c r="B10" i="5"/>
  <c r="C9" i="5"/>
  <c r="B9" i="5"/>
  <c r="C8" i="5"/>
  <c r="B8" i="5"/>
  <c r="C7" i="5"/>
  <c r="B7" i="5"/>
  <c r="C6" i="5"/>
  <c r="B6" i="5"/>
  <c r="C5" i="5"/>
  <c r="B5" i="5"/>
  <c r="J28" i="5"/>
  <c r="J25" i="5"/>
  <c r="J24" i="5"/>
  <c r="J23" i="5"/>
  <c r="J26" i="5" s="1"/>
  <c r="J22" i="5"/>
  <c r="J27" i="5" s="1"/>
  <c r="Q10" i="5"/>
  <c r="D21" i="5" s="1"/>
  <c r="K10" i="5"/>
  <c r="C21" i="5" s="1"/>
  <c r="E10" i="5"/>
  <c r="B21" i="5" s="1"/>
  <c r="Q9" i="5"/>
  <c r="D20" i="5" s="1"/>
  <c r="K9" i="5"/>
  <c r="C20" i="5" s="1"/>
  <c r="E9" i="5"/>
  <c r="B20" i="5" s="1"/>
  <c r="Q8" i="5"/>
  <c r="D19" i="5" s="1"/>
  <c r="K8" i="5"/>
  <c r="C19" i="5" s="1"/>
  <c r="E8" i="5"/>
  <c r="B19" i="5" s="1"/>
  <c r="Q7" i="5"/>
  <c r="D18" i="5" s="1"/>
  <c r="K7" i="5"/>
  <c r="C18" i="5" s="1"/>
  <c r="E7" i="5"/>
  <c r="B18" i="5" s="1"/>
  <c r="Q6" i="5"/>
  <c r="D17" i="5" s="1"/>
  <c r="K6" i="5"/>
  <c r="C17" i="5" s="1"/>
  <c r="E6" i="5"/>
  <c r="B17" i="5" s="1"/>
  <c r="Q5" i="5"/>
  <c r="D16" i="5" s="1"/>
  <c r="K5" i="5"/>
  <c r="C16" i="5" s="1"/>
  <c r="E5" i="5"/>
  <c r="B16" i="5" s="1"/>
  <c r="P10" i="4"/>
  <c r="O10" i="4"/>
  <c r="N10" i="4"/>
  <c r="P9" i="4"/>
  <c r="O9" i="4"/>
  <c r="N9" i="4"/>
  <c r="O8" i="4"/>
  <c r="N8" i="4"/>
  <c r="O7" i="4"/>
  <c r="N7" i="4"/>
  <c r="O6" i="4"/>
  <c r="N6" i="4"/>
  <c r="O5" i="4"/>
  <c r="N5" i="4"/>
  <c r="J10" i="4"/>
  <c r="I10" i="4"/>
  <c r="H10" i="4"/>
  <c r="J9" i="4"/>
  <c r="I9" i="4"/>
  <c r="H9" i="4"/>
  <c r="I8" i="4"/>
  <c r="H8" i="4"/>
  <c r="I7" i="4"/>
  <c r="H7" i="4"/>
  <c r="I6" i="4"/>
  <c r="H6" i="4"/>
  <c r="I5" i="4"/>
  <c r="H5" i="4"/>
  <c r="C10" i="4"/>
  <c r="B10" i="4"/>
  <c r="C9" i="4"/>
  <c r="B9" i="4"/>
  <c r="D8" i="4"/>
  <c r="B8" i="4"/>
  <c r="D7" i="4"/>
  <c r="C7" i="4"/>
  <c r="B7" i="4"/>
  <c r="C6" i="4"/>
  <c r="B6" i="4"/>
  <c r="C5" i="4"/>
  <c r="B5" i="4"/>
  <c r="J28" i="4"/>
  <c r="J27" i="4" s="1"/>
  <c r="J26" i="4"/>
  <c r="P26" i="4" s="1"/>
  <c r="J25" i="4"/>
  <c r="P25" i="4" s="1"/>
  <c r="J24" i="4"/>
  <c r="O24" i="4" s="1"/>
  <c r="J23" i="4"/>
  <c r="P23" i="4" s="1"/>
  <c r="J22" i="4"/>
  <c r="P22" i="4" s="1"/>
  <c r="Q10" i="4"/>
  <c r="D21" i="4" s="1"/>
  <c r="K10" i="4"/>
  <c r="C21" i="4" s="1"/>
  <c r="E10" i="4"/>
  <c r="B21" i="4" s="1"/>
  <c r="Q9" i="4"/>
  <c r="D20" i="4" s="1"/>
  <c r="K9" i="4"/>
  <c r="C20" i="4" s="1"/>
  <c r="E9" i="4"/>
  <c r="B20" i="4" s="1"/>
  <c r="P8" i="4"/>
  <c r="Q8" i="4"/>
  <c r="D19" i="4" s="1"/>
  <c r="K8" i="4"/>
  <c r="C19" i="4" s="1"/>
  <c r="C8" i="4"/>
  <c r="E8" i="4"/>
  <c r="B19" i="4" s="1"/>
  <c r="Q7" i="4"/>
  <c r="D18" i="4" s="1"/>
  <c r="K7" i="4"/>
  <c r="C18" i="4" s="1"/>
  <c r="E7" i="4"/>
  <c r="B18" i="4" s="1"/>
  <c r="Q6" i="4"/>
  <c r="D17" i="4" s="1"/>
  <c r="K6" i="4"/>
  <c r="C17" i="4" s="1"/>
  <c r="E6" i="4"/>
  <c r="B17" i="4" s="1"/>
  <c r="Q5" i="4"/>
  <c r="D16" i="4" s="1"/>
  <c r="K5" i="4"/>
  <c r="C16" i="4" s="1"/>
  <c r="E5" i="4"/>
  <c r="B16" i="4" s="1"/>
  <c r="C22" i="5" l="1"/>
  <c r="F16" i="5"/>
  <c r="B22" i="5"/>
  <c r="E16" i="5"/>
  <c r="D22" i="5"/>
  <c r="E18" i="5"/>
  <c r="D27" i="5" s="1"/>
  <c r="F18" i="5"/>
  <c r="P26" i="5"/>
  <c r="O26" i="5"/>
  <c r="F19" i="5"/>
  <c r="E19" i="5"/>
  <c r="B28" i="5" s="1"/>
  <c r="O24" i="5"/>
  <c r="F17" i="5"/>
  <c r="E17" i="5"/>
  <c r="C27" i="5" s="1"/>
  <c r="P25" i="5"/>
  <c r="F20" i="5"/>
  <c r="E20" i="5"/>
  <c r="C28" i="5" s="1"/>
  <c r="F21" i="5"/>
  <c r="E21" i="5"/>
  <c r="D28" i="5" s="1"/>
  <c r="P22" i="5"/>
  <c r="P23" i="5"/>
  <c r="O22" i="5"/>
  <c r="O23" i="5"/>
  <c r="P24" i="5"/>
  <c r="O25" i="5"/>
  <c r="D22" i="4"/>
  <c r="C22" i="4"/>
  <c r="F17" i="4"/>
  <c r="E17" i="4"/>
  <c r="C27" i="4" s="1"/>
  <c r="E18" i="4"/>
  <c r="D27" i="4" s="1"/>
  <c r="F18" i="4"/>
  <c r="F21" i="4"/>
  <c r="E21" i="4"/>
  <c r="D28" i="4" s="1"/>
  <c r="E19" i="4"/>
  <c r="B28" i="4" s="1"/>
  <c r="F19" i="4"/>
  <c r="F20" i="4"/>
  <c r="E20" i="4"/>
  <c r="C28" i="4" s="1"/>
  <c r="E16" i="4"/>
  <c r="F16" i="4"/>
  <c r="B22" i="4"/>
  <c r="P24" i="4"/>
  <c r="O23" i="4"/>
  <c r="O22" i="4"/>
  <c r="O26" i="4"/>
  <c r="O25" i="4"/>
  <c r="B27" i="5" l="1"/>
  <c r="E22" i="5"/>
  <c r="J17" i="5" s="1"/>
  <c r="E28" i="5"/>
  <c r="C29" i="5"/>
  <c r="D29" i="5"/>
  <c r="D29" i="4"/>
  <c r="C29" i="4"/>
  <c r="B27" i="4"/>
  <c r="E22" i="4"/>
  <c r="J17" i="4" s="1"/>
  <c r="E28" i="4"/>
  <c r="D30" i="5" l="1"/>
  <c r="K28" i="5"/>
  <c r="K22" i="5"/>
  <c r="L22" i="5" s="1"/>
  <c r="K23" i="5"/>
  <c r="C30" i="5"/>
  <c r="B29" i="5"/>
  <c r="K25" i="5" s="1"/>
  <c r="L25" i="5" s="1"/>
  <c r="E27" i="5"/>
  <c r="D30" i="4"/>
  <c r="K28" i="4"/>
  <c r="K22" i="4"/>
  <c r="L22" i="4" s="1"/>
  <c r="K23" i="4"/>
  <c r="B29" i="4"/>
  <c r="E27" i="4"/>
  <c r="C30" i="4"/>
  <c r="K27" i="5" l="1"/>
  <c r="L27" i="5" s="1"/>
  <c r="M25" i="5" s="1"/>
  <c r="N25" i="5" s="1"/>
  <c r="E29" i="5"/>
  <c r="B30" i="5"/>
  <c r="L23" i="5"/>
  <c r="K24" i="5"/>
  <c r="L24" i="5" s="1"/>
  <c r="B30" i="4"/>
  <c r="K27" i="4"/>
  <c r="L27" i="4" s="1"/>
  <c r="K25" i="4"/>
  <c r="L25" i="4" s="1"/>
  <c r="E29" i="4"/>
  <c r="L23" i="4"/>
  <c r="K24" i="4"/>
  <c r="L24" i="4" s="1"/>
  <c r="M22" i="5" l="1"/>
  <c r="N22" i="5" s="1"/>
  <c r="M24" i="5"/>
  <c r="N24" i="5" s="1"/>
  <c r="J34" i="5"/>
  <c r="L33" i="5" s="1"/>
  <c r="M23" i="5"/>
  <c r="N23" i="5" s="1"/>
  <c r="J38" i="5"/>
  <c r="L38" i="5" s="1"/>
  <c r="K26" i="5"/>
  <c r="L26" i="5" s="1"/>
  <c r="M26" i="5" s="1"/>
  <c r="N26" i="5" s="1"/>
  <c r="K26" i="4"/>
  <c r="L26" i="4" s="1"/>
  <c r="M26" i="4" s="1"/>
  <c r="N26" i="4" s="1"/>
  <c r="J38" i="4"/>
  <c r="J34" i="4"/>
  <c r="M24" i="4"/>
  <c r="N24" i="4" s="1"/>
  <c r="M23" i="4"/>
  <c r="N23" i="4" s="1"/>
  <c r="M25" i="4"/>
  <c r="N25" i="4" s="1"/>
  <c r="M22" i="4"/>
  <c r="N22" i="4" s="1"/>
  <c r="L34" i="5" l="1"/>
  <c r="L37" i="5"/>
  <c r="L33" i="4"/>
  <c r="L34" i="4"/>
  <c r="L38" i="4"/>
  <c r="L37" i="4"/>
  <c r="P10" i="3" l="1"/>
  <c r="O10" i="3"/>
  <c r="N10" i="3"/>
  <c r="P9" i="3"/>
  <c r="P8" i="3"/>
  <c r="O8" i="3"/>
  <c r="N8" i="3"/>
  <c r="O7" i="3"/>
  <c r="N7" i="3"/>
  <c r="O6" i="3"/>
  <c r="N6" i="3"/>
  <c r="O5" i="3"/>
  <c r="J10" i="3"/>
  <c r="I10" i="3"/>
  <c r="H10" i="3"/>
  <c r="I9" i="3"/>
  <c r="H9" i="3"/>
  <c r="I8" i="3"/>
  <c r="H8" i="3"/>
  <c r="I7" i="3"/>
  <c r="H7" i="3"/>
  <c r="I6" i="3"/>
  <c r="H6" i="3"/>
  <c r="I5" i="3"/>
  <c r="H5" i="3"/>
  <c r="K5" i="3"/>
  <c r="C16" i="3" s="1"/>
  <c r="C10" i="3"/>
  <c r="B10" i="3"/>
  <c r="C9" i="3"/>
  <c r="B9" i="3"/>
  <c r="D8" i="3"/>
  <c r="B8" i="3"/>
  <c r="D7" i="3"/>
  <c r="C7" i="3"/>
  <c r="E8" i="3"/>
  <c r="B19" i="3" s="1"/>
  <c r="C6" i="3"/>
  <c r="B6" i="3"/>
  <c r="C5" i="3"/>
  <c r="B5" i="3"/>
  <c r="J28" i="3"/>
  <c r="J26" i="3"/>
  <c r="J25" i="3"/>
  <c r="J24" i="3"/>
  <c r="J23" i="3"/>
  <c r="J22" i="3"/>
  <c r="Q10" i="3"/>
  <c r="D21" i="3" s="1"/>
  <c r="K10" i="3"/>
  <c r="C21" i="3" s="1"/>
  <c r="E10" i="3"/>
  <c r="B21" i="3" s="1"/>
  <c r="Q9" i="3"/>
  <c r="D20" i="3" s="1"/>
  <c r="O9" i="3"/>
  <c r="N9" i="3"/>
  <c r="K9" i="3"/>
  <c r="C20" i="3" s="1"/>
  <c r="J9" i="3"/>
  <c r="E9" i="3"/>
  <c r="B20" i="3" s="1"/>
  <c r="Q8" i="3"/>
  <c r="D19" i="3" s="1"/>
  <c r="K8" i="3"/>
  <c r="C19" i="3" s="1"/>
  <c r="C8" i="3"/>
  <c r="Q7" i="3"/>
  <c r="D18" i="3" s="1"/>
  <c r="K7" i="3"/>
  <c r="C18" i="3" s="1"/>
  <c r="E7" i="3"/>
  <c r="B18" i="3" s="1"/>
  <c r="B7" i="3"/>
  <c r="Q6" i="3"/>
  <c r="D17" i="3" s="1"/>
  <c r="K6" i="3"/>
  <c r="C17" i="3" s="1"/>
  <c r="E6" i="3"/>
  <c r="B17" i="3" s="1"/>
  <c r="Q5" i="3"/>
  <c r="D16" i="3" s="1"/>
  <c r="N5" i="3"/>
  <c r="E5" i="3"/>
  <c r="B16" i="3" s="1"/>
  <c r="F19" i="3" l="1"/>
  <c r="E18" i="3"/>
  <c r="D27" i="3" s="1"/>
  <c r="F16" i="3"/>
  <c r="C22" i="3"/>
  <c r="F17" i="3"/>
  <c r="E17" i="3"/>
  <c r="C27" i="3" s="1"/>
  <c r="F21" i="3"/>
  <c r="E21" i="3"/>
  <c r="D28" i="3" s="1"/>
  <c r="F18" i="3"/>
  <c r="B22" i="3"/>
  <c r="P25" i="3"/>
  <c r="D22" i="3"/>
  <c r="F20" i="3"/>
  <c r="E20" i="3"/>
  <c r="C28" i="3" s="1"/>
  <c r="E16" i="3"/>
  <c r="E19" i="3"/>
  <c r="B28" i="3" s="1"/>
  <c r="P22" i="3"/>
  <c r="O22" i="3"/>
  <c r="J27" i="3"/>
  <c r="P26" i="3"/>
  <c r="O24" i="3"/>
  <c r="O26" i="3"/>
  <c r="O25" i="3"/>
  <c r="D29" i="3" l="1"/>
  <c r="E28" i="3"/>
  <c r="C29" i="3"/>
  <c r="P23" i="3"/>
  <c r="P24" i="3"/>
  <c r="O23" i="3"/>
  <c r="B27" i="3"/>
  <c r="E22" i="3"/>
  <c r="J17" i="3" s="1"/>
  <c r="D30" i="3"/>
  <c r="K28" i="3" l="1"/>
  <c r="K22" i="3"/>
  <c r="L22" i="3" s="1"/>
  <c r="K23" i="3"/>
  <c r="B29" i="3"/>
  <c r="E27" i="3"/>
  <c r="C30" i="3"/>
  <c r="B30" i="3" l="1"/>
  <c r="K27" i="3"/>
  <c r="L27" i="3" s="1"/>
  <c r="E29" i="3"/>
  <c r="K25" i="3"/>
  <c r="L25" i="3" s="1"/>
  <c r="L23" i="3"/>
  <c r="K24" i="3"/>
  <c r="L24" i="3" s="1"/>
  <c r="K26" i="3" l="1"/>
  <c r="L26" i="3" s="1"/>
  <c r="M26" i="3" s="1"/>
  <c r="N26" i="3" s="1"/>
  <c r="J38" i="3"/>
  <c r="J34" i="3"/>
  <c r="M25" i="3"/>
  <c r="N25" i="3" s="1"/>
  <c r="M24" i="3"/>
  <c r="N24" i="3" s="1"/>
  <c r="M23" i="3"/>
  <c r="N23" i="3" s="1"/>
  <c r="M22" i="3"/>
  <c r="N22" i="3" s="1"/>
  <c r="L33" i="3" l="1"/>
  <c r="L34" i="3"/>
  <c r="L38" i="3"/>
  <c r="L37" i="3"/>
  <c r="L38" i="2" l="1"/>
  <c r="L37" i="2"/>
  <c r="L34" i="2"/>
  <c r="L33" i="2"/>
  <c r="J38" i="2"/>
  <c r="J34" i="2"/>
  <c r="P10" i="2" l="1"/>
  <c r="O10" i="2"/>
  <c r="O9" i="2"/>
  <c r="N9" i="2"/>
  <c r="O8" i="2"/>
  <c r="O5" i="2"/>
  <c r="P5" i="2"/>
  <c r="N5" i="2"/>
  <c r="I10" i="2"/>
  <c r="J10" i="2"/>
  <c r="K10" i="2" s="1"/>
  <c r="C21" i="2" s="1"/>
  <c r="H10" i="2"/>
  <c r="J9" i="2"/>
  <c r="I9" i="2"/>
  <c r="H9" i="2"/>
  <c r="J8" i="2"/>
  <c r="I8" i="2"/>
  <c r="J7" i="2"/>
  <c r="I7" i="2"/>
  <c r="H7" i="2"/>
  <c r="J6" i="2"/>
  <c r="I6" i="2"/>
  <c r="H6" i="2"/>
  <c r="H5" i="2"/>
  <c r="D10" i="2"/>
  <c r="C10" i="2"/>
  <c r="B10" i="2"/>
  <c r="C9" i="2"/>
  <c r="D8" i="2"/>
  <c r="C8" i="2"/>
  <c r="B8" i="2"/>
  <c r="D7" i="2"/>
  <c r="C7" i="2"/>
  <c r="B7" i="2"/>
  <c r="D6" i="2"/>
  <c r="C6" i="2"/>
  <c r="B6" i="2"/>
  <c r="D5" i="2"/>
  <c r="B5" i="2"/>
  <c r="E5" i="2" s="1"/>
  <c r="B16" i="2" s="1"/>
  <c r="J28" i="2"/>
  <c r="J26" i="2"/>
  <c r="J25" i="2"/>
  <c r="J24" i="2"/>
  <c r="J23" i="2"/>
  <c r="J22" i="2"/>
  <c r="Q10" i="2"/>
  <c r="D21" i="2" s="1"/>
  <c r="N10" i="2"/>
  <c r="E10" i="2"/>
  <c r="B21" i="2" s="1"/>
  <c r="Q9" i="2"/>
  <c r="D20" i="2" s="1"/>
  <c r="P9" i="2"/>
  <c r="K9" i="2"/>
  <c r="C20" i="2" s="1"/>
  <c r="E9" i="2"/>
  <c r="B20" i="2" s="1"/>
  <c r="D9" i="2"/>
  <c r="B9" i="2"/>
  <c r="Q8" i="2"/>
  <c r="D19" i="2" s="1"/>
  <c r="P8" i="2"/>
  <c r="N8" i="2"/>
  <c r="K8" i="2"/>
  <c r="C19" i="2" s="1"/>
  <c r="H8" i="2"/>
  <c r="E8" i="2"/>
  <c r="B19" i="2" s="1"/>
  <c r="Q7" i="2"/>
  <c r="D18" i="2" s="1"/>
  <c r="P7" i="2"/>
  <c r="O7" i="2"/>
  <c r="N7" i="2"/>
  <c r="K7" i="2"/>
  <c r="C18" i="2" s="1"/>
  <c r="E7" i="2"/>
  <c r="B18" i="2" s="1"/>
  <c r="Q6" i="2"/>
  <c r="D17" i="2" s="1"/>
  <c r="P6" i="2"/>
  <c r="O6" i="2"/>
  <c r="N6" i="2"/>
  <c r="K6" i="2"/>
  <c r="C17" i="2" s="1"/>
  <c r="E6" i="2"/>
  <c r="B17" i="2" s="1"/>
  <c r="Q5" i="2"/>
  <c r="D16" i="2" s="1"/>
  <c r="K5" i="2"/>
  <c r="C16" i="2" s="1"/>
  <c r="J5" i="2"/>
  <c r="I5" i="2"/>
  <c r="C5" i="2"/>
  <c r="D22" i="2" l="1"/>
  <c r="C22" i="2"/>
  <c r="B22" i="2"/>
  <c r="F16" i="2"/>
  <c r="E16" i="2"/>
  <c r="F17" i="2"/>
  <c r="E17" i="2"/>
  <c r="C27" i="2" s="1"/>
  <c r="E18" i="2"/>
  <c r="D27" i="2" s="1"/>
  <c r="F18" i="2"/>
  <c r="E19" i="2"/>
  <c r="B28" i="2" s="1"/>
  <c r="F19" i="2"/>
  <c r="F20" i="2"/>
  <c r="E20" i="2"/>
  <c r="C28" i="2" s="1"/>
  <c r="F21" i="2"/>
  <c r="E21" i="2"/>
  <c r="D28" i="2" s="1"/>
  <c r="J27" i="2"/>
  <c r="P22" i="2" s="1"/>
  <c r="C29" i="2" l="1"/>
  <c r="C30" i="2" s="1"/>
  <c r="E28" i="2"/>
  <c r="P26" i="2"/>
  <c r="O26" i="2"/>
  <c r="B27" i="2"/>
  <c r="E22" i="2"/>
  <c r="J17" i="2" s="1"/>
  <c r="P25" i="2"/>
  <c r="O24" i="2"/>
  <c r="O23" i="2"/>
  <c r="P24" i="2"/>
  <c r="O22" i="2"/>
  <c r="O25" i="2"/>
  <c r="D29" i="2"/>
  <c r="D30" i="2" s="1"/>
  <c r="P23" i="2"/>
  <c r="K23" i="2" l="1"/>
  <c r="K28" i="2"/>
  <c r="K22" i="2"/>
  <c r="L22" i="2" s="1"/>
  <c r="B29" i="2"/>
  <c r="B30" i="2" s="1"/>
  <c r="E27" i="2"/>
  <c r="E29" i="2" s="1"/>
  <c r="K27" i="2" l="1"/>
  <c r="L27" i="2" s="1"/>
  <c r="M22" i="2" s="1"/>
  <c r="N22" i="2" s="1"/>
  <c r="K25" i="2"/>
  <c r="L25" i="2" s="1"/>
  <c r="K24" i="2"/>
  <c r="L24" i="2" s="1"/>
  <c r="L23" i="2"/>
  <c r="M25" i="2" l="1"/>
  <c r="N25" i="2" s="1"/>
  <c r="M23" i="2"/>
  <c r="N23" i="2" s="1"/>
  <c r="K26" i="2"/>
  <c r="L26" i="2" s="1"/>
  <c r="M26" i="2" s="1"/>
  <c r="N26" i="2" s="1"/>
  <c r="M24" i="2"/>
  <c r="N24" i="2" s="1"/>
  <c r="O10" i="1" l="1"/>
  <c r="P10" i="1"/>
  <c r="N10" i="1"/>
  <c r="P9" i="1"/>
  <c r="O9" i="1"/>
  <c r="N9" i="1"/>
  <c r="P8" i="1"/>
  <c r="O8" i="1"/>
  <c r="N8" i="1"/>
  <c r="O7" i="1"/>
  <c r="P7" i="1"/>
  <c r="N7" i="1"/>
  <c r="O6" i="1"/>
  <c r="P6" i="1"/>
  <c r="N6" i="1"/>
  <c r="P5" i="1"/>
  <c r="O5" i="1"/>
  <c r="N5" i="1"/>
  <c r="J10" i="1"/>
  <c r="I10" i="1"/>
  <c r="H10" i="1"/>
  <c r="J9" i="1"/>
  <c r="I9" i="1"/>
  <c r="H9" i="1"/>
  <c r="I8" i="1"/>
  <c r="J8" i="1"/>
  <c r="H8" i="1"/>
  <c r="I7" i="1"/>
  <c r="J7" i="1"/>
  <c r="H7" i="1"/>
  <c r="I6" i="1"/>
  <c r="J6" i="1"/>
  <c r="H6" i="1"/>
  <c r="J5" i="1"/>
  <c r="I5" i="1"/>
  <c r="H5" i="1"/>
  <c r="D10" i="1"/>
  <c r="C10" i="1"/>
  <c r="B10" i="1"/>
  <c r="D9" i="1"/>
  <c r="C9" i="1"/>
  <c r="B9" i="1"/>
  <c r="D8" i="1"/>
  <c r="C8" i="1"/>
  <c r="B8" i="1"/>
  <c r="D7" i="1"/>
  <c r="C7" i="1"/>
  <c r="B7" i="1"/>
  <c r="C6" i="1"/>
  <c r="D6" i="1"/>
  <c r="B6" i="1"/>
  <c r="C5" i="1"/>
  <c r="D5" i="1"/>
  <c r="B5" i="1"/>
  <c r="J28" i="1" l="1"/>
  <c r="J25" i="1"/>
  <c r="J24" i="1"/>
  <c r="J23" i="1"/>
  <c r="J26" i="1" s="1"/>
  <c r="J22" i="1"/>
  <c r="Q10" i="1"/>
  <c r="D21" i="1" s="1"/>
  <c r="K10" i="1"/>
  <c r="C21" i="1" s="1"/>
  <c r="E10" i="1"/>
  <c r="B21" i="1" s="1"/>
  <c r="Q9" i="1"/>
  <c r="D20" i="1" s="1"/>
  <c r="K9" i="1"/>
  <c r="C20" i="1" s="1"/>
  <c r="E9" i="1"/>
  <c r="B20" i="1" s="1"/>
  <c r="Q8" i="1"/>
  <c r="D19" i="1" s="1"/>
  <c r="K8" i="1"/>
  <c r="C19" i="1" s="1"/>
  <c r="E8" i="1"/>
  <c r="B19" i="1" s="1"/>
  <c r="Q7" i="1"/>
  <c r="D18" i="1" s="1"/>
  <c r="K7" i="1"/>
  <c r="C18" i="1" s="1"/>
  <c r="E7" i="1"/>
  <c r="B18" i="1" s="1"/>
  <c r="Q6" i="1"/>
  <c r="D17" i="1" s="1"/>
  <c r="K6" i="1"/>
  <c r="C17" i="1" s="1"/>
  <c r="E6" i="1"/>
  <c r="B17" i="1" s="1"/>
  <c r="Q5" i="1"/>
  <c r="D16" i="1" s="1"/>
  <c r="K5" i="1"/>
  <c r="C16" i="1" s="1"/>
  <c r="E5" i="1"/>
  <c r="B16" i="1" s="1"/>
  <c r="J27" i="1" l="1"/>
  <c r="P24" i="1" s="1"/>
  <c r="D22" i="1"/>
  <c r="F16" i="1"/>
  <c r="F18" i="1"/>
  <c r="E18" i="1"/>
  <c r="D27" i="1" s="1"/>
  <c r="B22" i="1"/>
  <c r="E19" i="1"/>
  <c r="B28" i="1" s="1"/>
  <c r="O26" i="1"/>
  <c r="F17" i="1"/>
  <c r="E17" i="1"/>
  <c r="C27" i="1" s="1"/>
  <c r="F21" i="1"/>
  <c r="E21" i="1"/>
  <c r="D28" i="1" s="1"/>
  <c r="C22" i="1"/>
  <c r="F20" i="1"/>
  <c r="E20" i="1"/>
  <c r="C28" i="1" s="1"/>
  <c r="P22" i="1"/>
  <c r="O22" i="1"/>
  <c r="P23" i="1"/>
  <c r="F19" i="1"/>
  <c r="O24" i="1"/>
  <c r="E16" i="1"/>
  <c r="O23" i="1" l="1"/>
  <c r="O25" i="1"/>
  <c r="P26" i="1"/>
  <c r="P25" i="1"/>
  <c r="D29" i="1"/>
  <c r="B27" i="1"/>
  <c r="E22" i="1"/>
  <c r="J17" i="1" s="1"/>
  <c r="C29" i="1"/>
  <c r="E28" i="1"/>
  <c r="C30" i="1" l="1"/>
  <c r="D30" i="1"/>
  <c r="K23" i="1"/>
  <c r="K28" i="1"/>
  <c r="K22" i="1"/>
  <c r="L22" i="1" s="1"/>
  <c r="B29" i="1"/>
  <c r="E27" i="1"/>
  <c r="E29" i="1" l="1"/>
  <c r="B30" i="1"/>
  <c r="K25" i="1"/>
  <c r="L25" i="1" s="1"/>
  <c r="K27" i="1"/>
  <c r="L27" i="1" s="1"/>
  <c r="K24" i="1"/>
  <c r="L24" i="1" s="1"/>
  <c r="L23" i="1"/>
  <c r="M22" i="1" l="1"/>
  <c r="N22" i="1" s="1"/>
  <c r="J34" i="1"/>
  <c r="J38" i="1"/>
  <c r="M24" i="1"/>
  <c r="N24" i="1" s="1"/>
  <c r="M23" i="1"/>
  <c r="N23" i="1" s="1"/>
  <c r="M25" i="1"/>
  <c r="N25" i="1" s="1"/>
  <c r="K26" i="1"/>
  <c r="L26" i="1" s="1"/>
  <c r="M26" i="1" s="1"/>
  <c r="N26" i="1" s="1"/>
  <c r="L37" i="1" l="1"/>
  <c r="L38" i="1"/>
  <c r="L34" i="1"/>
  <c r="L33" i="1"/>
</calcChain>
</file>

<file path=xl/sharedStrings.xml><?xml version="1.0" encoding="utf-8"?>
<sst xmlns="http://schemas.openxmlformats.org/spreadsheetml/2006/main" count="450" uniqueCount="48">
  <si>
    <t>Perlakuan</t>
  </si>
  <si>
    <t>Ulangan 1</t>
  </si>
  <si>
    <t>Rata-Rata</t>
  </si>
  <si>
    <t>Ulangan 2</t>
  </si>
  <si>
    <t>Ulangan 3</t>
  </si>
  <si>
    <t>P1D1</t>
  </si>
  <si>
    <t>P1D2</t>
  </si>
  <si>
    <t>P1D3</t>
  </si>
  <si>
    <t>P2D1</t>
  </si>
  <si>
    <t>P2D2</t>
  </si>
  <si>
    <t>P2D3</t>
  </si>
  <si>
    <t>Tabel Anova RAK Faktorial</t>
  </si>
  <si>
    <t>Ulangan</t>
  </si>
  <si>
    <t>Jumlah</t>
  </si>
  <si>
    <t>p</t>
  </si>
  <si>
    <t>d</t>
  </si>
  <si>
    <t>r</t>
  </si>
  <si>
    <t>Fk</t>
  </si>
  <si>
    <t>Analisis Ragam</t>
  </si>
  <si>
    <t>SK</t>
  </si>
  <si>
    <t>db</t>
  </si>
  <si>
    <t>JK</t>
  </si>
  <si>
    <t>KT</t>
  </si>
  <si>
    <t>Fhitung</t>
  </si>
  <si>
    <t>Tanda</t>
  </si>
  <si>
    <t>F 5%</t>
  </si>
  <si>
    <t>F1%</t>
  </si>
  <si>
    <t>Total</t>
  </si>
  <si>
    <t>Kelompok</t>
  </si>
  <si>
    <t>Tabel Dua Arah</t>
  </si>
  <si>
    <t>P</t>
  </si>
  <si>
    <t>D</t>
  </si>
  <si>
    <t>D1</t>
  </si>
  <si>
    <t>D2</t>
  </si>
  <si>
    <t>D3</t>
  </si>
  <si>
    <t>P1</t>
  </si>
  <si>
    <t>Galat</t>
  </si>
  <si>
    <t>P2</t>
  </si>
  <si>
    <t xml:space="preserve">Luas Daun Bayam Merah </t>
  </si>
  <si>
    <t>PD</t>
  </si>
  <si>
    <t>Rerata</t>
  </si>
  <si>
    <t>BNJ</t>
  </si>
  <si>
    <t>sd(2;10)</t>
  </si>
  <si>
    <t>sd(3;10)</t>
  </si>
  <si>
    <t>Notasi</t>
  </si>
  <si>
    <t>a</t>
  </si>
  <si>
    <t xml:space="preserve"> </t>
  </si>
  <si>
    <t>Rata-Rata Luas Daun Bayam Merah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</si>
</sst>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00"/>
    <numFmt numFmtId="165" formatCode="0.0000000"/>
    <numFmt numFmtId="166" formatCode="0.000000"/>
  </numFmts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6" xfId="0" applyBorder="1"/>
    <xf numFmtId="2" fontId="0" fillId="0" borderId="6" xfId="0" applyNumberFormat="1" applyBorder="1"/>
    <xf numFmtId="164" fontId="0" fillId="0" borderId="6" xfId="0" applyNumberFormat="1" applyBorder="1"/>
    <xf numFmtId="0" fontId="0" fillId="0" borderId="0" xfId="0" applyBorder="1"/>
    <xf numFmtId="0" fontId="0" fillId="2" borderId="6" xfId="0" applyFill="1" applyBorder="1"/>
    <xf numFmtId="0" fontId="0" fillId="3" borderId="6" xfId="0" applyFill="1" applyBorder="1" applyAlignment="1">
      <alignment horizontal="center"/>
    </xf>
    <xf numFmtId="0" fontId="0" fillId="3" borderId="6" xfId="0" applyFill="1" applyBorder="1"/>
    <xf numFmtId="0" fontId="0" fillId="3" borderId="6" xfId="0" applyFill="1" applyBorder="1" applyAlignment="1">
      <alignment horizontal="center" vertical="center"/>
    </xf>
    <xf numFmtId="0" fontId="0" fillId="0" borderId="0" xfId="0" applyFill="1"/>
    <xf numFmtId="3" fontId="0" fillId="0" borderId="0" xfId="0" applyNumberFormat="1" applyFill="1"/>
    <xf numFmtId="165" fontId="0" fillId="0" borderId="6" xfId="0" applyNumberFormat="1" applyBorder="1"/>
    <xf numFmtId="166" fontId="0" fillId="0" borderId="6" xfId="0" applyNumberFormat="1" applyBorder="1"/>
    <xf numFmtId="0" fontId="0" fillId="3" borderId="1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9"/>
  <sheetViews>
    <sheetView topLeftCell="A16" workbookViewId="0">
      <selection activeCell="J38" sqref="J38"/>
    </sheetView>
  </sheetViews>
  <sheetFormatPr defaultRowHeight="15" x14ac:dyDescent="0.25"/>
  <cols>
    <col min="1" max="1" width="10" customWidth="1"/>
    <col min="7" max="7" width="9.7109375" customWidth="1"/>
    <col min="13" max="13" width="10.140625" customWidth="1"/>
  </cols>
  <sheetData>
    <row r="1" spans="1:17" x14ac:dyDescent="0.25">
      <c r="A1" t="s">
        <v>38</v>
      </c>
    </row>
    <row r="3" spans="1:17" x14ac:dyDescent="0.25">
      <c r="A3" s="13" t="s">
        <v>0</v>
      </c>
      <c r="B3" s="15" t="s">
        <v>1</v>
      </c>
      <c r="C3" s="16"/>
      <c r="D3" s="17"/>
      <c r="E3" s="13" t="s">
        <v>2</v>
      </c>
      <c r="G3" s="13" t="s">
        <v>0</v>
      </c>
      <c r="H3" s="15" t="s">
        <v>3</v>
      </c>
      <c r="I3" s="16"/>
      <c r="J3" s="17"/>
      <c r="K3" s="13" t="s">
        <v>2</v>
      </c>
      <c r="M3" s="13" t="s">
        <v>0</v>
      </c>
      <c r="N3" s="15" t="s">
        <v>4</v>
      </c>
      <c r="O3" s="16"/>
      <c r="P3" s="17"/>
      <c r="Q3" s="13" t="s">
        <v>2</v>
      </c>
    </row>
    <row r="4" spans="1:17" x14ac:dyDescent="0.25">
      <c r="A4" s="14"/>
      <c r="B4" s="6">
        <v>1</v>
      </c>
      <c r="C4" s="6">
        <v>2</v>
      </c>
      <c r="D4" s="6">
        <v>3</v>
      </c>
      <c r="E4" s="14"/>
      <c r="G4" s="14"/>
      <c r="H4" s="6">
        <v>1</v>
      </c>
      <c r="I4" s="6">
        <v>2</v>
      </c>
      <c r="J4" s="6">
        <v>3</v>
      </c>
      <c r="K4" s="14"/>
      <c r="M4" s="14"/>
      <c r="N4" s="6">
        <v>1</v>
      </c>
      <c r="O4" s="6">
        <v>2</v>
      </c>
      <c r="P4" s="6">
        <v>3</v>
      </c>
      <c r="Q4" s="14"/>
    </row>
    <row r="5" spans="1:17" x14ac:dyDescent="0.25">
      <c r="A5" s="1" t="s">
        <v>5</v>
      </c>
      <c r="B5" s="2">
        <f>(1*1*0.602)</f>
        <v>0.60199999999999998</v>
      </c>
      <c r="C5" s="2">
        <f t="shared" ref="C5:D5" si="0">(1*1*0.602)</f>
        <v>0.60199999999999998</v>
      </c>
      <c r="D5" s="2">
        <f t="shared" si="0"/>
        <v>0.60199999999999998</v>
      </c>
      <c r="E5" s="2">
        <f>AVERAGE(B5:D5)</f>
        <v>0.60199999999999998</v>
      </c>
      <c r="G5" s="1" t="s">
        <v>5</v>
      </c>
      <c r="H5" s="2">
        <f>(0.8*0.5*0.602)</f>
        <v>0.24080000000000001</v>
      </c>
      <c r="I5" s="2">
        <f>(1*0.5*0.602)</f>
        <v>0.30099999999999999</v>
      </c>
      <c r="J5" s="2">
        <f>(1*0.5*0.602)</f>
        <v>0.30099999999999999</v>
      </c>
      <c r="K5" s="2">
        <f>AVERAGE(H5:J5)</f>
        <v>0.28093333333333331</v>
      </c>
      <c r="M5" s="1" t="s">
        <v>5</v>
      </c>
      <c r="N5" s="2">
        <f>(1*1*0.602)</f>
        <v>0.60199999999999998</v>
      </c>
      <c r="O5" s="2">
        <f>(1*0.5*0.602)</f>
        <v>0.30099999999999999</v>
      </c>
      <c r="P5" s="2">
        <f>(0.5*0.5*0.602)</f>
        <v>0.15049999999999999</v>
      </c>
      <c r="Q5" s="2">
        <f>AVERAGE(N5:P5)</f>
        <v>0.35116666666666668</v>
      </c>
    </row>
    <row r="6" spans="1:17" x14ac:dyDescent="0.25">
      <c r="A6" s="1" t="s">
        <v>6</v>
      </c>
      <c r="B6" s="2">
        <f>(2*1*0.602)</f>
        <v>1.204</v>
      </c>
      <c r="C6" s="2">
        <f t="shared" ref="C6:D7" si="1">(2*1*0.602)</f>
        <v>1.204</v>
      </c>
      <c r="D6" s="2">
        <f t="shared" si="1"/>
        <v>1.204</v>
      </c>
      <c r="E6" s="2">
        <f t="shared" ref="E6:E10" si="2">AVERAGE(B6:D6)</f>
        <v>1.204</v>
      </c>
      <c r="G6" s="1" t="s">
        <v>6</v>
      </c>
      <c r="H6" s="2">
        <f>(1*1*0.602)</f>
        <v>0.60199999999999998</v>
      </c>
      <c r="I6" s="2">
        <f t="shared" ref="I6:J6" si="3">(1*1*0.602)</f>
        <v>0.60199999999999998</v>
      </c>
      <c r="J6" s="2">
        <f t="shared" si="3"/>
        <v>0.60199999999999998</v>
      </c>
      <c r="K6" s="2">
        <f t="shared" ref="K6:K10" si="4">AVERAGE(H6:J6)</f>
        <v>0.60199999999999998</v>
      </c>
      <c r="M6" s="1" t="s">
        <v>6</v>
      </c>
      <c r="N6" s="2">
        <f>(1*0.5*0.602)</f>
        <v>0.30099999999999999</v>
      </c>
      <c r="O6" s="2">
        <f t="shared" ref="O6:P7" si="5">(1*0.5*0.602)</f>
        <v>0.30099999999999999</v>
      </c>
      <c r="P6" s="2">
        <f t="shared" si="5"/>
        <v>0.30099999999999999</v>
      </c>
      <c r="Q6" s="2">
        <f t="shared" ref="Q6:Q10" si="6">AVERAGE(N6:P6)</f>
        <v>0.30099999999999999</v>
      </c>
    </row>
    <row r="7" spans="1:17" x14ac:dyDescent="0.25">
      <c r="A7" s="1" t="s">
        <v>7</v>
      </c>
      <c r="B7" s="2">
        <f>(2*1*0.602)</f>
        <v>1.204</v>
      </c>
      <c r="C7" s="2">
        <f t="shared" si="1"/>
        <v>1.204</v>
      </c>
      <c r="D7" s="2">
        <f t="shared" si="1"/>
        <v>1.204</v>
      </c>
      <c r="E7" s="2">
        <f t="shared" si="2"/>
        <v>1.204</v>
      </c>
      <c r="G7" s="1" t="s">
        <v>7</v>
      </c>
      <c r="H7" s="2">
        <f>(2*1.5*0.602)</f>
        <v>1.806</v>
      </c>
      <c r="I7" s="2">
        <f t="shared" ref="I7:J7" si="7">(2*1.5*0.602)</f>
        <v>1.806</v>
      </c>
      <c r="J7" s="2">
        <f t="shared" si="7"/>
        <v>1.806</v>
      </c>
      <c r="K7" s="2">
        <f t="shared" si="4"/>
        <v>1.806</v>
      </c>
      <c r="M7" s="1" t="s">
        <v>7</v>
      </c>
      <c r="N7" s="2">
        <f>(1*0.5*0.602)</f>
        <v>0.30099999999999999</v>
      </c>
      <c r="O7" s="2">
        <f t="shared" si="5"/>
        <v>0.30099999999999999</v>
      </c>
      <c r="P7" s="2">
        <f t="shared" si="5"/>
        <v>0.30099999999999999</v>
      </c>
      <c r="Q7" s="2">
        <f t="shared" si="6"/>
        <v>0.30099999999999999</v>
      </c>
    </row>
    <row r="8" spans="1:17" x14ac:dyDescent="0.25">
      <c r="A8" s="1" t="s">
        <v>8</v>
      </c>
      <c r="B8" s="2">
        <f>(0.5*0.5*0.602)</f>
        <v>0.15049999999999999</v>
      </c>
      <c r="C8" s="2">
        <f>(1*0.5*0.602)</f>
        <v>0.30099999999999999</v>
      </c>
      <c r="D8" s="2">
        <f>(1*1*0.602)</f>
        <v>0.60199999999999998</v>
      </c>
      <c r="E8" s="2">
        <f t="shared" si="2"/>
        <v>0.35116666666666668</v>
      </c>
      <c r="G8" s="1" t="s">
        <v>8</v>
      </c>
      <c r="H8" s="2">
        <f>(1*0.5*0.602)</f>
        <v>0.30099999999999999</v>
      </c>
      <c r="I8" s="2">
        <f t="shared" ref="I8:J8" si="8">(1*0.5*0.602)</f>
        <v>0.30099999999999999</v>
      </c>
      <c r="J8" s="2">
        <f t="shared" si="8"/>
        <v>0.30099999999999999</v>
      </c>
      <c r="K8" s="2">
        <f t="shared" si="4"/>
        <v>0.30099999999999999</v>
      </c>
      <c r="M8" s="1" t="s">
        <v>8</v>
      </c>
      <c r="N8" s="2">
        <f>(1*0.5*0.602)</f>
        <v>0.30099999999999999</v>
      </c>
      <c r="O8" s="2">
        <f>(1*1*0.602)</f>
        <v>0.60199999999999998</v>
      </c>
      <c r="P8" s="2">
        <f>(1*0.5*0.602)</f>
        <v>0.30099999999999999</v>
      </c>
      <c r="Q8" s="2">
        <f t="shared" si="6"/>
        <v>0.40133333333333332</v>
      </c>
    </row>
    <row r="9" spans="1:17" x14ac:dyDescent="0.25">
      <c r="A9" s="1" t="s">
        <v>9</v>
      </c>
      <c r="B9" s="2">
        <f>(1*0.5*0.602)</f>
        <v>0.30099999999999999</v>
      </c>
      <c r="C9" s="2">
        <f>(1.4*1*0.602)</f>
        <v>0.84279999999999988</v>
      </c>
      <c r="D9" s="2">
        <f>(1.5*1*0.602)</f>
        <v>0.90300000000000002</v>
      </c>
      <c r="E9" s="2">
        <f t="shared" si="2"/>
        <v>0.68226666666666669</v>
      </c>
      <c r="G9" s="1" t="s">
        <v>9</v>
      </c>
      <c r="H9" s="2">
        <f>(1*0.8*0.602)</f>
        <v>0.48160000000000003</v>
      </c>
      <c r="I9" s="2">
        <f>(1*1*0.602)</f>
        <v>0.60199999999999998</v>
      </c>
      <c r="J9" s="2">
        <f>(1*0.5*0.602)</f>
        <v>0.30099999999999999</v>
      </c>
      <c r="K9" s="2">
        <f t="shared" si="4"/>
        <v>0.46153333333333335</v>
      </c>
      <c r="M9" s="1" t="s">
        <v>9</v>
      </c>
      <c r="N9" s="2">
        <f>(0.5*0.5*0.602)</f>
        <v>0.15049999999999999</v>
      </c>
      <c r="O9" s="2">
        <f>(1*1*0.602)</f>
        <v>0.60199999999999998</v>
      </c>
      <c r="P9" s="2">
        <f>(1*0.7*0.602)</f>
        <v>0.42139999999999994</v>
      </c>
      <c r="Q9" s="2">
        <f t="shared" si="6"/>
        <v>0.39129999999999998</v>
      </c>
    </row>
    <row r="10" spans="1:17" x14ac:dyDescent="0.25">
      <c r="A10" s="1" t="s">
        <v>10</v>
      </c>
      <c r="B10" s="2">
        <f>(1.3*0.3*0.602)</f>
        <v>0.23477999999999999</v>
      </c>
      <c r="C10" s="2">
        <f>(1.5*1*0.602)</f>
        <v>0.90300000000000002</v>
      </c>
      <c r="D10" s="2">
        <f>(1*0.7*0.602)</f>
        <v>0.42139999999999994</v>
      </c>
      <c r="E10" s="2">
        <f t="shared" si="2"/>
        <v>0.51972666666666667</v>
      </c>
      <c r="G10" s="1" t="s">
        <v>10</v>
      </c>
      <c r="H10" s="2">
        <f>(1*0.8*0.602)</f>
        <v>0.48160000000000003</v>
      </c>
      <c r="I10" s="2">
        <f>(1*0.7*0.602)</f>
        <v>0.42139999999999994</v>
      </c>
      <c r="J10" s="2">
        <f>(1*1*0.602)</f>
        <v>0.60199999999999998</v>
      </c>
      <c r="K10" s="2">
        <f t="shared" si="4"/>
        <v>0.50166666666666659</v>
      </c>
      <c r="M10" s="1" t="s">
        <v>10</v>
      </c>
      <c r="N10" s="2">
        <f>(1*0.5*0.602)</f>
        <v>0.30099999999999999</v>
      </c>
      <c r="O10" s="2">
        <f t="shared" ref="O10:P10" si="9">(1*0.5*0.602)</f>
        <v>0.30099999999999999</v>
      </c>
      <c r="P10" s="2">
        <f t="shared" si="9"/>
        <v>0.30099999999999999</v>
      </c>
      <c r="Q10" s="2">
        <f t="shared" si="6"/>
        <v>0.30099999999999999</v>
      </c>
    </row>
    <row r="12" spans="1:17" x14ac:dyDescent="0.25">
      <c r="A12" t="s">
        <v>47</v>
      </c>
      <c r="I12" t="s">
        <v>11</v>
      </c>
    </row>
    <row r="14" spans="1:17" x14ac:dyDescent="0.25">
      <c r="A14" s="13" t="s">
        <v>0</v>
      </c>
      <c r="B14" s="15" t="s">
        <v>12</v>
      </c>
      <c r="C14" s="16"/>
      <c r="D14" s="17"/>
      <c r="E14" s="13" t="s">
        <v>13</v>
      </c>
      <c r="F14" s="13" t="s">
        <v>2</v>
      </c>
      <c r="I14" s="1" t="s">
        <v>14</v>
      </c>
      <c r="J14" s="1">
        <v>2</v>
      </c>
    </row>
    <row r="15" spans="1:17" x14ac:dyDescent="0.25">
      <c r="A15" s="14"/>
      <c r="B15" s="6">
        <v>1</v>
      </c>
      <c r="C15" s="6">
        <v>2</v>
      </c>
      <c r="D15" s="6">
        <v>3</v>
      </c>
      <c r="E15" s="14"/>
      <c r="F15" s="14"/>
      <c r="H15" s="4"/>
      <c r="I15" s="1" t="s">
        <v>15</v>
      </c>
      <c r="J15" s="1">
        <v>3</v>
      </c>
      <c r="Q15" s="4"/>
    </row>
    <row r="16" spans="1:17" x14ac:dyDescent="0.25">
      <c r="A16" s="1" t="s">
        <v>5</v>
      </c>
      <c r="B16" s="2">
        <f t="shared" ref="B16:B21" si="10">(E5)</f>
        <v>0.60199999999999998</v>
      </c>
      <c r="C16" s="2">
        <f t="shared" ref="C16:C21" si="11">(K5)</f>
        <v>0.28093333333333331</v>
      </c>
      <c r="D16" s="2">
        <f>(Q5)</f>
        <v>0.35116666666666668</v>
      </c>
      <c r="E16" s="2">
        <f>SUM(B16:D16)</f>
        <v>1.2341</v>
      </c>
      <c r="F16" s="2">
        <f>AVERAGE(B16:D16)</f>
        <v>0.41136666666666666</v>
      </c>
      <c r="I16" s="1" t="s">
        <v>16</v>
      </c>
      <c r="J16" s="1">
        <v>3</v>
      </c>
    </row>
    <row r="17" spans="1:17" x14ac:dyDescent="0.25">
      <c r="A17" s="1" t="s">
        <v>6</v>
      </c>
      <c r="B17" s="2">
        <f t="shared" si="10"/>
        <v>1.204</v>
      </c>
      <c r="C17" s="2">
        <f t="shared" si="11"/>
        <v>0.60199999999999998</v>
      </c>
      <c r="D17" s="2">
        <f t="shared" ref="D17:D20" si="12">(Q6)</f>
        <v>0.30099999999999999</v>
      </c>
      <c r="E17" s="2">
        <f t="shared" ref="E17:E21" si="13">SUM(B17:D17)</f>
        <v>2.1070000000000002</v>
      </c>
      <c r="F17" s="2">
        <f t="shared" ref="F17:F20" si="14">AVERAGE(B17:D17)</f>
        <v>0.70233333333333337</v>
      </c>
      <c r="H17" s="4"/>
      <c r="I17" s="1" t="s">
        <v>17</v>
      </c>
      <c r="J17" s="3">
        <f>(E22^2)/(J14*J15*J16)</f>
        <v>6.198830042706172</v>
      </c>
    </row>
    <row r="18" spans="1:17" x14ac:dyDescent="0.25">
      <c r="A18" s="1" t="s">
        <v>7</v>
      </c>
      <c r="B18" s="2">
        <f t="shared" si="10"/>
        <v>1.204</v>
      </c>
      <c r="C18" s="2">
        <f t="shared" si="11"/>
        <v>1.806</v>
      </c>
      <c r="D18" s="2">
        <f t="shared" si="12"/>
        <v>0.30099999999999999</v>
      </c>
      <c r="E18" s="2">
        <f t="shared" si="13"/>
        <v>3.3109999999999999</v>
      </c>
      <c r="F18" s="2">
        <f t="shared" si="14"/>
        <v>1.1036666666666666</v>
      </c>
    </row>
    <row r="19" spans="1:17" x14ac:dyDescent="0.25">
      <c r="A19" s="1" t="s">
        <v>8</v>
      </c>
      <c r="B19" s="2">
        <f t="shared" si="10"/>
        <v>0.35116666666666668</v>
      </c>
      <c r="C19" s="2">
        <f t="shared" si="11"/>
        <v>0.30099999999999999</v>
      </c>
      <c r="D19" s="2">
        <f t="shared" si="12"/>
        <v>0.40133333333333332</v>
      </c>
      <c r="E19" s="2">
        <f t="shared" si="13"/>
        <v>1.0535000000000001</v>
      </c>
      <c r="F19" s="2">
        <f t="shared" si="14"/>
        <v>0.35116666666666668</v>
      </c>
      <c r="I19" t="s">
        <v>18</v>
      </c>
    </row>
    <row r="20" spans="1:17" x14ac:dyDescent="0.25">
      <c r="A20" s="1" t="s">
        <v>9</v>
      </c>
      <c r="B20" s="2">
        <f t="shared" si="10"/>
        <v>0.68226666666666669</v>
      </c>
      <c r="C20" s="2">
        <f t="shared" si="11"/>
        <v>0.46153333333333335</v>
      </c>
      <c r="D20" s="2">
        <f t="shared" si="12"/>
        <v>0.39129999999999998</v>
      </c>
      <c r="E20" s="2">
        <f t="shared" si="13"/>
        <v>1.5351000000000001</v>
      </c>
      <c r="F20" s="2">
        <f t="shared" si="14"/>
        <v>0.51170000000000004</v>
      </c>
      <c r="Q20" s="4"/>
    </row>
    <row r="21" spans="1:17" x14ac:dyDescent="0.25">
      <c r="A21" s="1" t="s">
        <v>10</v>
      </c>
      <c r="B21" s="2">
        <f t="shared" si="10"/>
        <v>0.51972666666666667</v>
      </c>
      <c r="C21" s="2">
        <f t="shared" si="11"/>
        <v>0.50166666666666659</v>
      </c>
      <c r="D21" s="2">
        <f>(Q10)</f>
        <v>0.30099999999999999</v>
      </c>
      <c r="E21" s="2">
        <f t="shared" si="13"/>
        <v>1.3223933333333331</v>
      </c>
      <c r="F21" s="2">
        <f>AVERAGE(B21:D21)</f>
        <v>0.44079777777777768</v>
      </c>
      <c r="I21" s="7"/>
      <c r="J21" s="7" t="s">
        <v>20</v>
      </c>
      <c r="K21" s="7" t="s">
        <v>21</v>
      </c>
      <c r="L21" s="7" t="s">
        <v>22</v>
      </c>
      <c r="M21" s="7" t="s">
        <v>23</v>
      </c>
      <c r="N21" s="7" t="s">
        <v>24</v>
      </c>
      <c r="O21" s="7" t="s">
        <v>25</v>
      </c>
      <c r="P21" s="7" t="s">
        <v>26</v>
      </c>
    </row>
    <row r="22" spans="1:17" x14ac:dyDescent="0.25">
      <c r="A22" s="1" t="s">
        <v>27</v>
      </c>
      <c r="B22" s="2">
        <f>SUM(B16:B21)</f>
        <v>4.5631599999999999</v>
      </c>
      <c r="C22" s="2">
        <f t="shared" ref="C22:E22" si="15">SUM(C16:C21)</f>
        <v>3.9531333333333332</v>
      </c>
      <c r="D22" s="2">
        <f t="shared" si="15"/>
        <v>2.0468000000000002</v>
      </c>
      <c r="E22" s="2">
        <f t="shared" si="15"/>
        <v>10.563093333333333</v>
      </c>
      <c r="F22" s="2">
        <f>SUM(F16:F21)</f>
        <v>3.5210311111111117</v>
      </c>
      <c r="I22" s="1" t="s">
        <v>28</v>
      </c>
      <c r="J22" s="1">
        <f>(J16-1)</f>
        <v>2</v>
      </c>
      <c r="K22" s="1">
        <f>SUMSQ(B22:D22)/6-J17</f>
        <v>0.57435038674567984</v>
      </c>
      <c r="L22" s="1">
        <f>(K22/J22)</f>
        <v>0.28717519337283992</v>
      </c>
      <c r="M22" s="1">
        <f>(L22/L27)</f>
        <v>2.5331633659849655</v>
      </c>
      <c r="N22" s="1" t="str">
        <f>IF(M22&lt;O22,"tn",IF(M22&lt;P22,"*","**"))</f>
        <v>tn</v>
      </c>
      <c r="O22" s="1">
        <f>FINV(5%,$J22,$J27)</f>
        <v>4.1028210151304032</v>
      </c>
      <c r="P22" s="1">
        <f>FINV(1%,$J22,$J27)</f>
        <v>7.5594321575479011</v>
      </c>
    </row>
    <row r="23" spans="1:17" x14ac:dyDescent="0.25">
      <c r="I23" s="1" t="s">
        <v>0</v>
      </c>
      <c r="J23" s="1">
        <f>(J14*J15)-1</f>
        <v>5</v>
      </c>
      <c r="K23" s="1">
        <f>SUMSQ(E16:E21)/J16-J17</f>
        <v>1.1812670233086431</v>
      </c>
      <c r="L23" s="1">
        <f t="shared" ref="L23:L27" si="16">(K23/J23)</f>
        <v>0.23625340466172862</v>
      </c>
      <c r="M23" s="1">
        <f>(L23/L27)</f>
        <v>2.0839838662572787</v>
      </c>
      <c r="N23" s="1" t="str">
        <f t="shared" ref="N23:N26" si="17">IF(M23&lt;O23,"tn",IF(M23&lt;P23,"*","**"))</f>
        <v>tn</v>
      </c>
      <c r="O23" s="1">
        <f>FINV(5%, $J23,$J27)</f>
        <v>3.325834530413013</v>
      </c>
      <c r="P23" s="1">
        <f>FINV(1%,$J23,$J27)</f>
        <v>5.6363261876690833</v>
      </c>
    </row>
    <row r="24" spans="1:17" x14ac:dyDescent="0.25">
      <c r="A24" t="s">
        <v>29</v>
      </c>
      <c r="I24" s="1" t="s">
        <v>30</v>
      </c>
      <c r="J24" s="1">
        <f>(J14-1)</f>
        <v>1</v>
      </c>
      <c r="K24" s="1">
        <f>SUMSQ(E27:E28)/(J16*J15)-J17</f>
        <v>0.41742587544691467</v>
      </c>
      <c r="L24" s="1">
        <f t="shared" si="16"/>
        <v>0.41742587544691467</v>
      </c>
      <c r="M24" s="1">
        <f>(L24/L27)</f>
        <v>3.6821005438429122</v>
      </c>
      <c r="N24" s="1" t="str">
        <f t="shared" si="17"/>
        <v>tn</v>
      </c>
      <c r="O24" s="1">
        <f>FINV(5%,$J24,$J27)</f>
        <v>4.9646027437307128</v>
      </c>
      <c r="P24" s="1">
        <f>FINV(1%,$J24,$J27)</f>
        <v>10.044289273396597</v>
      </c>
    </row>
    <row r="25" spans="1:17" x14ac:dyDescent="0.25">
      <c r="A25" s="13" t="s">
        <v>30</v>
      </c>
      <c r="B25" s="15" t="s">
        <v>31</v>
      </c>
      <c r="C25" s="16"/>
      <c r="D25" s="17"/>
      <c r="E25" s="13" t="s">
        <v>27</v>
      </c>
      <c r="F25" s="13" t="s">
        <v>2</v>
      </c>
      <c r="I25" s="1" t="s">
        <v>31</v>
      </c>
      <c r="J25" s="1">
        <f>(J15-1)</f>
        <v>2</v>
      </c>
      <c r="K25" s="1">
        <f>SUMSQ(B29:D29)/(J16*J14)-J17</f>
        <v>0.4622266158567907</v>
      </c>
      <c r="L25" s="1">
        <f t="shared" si="16"/>
        <v>0.23111330792839535</v>
      </c>
      <c r="M25" s="1">
        <f>(L25/L27)</f>
        <v>2.0386432343260452</v>
      </c>
      <c r="N25" s="1" t="str">
        <f t="shared" si="17"/>
        <v>tn</v>
      </c>
      <c r="O25" s="1">
        <f>FINV(5%,$J25,$J27)</f>
        <v>4.1028210151304032</v>
      </c>
      <c r="P25" s="1">
        <f>FINV(1%,$J25,$J27)</f>
        <v>7.5594321575479011</v>
      </c>
    </row>
    <row r="26" spans="1:17" x14ac:dyDescent="0.25">
      <c r="A26" s="14"/>
      <c r="B26" s="6" t="s">
        <v>32</v>
      </c>
      <c r="C26" s="6" t="s">
        <v>33</v>
      </c>
      <c r="D26" s="6" t="s">
        <v>34</v>
      </c>
      <c r="E26" s="14"/>
      <c r="F26" s="14"/>
      <c r="I26" s="1" t="s">
        <v>39</v>
      </c>
      <c r="J26" s="1">
        <f>(J23-J24-J25)</f>
        <v>2</v>
      </c>
      <c r="K26" s="1">
        <f>(K23-K24-K25)</f>
        <v>0.30161453200493771</v>
      </c>
      <c r="L26" s="1">
        <f t="shared" si="16"/>
        <v>0.15080726600246885</v>
      </c>
      <c r="M26" s="1">
        <f>(L26/L27)</f>
        <v>1.3302661593956959</v>
      </c>
      <c r="N26" s="1" t="str">
        <f t="shared" si="17"/>
        <v>tn</v>
      </c>
      <c r="O26" s="1">
        <f>FINV(5%,$J26,$J27)</f>
        <v>4.1028210151304032</v>
      </c>
      <c r="P26" s="1">
        <f>FINV(1%,$J26,$J27)</f>
        <v>7.5594321575479011</v>
      </c>
    </row>
    <row r="27" spans="1:17" x14ac:dyDescent="0.25">
      <c r="A27" s="1" t="s">
        <v>35</v>
      </c>
      <c r="B27" s="2">
        <f>(E16)</f>
        <v>1.2341</v>
      </c>
      <c r="C27" s="2">
        <f>(E17)</f>
        <v>2.1070000000000002</v>
      </c>
      <c r="D27" s="2">
        <f>(E18)</f>
        <v>3.3109999999999999</v>
      </c>
      <c r="E27" s="2">
        <f>SUM(B27:D27)</f>
        <v>6.6520999999999999</v>
      </c>
      <c r="F27" s="2">
        <f>E27/9</f>
        <v>0.73912222222222224</v>
      </c>
      <c r="H27" s="4"/>
      <c r="I27" s="1" t="s">
        <v>36</v>
      </c>
      <c r="J27" s="1">
        <f>(J28-J22-J23)</f>
        <v>10</v>
      </c>
      <c r="K27" s="1">
        <f>(K28-K23-K22)</f>
        <v>1.1336623497283922</v>
      </c>
      <c r="L27" s="1">
        <f t="shared" si="16"/>
        <v>0.11336623497283922</v>
      </c>
      <c r="M27" s="5"/>
      <c r="N27" s="5"/>
      <c r="O27" s="5"/>
      <c r="P27" s="5"/>
    </row>
    <row r="28" spans="1:17" x14ac:dyDescent="0.25">
      <c r="A28" s="1" t="s">
        <v>37</v>
      </c>
      <c r="B28" s="2">
        <f>(E19)</f>
        <v>1.0535000000000001</v>
      </c>
      <c r="C28" s="2">
        <f>(E20)</f>
        <v>1.5351000000000001</v>
      </c>
      <c r="D28" s="2">
        <f>(E21)</f>
        <v>1.3223933333333331</v>
      </c>
      <c r="E28" s="2">
        <f>SUM(B28:D28)</f>
        <v>3.9109933333333338</v>
      </c>
      <c r="F28" s="2">
        <f>E28/9</f>
        <v>0.43455481481481484</v>
      </c>
      <c r="I28" s="1" t="s">
        <v>27</v>
      </c>
      <c r="J28" s="1">
        <f>(J14*J15*J16-1)</f>
        <v>17</v>
      </c>
      <c r="K28" s="1">
        <f>SUMSQ(B16:D21)-J17</f>
        <v>2.8892797597827151</v>
      </c>
      <c r="L28" s="5"/>
      <c r="M28" s="5"/>
      <c r="N28" s="5"/>
      <c r="O28" s="5"/>
      <c r="P28" s="5"/>
    </row>
    <row r="29" spans="1:17" x14ac:dyDescent="0.25">
      <c r="A29" s="1" t="s">
        <v>27</v>
      </c>
      <c r="B29" s="2">
        <f>SUM(B27:B28)</f>
        <v>2.2876000000000003</v>
      </c>
      <c r="C29" s="2">
        <f t="shared" ref="C29:E29" si="18">SUM(C27:C28)</f>
        <v>3.6421000000000001</v>
      </c>
      <c r="D29" s="2">
        <f t="shared" si="18"/>
        <v>4.6333933333333333</v>
      </c>
      <c r="E29" s="2">
        <f t="shared" si="18"/>
        <v>10.563093333333335</v>
      </c>
      <c r="F29" s="5"/>
      <c r="H29" s="4"/>
    </row>
    <row r="30" spans="1:17" x14ac:dyDescent="0.25">
      <c r="A30" s="1" t="s">
        <v>2</v>
      </c>
      <c r="B30" s="2">
        <f>(B29/6)</f>
        <v>0.3812666666666667</v>
      </c>
      <c r="C30" s="2">
        <f>(C29/6)</f>
        <v>0.60701666666666665</v>
      </c>
      <c r="D30" s="2">
        <f>(D29/6)</f>
        <v>0.77223222222222221</v>
      </c>
      <c r="E30" s="5"/>
      <c r="F30" s="5"/>
    </row>
    <row r="31" spans="1:17" x14ac:dyDescent="0.25">
      <c r="I31" t="s">
        <v>0</v>
      </c>
      <c r="J31" t="s">
        <v>40</v>
      </c>
      <c r="K31" t="s">
        <v>44</v>
      </c>
    </row>
    <row r="32" spans="1:17" x14ac:dyDescent="0.25">
      <c r="I32" t="s">
        <v>35</v>
      </c>
      <c r="J32">
        <f>(E27/9)</f>
        <v>0.73912222222222224</v>
      </c>
      <c r="K32" t="s">
        <v>45</v>
      </c>
    </row>
    <row r="33" spans="7:12" x14ac:dyDescent="0.25">
      <c r="H33" s="9"/>
      <c r="I33" t="s">
        <v>37</v>
      </c>
      <c r="J33">
        <f>(E28/9)</f>
        <v>0.43455481481481484</v>
      </c>
      <c r="K33" t="s">
        <v>45</v>
      </c>
      <c r="L33">
        <f>(J34+J33)</f>
        <v>0.78820102647031176</v>
      </c>
    </row>
    <row r="34" spans="7:12" x14ac:dyDescent="0.25">
      <c r="G34" t="s">
        <v>42</v>
      </c>
      <c r="H34" s="10">
        <v>3.1509999999999998</v>
      </c>
      <c r="I34" t="s">
        <v>41</v>
      </c>
      <c r="J34">
        <f>(H34*(L27/9)^0.5)</f>
        <v>0.35364621165549692</v>
      </c>
      <c r="L34">
        <f>(J34+J32)</f>
        <v>1.092768433877719</v>
      </c>
    </row>
    <row r="35" spans="7:12" x14ac:dyDescent="0.25">
      <c r="H35" s="9"/>
      <c r="I35" t="s">
        <v>32</v>
      </c>
      <c r="J35">
        <f>(B29/6)</f>
        <v>0.3812666666666667</v>
      </c>
      <c r="K35" t="s">
        <v>45</v>
      </c>
    </row>
    <row r="36" spans="7:12" x14ac:dyDescent="0.25">
      <c r="H36" s="9"/>
      <c r="I36" t="s">
        <v>33</v>
      </c>
      <c r="J36">
        <f>(C29/6)</f>
        <v>0.60701666666666665</v>
      </c>
      <c r="K36" t="s">
        <v>45</v>
      </c>
    </row>
    <row r="37" spans="7:12" x14ac:dyDescent="0.25">
      <c r="H37" s="9"/>
      <c r="I37" t="s">
        <v>34</v>
      </c>
      <c r="J37">
        <f>(D29/6)</f>
        <v>0.77223222222222221</v>
      </c>
      <c r="K37" t="s">
        <v>45</v>
      </c>
      <c r="L37">
        <f>(J38+J35)</f>
        <v>0.91418668914049861</v>
      </c>
    </row>
    <row r="38" spans="7:12" x14ac:dyDescent="0.25">
      <c r="G38" t="s">
        <v>43</v>
      </c>
      <c r="H38" s="9">
        <v>3.8769999999999998</v>
      </c>
      <c r="I38" t="s">
        <v>41</v>
      </c>
      <c r="J38">
        <f>(H38*(L27/6)^0.5)</f>
        <v>0.53292002247383197</v>
      </c>
      <c r="L38">
        <f>(J38+J36)</f>
        <v>1.1399366891404985</v>
      </c>
    </row>
    <row r="39" spans="7:12" x14ac:dyDescent="0.25">
      <c r="H39" s="9"/>
    </row>
  </sheetData>
  <mergeCells count="17">
    <mergeCell ref="F25:F26"/>
    <mergeCell ref="E25:E26"/>
    <mergeCell ref="B25:D25"/>
    <mergeCell ref="A25:A26"/>
    <mergeCell ref="F14:F15"/>
    <mergeCell ref="E14:E15"/>
    <mergeCell ref="B14:D14"/>
    <mergeCell ref="A14:A15"/>
    <mergeCell ref="Q3:Q4"/>
    <mergeCell ref="M3:M4"/>
    <mergeCell ref="N3:P3"/>
    <mergeCell ref="A3:A4"/>
    <mergeCell ref="B3:D3"/>
    <mergeCell ref="E3:E4"/>
    <mergeCell ref="G3:G4"/>
    <mergeCell ref="H3:J3"/>
    <mergeCell ref="K3:K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0"/>
  <sheetViews>
    <sheetView topLeftCell="A18" workbookViewId="0">
      <selection activeCell="J38" sqref="J38"/>
    </sheetView>
  </sheetViews>
  <sheetFormatPr defaultRowHeight="15" x14ac:dyDescent="0.25"/>
  <cols>
    <col min="1" max="1" width="9.5703125" customWidth="1"/>
    <col min="7" max="7" width="9.5703125" customWidth="1"/>
    <col min="13" max="13" width="10.28515625" customWidth="1"/>
  </cols>
  <sheetData>
    <row r="1" spans="1:17" x14ac:dyDescent="0.25">
      <c r="A1" t="s">
        <v>38</v>
      </c>
    </row>
    <row r="3" spans="1:17" x14ac:dyDescent="0.25">
      <c r="A3" s="13" t="s">
        <v>0</v>
      </c>
      <c r="B3" s="15" t="s">
        <v>1</v>
      </c>
      <c r="C3" s="16"/>
      <c r="D3" s="17"/>
      <c r="E3" s="13" t="s">
        <v>2</v>
      </c>
      <c r="G3" s="13" t="s">
        <v>0</v>
      </c>
      <c r="H3" s="15" t="s">
        <v>3</v>
      </c>
      <c r="I3" s="16"/>
      <c r="J3" s="17"/>
      <c r="K3" s="13" t="s">
        <v>2</v>
      </c>
      <c r="M3" s="13" t="s">
        <v>0</v>
      </c>
      <c r="N3" s="15" t="s">
        <v>4</v>
      </c>
      <c r="O3" s="16"/>
      <c r="P3" s="17"/>
      <c r="Q3" s="13" t="s">
        <v>2</v>
      </c>
    </row>
    <row r="4" spans="1:17" x14ac:dyDescent="0.25">
      <c r="A4" s="14"/>
      <c r="B4" s="6">
        <v>1</v>
      </c>
      <c r="C4" s="6">
        <v>2</v>
      </c>
      <c r="D4" s="6">
        <v>3</v>
      </c>
      <c r="E4" s="14"/>
      <c r="G4" s="14"/>
      <c r="H4" s="6">
        <v>1</v>
      </c>
      <c r="I4" s="6">
        <v>2</v>
      </c>
      <c r="J4" s="6">
        <v>3</v>
      </c>
      <c r="K4" s="14"/>
      <c r="M4" s="14"/>
      <c r="N4" s="6">
        <v>1</v>
      </c>
      <c r="O4" s="6">
        <v>2</v>
      </c>
      <c r="P4" s="6">
        <v>3</v>
      </c>
      <c r="Q4" s="14"/>
    </row>
    <row r="5" spans="1:17" x14ac:dyDescent="0.25">
      <c r="A5" s="1" t="s">
        <v>5</v>
      </c>
      <c r="B5" s="2">
        <f>(1.5*1.5*0.602)</f>
        <v>1.3545</v>
      </c>
      <c r="C5" s="2">
        <f t="shared" ref="C5" si="0">(1*1*0.602)</f>
        <v>0.60199999999999998</v>
      </c>
      <c r="D5" s="2">
        <f>(1.5*1.5*0.602)</f>
        <v>1.3545</v>
      </c>
      <c r="E5" s="2">
        <f>AVERAGE(B5:D5)</f>
        <v>1.1036666666666666</v>
      </c>
      <c r="G5" s="1" t="s">
        <v>5</v>
      </c>
      <c r="H5" s="2">
        <f>(1*0.5*0.602)</f>
        <v>0.30099999999999999</v>
      </c>
      <c r="I5" s="2">
        <f>(1*0.5*0.602)</f>
        <v>0.30099999999999999</v>
      </c>
      <c r="J5" s="2">
        <f>(1*0.5*0.602)</f>
        <v>0.30099999999999999</v>
      </c>
      <c r="K5" s="2">
        <f>AVERAGE(H5:J5)</f>
        <v>0.30099999999999999</v>
      </c>
      <c r="M5" s="1" t="s">
        <v>5</v>
      </c>
      <c r="N5" s="2">
        <f>(2*2.5*0.602)</f>
        <v>3.01</v>
      </c>
      <c r="O5" s="2">
        <f t="shared" ref="O5:P5" si="1">(2*2.5*0.602)</f>
        <v>3.01</v>
      </c>
      <c r="P5" s="2">
        <f t="shared" si="1"/>
        <v>3.01</v>
      </c>
      <c r="Q5" s="2">
        <f>AVERAGE(N5:P5)</f>
        <v>3.01</v>
      </c>
    </row>
    <row r="6" spans="1:17" x14ac:dyDescent="0.25">
      <c r="A6" s="1" t="s">
        <v>6</v>
      </c>
      <c r="B6" s="2">
        <f>(2.5*2*0.602)</f>
        <v>3.01</v>
      </c>
      <c r="C6" s="2">
        <f>(2*2*0.602)</f>
        <v>2.4079999999999999</v>
      </c>
      <c r="D6" s="2">
        <f>(2*2.5*0.602)</f>
        <v>3.01</v>
      </c>
      <c r="E6" s="2">
        <f t="shared" ref="E6:E10" si="2">AVERAGE(B6:D6)</f>
        <v>2.809333333333333</v>
      </c>
      <c r="G6" s="1" t="s">
        <v>6</v>
      </c>
      <c r="H6" s="2">
        <f>(1*0.5*0.602)</f>
        <v>0.30099999999999999</v>
      </c>
      <c r="I6" s="2">
        <f>(1*1.5*0.602)</f>
        <v>0.90300000000000002</v>
      </c>
      <c r="J6" s="2">
        <f>(1*1.5*0.602)</f>
        <v>0.90300000000000002</v>
      </c>
      <c r="K6" s="2">
        <f t="shared" ref="K6:K10" si="3">AVERAGE(H6:J6)</f>
        <v>0.70233333333333337</v>
      </c>
      <c r="M6" s="1" t="s">
        <v>6</v>
      </c>
      <c r="N6" s="2">
        <f>(1*0.5*0.602)</f>
        <v>0.30099999999999999</v>
      </c>
      <c r="O6" s="2">
        <f t="shared" ref="O6:P7" si="4">(1*0.5*0.602)</f>
        <v>0.30099999999999999</v>
      </c>
      <c r="P6" s="2">
        <f t="shared" si="4"/>
        <v>0.30099999999999999</v>
      </c>
      <c r="Q6" s="2">
        <f t="shared" ref="Q6:Q10" si="5">AVERAGE(N6:P6)</f>
        <v>0.30099999999999999</v>
      </c>
    </row>
    <row r="7" spans="1:17" x14ac:dyDescent="0.25">
      <c r="A7" s="1" t="s">
        <v>7</v>
      </c>
      <c r="B7" s="2">
        <f>(2*2.5*0.602)</f>
        <v>3.01</v>
      </c>
      <c r="C7" s="2">
        <f>(2*2.5*0.602)</f>
        <v>3.01</v>
      </c>
      <c r="D7" s="2">
        <f>(2*2*0.602)</f>
        <v>2.4079999999999999</v>
      </c>
      <c r="E7" s="2">
        <f t="shared" si="2"/>
        <v>2.809333333333333</v>
      </c>
      <c r="G7" s="1" t="s">
        <v>7</v>
      </c>
      <c r="H7" s="2">
        <f>(2*2*0.602)</f>
        <v>2.4079999999999999</v>
      </c>
      <c r="I7" s="2">
        <f>(2*2.3*0.602)</f>
        <v>2.7691999999999997</v>
      </c>
      <c r="J7" s="2">
        <f>(2*2.3*0.602)</f>
        <v>2.7691999999999997</v>
      </c>
      <c r="K7" s="2">
        <f t="shared" si="3"/>
        <v>2.6487999999999996</v>
      </c>
      <c r="M7" s="1" t="s">
        <v>7</v>
      </c>
      <c r="N7" s="2">
        <f>(1*0.5*0.602)</f>
        <v>0.30099999999999999</v>
      </c>
      <c r="O7" s="2">
        <f t="shared" si="4"/>
        <v>0.30099999999999999</v>
      </c>
      <c r="P7" s="2">
        <f t="shared" si="4"/>
        <v>0.30099999999999999</v>
      </c>
      <c r="Q7" s="2">
        <f t="shared" si="5"/>
        <v>0.30099999999999999</v>
      </c>
    </row>
    <row r="8" spans="1:17" x14ac:dyDescent="0.25">
      <c r="A8" s="1" t="s">
        <v>8</v>
      </c>
      <c r="B8" s="2">
        <f>(1*0.5*0.602)</f>
        <v>0.30099999999999999</v>
      </c>
      <c r="C8" s="2">
        <f>(2*2.5*0.602)</f>
        <v>3.01</v>
      </c>
      <c r="D8" s="2">
        <f>(2*2*0.602)</f>
        <v>2.4079999999999999</v>
      </c>
      <c r="E8" s="2">
        <f t="shared" si="2"/>
        <v>1.9063333333333332</v>
      </c>
      <c r="G8" s="1" t="s">
        <v>8</v>
      </c>
      <c r="H8" s="2">
        <f>(1*0.5*0.602)</f>
        <v>0.30099999999999999</v>
      </c>
      <c r="I8" s="2">
        <f>(1*1*0.602)</f>
        <v>0.60199999999999998</v>
      </c>
      <c r="J8" s="2">
        <f>(1*1.3*0.602)</f>
        <v>0.78259999999999996</v>
      </c>
      <c r="K8" s="2">
        <f t="shared" si="3"/>
        <v>0.56186666666666663</v>
      </c>
      <c r="M8" s="1" t="s">
        <v>8</v>
      </c>
      <c r="N8" s="2">
        <f>(1*0.5*0.602)</f>
        <v>0.30099999999999999</v>
      </c>
      <c r="O8" s="2">
        <f>(1.5*1.5*0.602)</f>
        <v>1.3545</v>
      </c>
      <c r="P8" s="2">
        <f>(1*0.5*0.602)</f>
        <v>0.30099999999999999</v>
      </c>
      <c r="Q8" s="2">
        <f t="shared" si="5"/>
        <v>0.65216666666666667</v>
      </c>
    </row>
    <row r="9" spans="1:17" x14ac:dyDescent="0.25">
      <c r="A9" s="1" t="s">
        <v>9</v>
      </c>
      <c r="B9" s="2">
        <f>(1*0.5*0.602)</f>
        <v>0.30099999999999999</v>
      </c>
      <c r="C9" s="2">
        <f>(1*1.5*0.602)</f>
        <v>0.90300000000000002</v>
      </c>
      <c r="D9" s="2">
        <f>(1.5*1*0.602)</f>
        <v>0.90300000000000002</v>
      </c>
      <c r="E9" s="2">
        <f t="shared" si="2"/>
        <v>0.70233333333333337</v>
      </c>
      <c r="G9" s="1" t="s">
        <v>9</v>
      </c>
      <c r="H9" s="2">
        <f>(1.5*1*0.602)</f>
        <v>0.90300000000000002</v>
      </c>
      <c r="I9" s="2">
        <f>(0.5*1*0.602)</f>
        <v>0.30099999999999999</v>
      </c>
      <c r="J9" s="2">
        <f>(1*1*0.602)</f>
        <v>0.60199999999999998</v>
      </c>
      <c r="K9" s="2">
        <f t="shared" si="3"/>
        <v>0.60199999999999998</v>
      </c>
      <c r="M9" s="1" t="s">
        <v>9</v>
      </c>
      <c r="N9" s="2">
        <f>(1*0.5*0.602)</f>
        <v>0.30099999999999999</v>
      </c>
      <c r="O9" s="2">
        <f>(1*1.5*0.602)</f>
        <v>0.90300000000000002</v>
      </c>
      <c r="P9" s="2">
        <f>(1*0.7*0.602)</f>
        <v>0.42139999999999994</v>
      </c>
      <c r="Q9" s="2">
        <f t="shared" si="5"/>
        <v>0.54179999999999995</v>
      </c>
    </row>
    <row r="10" spans="1:17" x14ac:dyDescent="0.25">
      <c r="A10" s="1" t="s">
        <v>10</v>
      </c>
      <c r="B10" s="2">
        <f>(1.5*0.5*0.602)</f>
        <v>0.45150000000000001</v>
      </c>
      <c r="C10" s="2">
        <f>(1.5*1.5*0.602)</f>
        <v>1.3545</v>
      </c>
      <c r="D10" s="2">
        <f>(1.5*2*0.602)</f>
        <v>1.806</v>
      </c>
      <c r="E10" s="2">
        <f t="shared" si="2"/>
        <v>1.204</v>
      </c>
      <c r="G10" s="1" t="s">
        <v>10</v>
      </c>
      <c r="H10" s="2">
        <f>(1*1*0.602)</f>
        <v>0.60199999999999998</v>
      </c>
      <c r="I10" s="2">
        <f t="shared" ref="I10:J10" si="6">(1*1*0.602)</f>
        <v>0.60199999999999998</v>
      </c>
      <c r="J10" s="2">
        <f t="shared" si="6"/>
        <v>0.60199999999999998</v>
      </c>
      <c r="K10" s="2">
        <f t="shared" si="3"/>
        <v>0.60199999999999998</v>
      </c>
      <c r="M10" s="1" t="s">
        <v>10</v>
      </c>
      <c r="N10" s="2">
        <f>(1*0.5*0.602)</f>
        <v>0.30099999999999999</v>
      </c>
      <c r="O10" s="2">
        <f>(1*1.5*0.602)</f>
        <v>0.90300000000000002</v>
      </c>
      <c r="P10" s="2">
        <f>(1*0.6*0.602)</f>
        <v>0.36119999999999997</v>
      </c>
      <c r="Q10" s="2">
        <f t="shared" si="5"/>
        <v>0.52173333333333327</v>
      </c>
    </row>
    <row r="12" spans="1:17" x14ac:dyDescent="0.25">
      <c r="A12" t="s">
        <v>47</v>
      </c>
      <c r="I12" t="s">
        <v>11</v>
      </c>
    </row>
    <row r="14" spans="1:17" x14ac:dyDescent="0.25">
      <c r="A14" s="13" t="s">
        <v>0</v>
      </c>
      <c r="B14" s="15" t="s">
        <v>12</v>
      </c>
      <c r="C14" s="16"/>
      <c r="D14" s="17"/>
      <c r="E14" s="13" t="s">
        <v>13</v>
      </c>
      <c r="F14" s="13" t="s">
        <v>2</v>
      </c>
      <c r="I14" s="1" t="s">
        <v>14</v>
      </c>
      <c r="J14" s="1">
        <v>2</v>
      </c>
    </row>
    <row r="15" spans="1:17" x14ac:dyDescent="0.25">
      <c r="A15" s="14"/>
      <c r="B15" s="6">
        <v>1</v>
      </c>
      <c r="C15" s="6">
        <v>2</v>
      </c>
      <c r="D15" s="6">
        <v>3</v>
      </c>
      <c r="E15" s="14"/>
      <c r="F15" s="14"/>
      <c r="H15" s="4"/>
      <c r="I15" s="1" t="s">
        <v>15</v>
      </c>
      <c r="J15" s="1">
        <v>3</v>
      </c>
      <c r="Q15" s="4"/>
    </row>
    <row r="16" spans="1:17" x14ac:dyDescent="0.25">
      <c r="A16" s="1" t="s">
        <v>5</v>
      </c>
      <c r="B16" s="2">
        <f t="shared" ref="B16:B21" si="7">(E5)</f>
        <v>1.1036666666666666</v>
      </c>
      <c r="C16" s="2">
        <f t="shared" ref="C16:C21" si="8">(K5)</f>
        <v>0.30099999999999999</v>
      </c>
      <c r="D16" s="2">
        <f>(Q5)</f>
        <v>3.01</v>
      </c>
      <c r="E16" s="2">
        <f>SUM(B16:D16)</f>
        <v>4.4146666666666663</v>
      </c>
      <c r="F16" s="2">
        <f>AVERAGE(B16:D16)</f>
        <v>1.4715555555555555</v>
      </c>
      <c r="I16" s="1" t="s">
        <v>16</v>
      </c>
      <c r="J16" s="1">
        <v>3</v>
      </c>
    </row>
    <row r="17" spans="1:17" x14ac:dyDescent="0.25">
      <c r="A17" s="1" t="s">
        <v>6</v>
      </c>
      <c r="B17" s="2">
        <f t="shared" si="7"/>
        <v>2.809333333333333</v>
      </c>
      <c r="C17" s="2">
        <f t="shared" si="8"/>
        <v>0.70233333333333337</v>
      </c>
      <c r="D17" s="2">
        <f t="shared" ref="D17:D20" si="9">(Q6)</f>
        <v>0.30099999999999999</v>
      </c>
      <c r="E17" s="2">
        <f t="shared" ref="E17:E21" si="10">SUM(B17:D17)</f>
        <v>3.8126666666666664</v>
      </c>
      <c r="F17" s="2">
        <f t="shared" ref="F17:F21" si="11">AVERAGE(B17:D17)</f>
        <v>1.2708888888888887</v>
      </c>
      <c r="H17" s="4"/>
      <c r="I17" s="1" t="s">
        <v>17</v>
      </c>
      <c r="J17" s="3">
        <f>(E22^2)/(J14*J15*J16)</f>
        <v>25.159344027222218</v>
      </c>
    </row>
    <row r="18" spans="1:17" x14ac:dyDescent="0.25">
      <c r="A18" s="1" t="s">
        <v>7</v>
      </c>
      <c r="B18" s="2">
        <f t="shared" si="7"/>
        <v>2.809333333333333</v>
      </c>
      <c r="C18" s="2">
        <f t="shared" si="8"/>
        <v>2.6487999999999996</v>
      </c>
      <c r="D18" s="2">
        <f t="shared" si="9"/>
        <v>0.30099999999999999</v>
      </c>
      <c r="E18" s="2">
        <f t="shared" si="10"/>
        <v>5.7591333333333328</v>
      </c>
      <c r="F18" s="2">
        <f t="shared" si="11"/>
        <v>1.9197111111111109</v>
      </c>
    </row>
    <row r="19" spans="1:17" x14ac:dyDescent="0.25">
      <c r="A19" s="1" t="s">
        <v>8</v>
      </c>
      <c r="B19" s="2">
        <f t="shared" si="7"/>
        <v>1.9063333333333332</v>
      </c>
      <c r="C19" s="2">
        <f t="shared" si="8"/>
        <v>0.56186666666666663</v>
      </c>
      <c r="D19" s="2">
        <f t="shared" si="9"/>
        <v>0.65216666666666667</v>
      </c>
      <c r="E19" s="2">
        <f t="shared" si="10"/>
        <v>3.1203666666666665</v>
      </c>
      <c r="F19" s="2">
        <f t="shared" si="11"/>
        <v>1.0401222222222222</v>
      </c>
      <c r="I19" t="s">
        <v>18</v>
      </c>
    </row>
    <row r="20" spans="1:17" x14ac:dyDescent="0.25">
      <c r="A20" s="1" t="s">
        <v>9</v>
      </c>
      <c r="B20" s="2">
        <f t="shared" si="7"/>
        <v>0.70233333333333337</v>
      </c>
      <c r="C20" s="2">
        <f t="shared" si="8"/>
        <v>0.60199999999999998</v>
      </c>
      <c r="D20" s="2">
        <f t="shared" si="9"/>
        <v>0.54179999999999995</v>
      </c>
      <c r="E20" s="2">
        <f t="shared" si="10"/>
        <v>1.8461333333333334</v>
      </c>
      <c r="F20" s="2">
        <f t="shared" si="11"/>
        <v>0.6153777777777778</v>
      </c>
      <c r="Q20" s="4"/>
    </row>
    <row r="21" spans="1:17" x14ac:dyDescent="0.25">
      <c r="A21" s="1" t="s">
        <v>10</v>
      </c>
      <c r="B21" s="2">
        <f t="shared" si="7"/>
        <v>1.204</v>
      </c>
      <c r="C21" s="2">
        <f t="shared" si="8"/>
        <v>0.60199999999999998</v>
      </c>
      <c r="D21" s="2">
        <f>(Q10)</f>
        <v>0.52173333333333327</v>
      </c>
      <c r="E21" s="2">
        <f t="shared" si="10"/>
        <v>2.3277333333333332</v>
      </c>
      <c r="F21" s="2">
        <f t="shared" si="11"/>
        <v>0.77591111111111111</v>
      </c>
      <c r="I21" s="7" t="s">
        <v>19</v>
      </c>
      <c r="J21" s="7" t="s">
        <v>20</v>
      </c>
      <c r="K21" s="7" t="s">
        <v>21</v>
      </c>
      <c r="L21" s="7" t="s">
        <v>22</v>
      </c>
      <c r="M21" s="7" t="s">
        <v>23</v>
      </c>
      <c r="N21" s="7" t="s">
        <v>24</v>
      </c>
      <c r="O21" s="7" t="s">
        <v>25</v>
      </c>
      <c r="P21" s="7" t="s">
        <v>26</v>
      </c>
    </row>
    <row r="22" spans="1:17" x14ac:dyDescent="0.25">
      <c r="A22" s="1" t="s">
        <v>27</v>
      </c>
      <c r="B22" s="2">
        <f>SUM(B16:B21)</f>
        <v>10.535</v>
      </c>
      <c r="C22" s="2">
        <f t="shared" ref="C22:E22" si="12">SUM(C16:C21)</f>
        <v>5.4180000000000001</v>
      </c>
      <c r="D22" s="2">
        <f t="shared" si="12"/>
        <v>5.327700000000001</v>
      </c>
      <c r="E22" s="2">
        <f t="shared" si="12"/>
        <v>21.2807</v>
      </c>
      <c r="F22" s="2">
        <f>SUM(F16:F21)</f>
        <v>7.0935666666666668</v>
      </c>
      <c r="I22" s="1" t="s">
        <v>28</v>
      </c>
      <c r="J22" s="1">
        <f>(J16-1)</f>
        <v>2</v>
      </c>
      <c r="K22" s="1">
        <f>SUMSQ(B22:D22)/6-J17</f>
        <v>2.9615453544444499</v>
      </c>
      <c r="L22" s="1">
        <f>(K22/J22)</f>
        <v>1.4807726772222249</v>
      </c>
      <c r="M22" s="1">
        <f>(L22/L27)</f>
        <v>1.4948830780800679</v>
      </c>
      <c r="N22" s="1" t="str">
        <f>IF(M22&lt;O22,"tn",IF(M22&lt;P22,"*","**"))</f>
        <v>tn</v>
      </c>
      <c r="O22" s="1">
        <f>FINV(5%,$J22,$J27)</f>
        <v>4.1028210151304032</v>
      </c>
      <c r="P22" s="1">
        <f>FINV(1%,$J22,$J27)</f>
        <v>7.5594321575479011</v>
      </c>
    </row>
    <row r="23" spans="1:17" x14ac:dyDescent="0.25">
      <c r="I23" s="1" t="s">
        <v>0</v>
      </c>
      <c r="J23" s="1">
        <f>(J14*J15)-1</f>
        <v>5</v>
      </c>
      <c r="K23" s="1">
        <f>SUMSQ(E16:E21)/J16-J17</f>
        <v>3.4261774827777778</v>
      </c>
      <c r="L23" s="1">
        <f t="shared" ref="L23:L27" si="13">(K23/J23)</f>
        <v>0.6852354965555556</v>
      </c>
      <c r="M23" s="1">
        <f>(L23/L27)</f>
        <v>0.69176516021504442</v>
      </c>
      <c r="N23" s="1" t="str">
        <f t="shared" ref="N23:N26" si="14">IF(M23&lt;O23,"tn",IF(M23&lt;P23,"*","**"))</f>
        <v>tn</v>
      </c>
      <c r="O23" s="1">
        <f>FINV(5%, $J23,$J27)</f>
        <v>3.325834530413013</v>
      </c>
      <c r="P23" s="1">
        <f>FINV(1%,$J23,$J27)</f>
        <v>5.6363261876690833</v>
      </c>
    </row>
    <row r="24" spans="1:17" x14ac:dyDescent="0.25">
      <c r="A24" t="s">
        <v>29</v>
      </c>
      <c r="I24" s="1" t="s">
        <v>30</v>
      </c>
      <c r="J24" s="1">
        <f>(J14-1)</f>
        <v>1</v>
      </c>
      <c r="K24" s="1">
        <f>SUMSQ(E27:E28)/(J16*J15)-J17</f>
        <v>2.4881103882098756</v>
      </c>
      <c r="L24" s="1">
        <f t="shared" si="13"/>
        <v>2.4881103882098756</v>
      </c>
      <c r="M24" s="1">
        <f>(L24/L27)</f>
        <v>2.511819790399862</v>
      </c>
      <c r="N24" s="1" t="str">
        <f t="shared" si="14"/>
        <v>tn</v>
      </c>
      <c r="O24" s="1">
        <f>FINV(5%,$J24,$J27)</f>
        <v>4.9646027437307128</v>
      </c>
      <c r="P24" s="1">
        <f>FINV(1%,$J24,$J27)</f>
        <v>10.044289273396597</v>
      </c>
    </row>
    <row r="25" spans="1:17" x14ac:dyDescent="0.25">
      <c r="A25" s="13" t="s">
        <v>30</v>
      </c>
      <c r="B25" s="15" t="s">
        <v>31</v>
      </c>
      <c r="C25" s="16"/>
      <c r="D25" s="17"/>
      <c r="E25" s="13" t="s">
        <v>27</v>
      </c>
      <c r="F25" s="13" t="s">
        <v>2</v>
      </c>
      <c r="I25" s="1" t="s">
        <v>31</v>
      </c>
      <c r="J25" s="1">
        <f>(J15-1)</f>
        <v>2</v>
      </c>
      <c r="K25" s="1">
        <f>SUMSQ(B29:D29)/(J16*J14)-J17</f>
        <v>0.54001551592592634</v>
      </c>
      <c r="L25" s="1">
        <f t="shared" si="13"/>
        <v>0.27000775796296317</v>
      </c>
      <c r="M25" s="1">
        <f>(L25/L27)</f>
        <v>0.27258068340803004</v>
      </c>
      <c r="N25" s="1" t="str">
        <f t="shared" si="14"/>
        <v>tn</v>
      </c>
      <c r="O25" s="1">
        <f>FINV(5%,$J25,$J27)</f>
        <v>4.1028210151304032</v>
      </c>
      <c r="P25" s="1">
        <f>FINV(1%,$J25,$J27)</f>
        <v>7.5594321575479011</v>
      </c>
    </row>
    <row r="26" spans="1:17" x14ac:dyDescent="0.25">
      <c r="A26" s="14"/>
      <c r="B26" s="6" t="s">
        <v>32</v>
      </c>
      <c r="C26" s="6" t="s">
        <v>33</v>
      </c>
      <c r="D26" s="6" t="s">
        <v>34</v>
      </c>
      <c r="E26" s="14"/>
      <c r="F26" s="14"/>
      <c r="I26" s="1" t="s">
        <v>39</v>
      </c>
      <c r="J26" s="1">
        <f>(J23-J24-J25)</f>
        <v>2</v>
      </c>
      <c r="K26" s="1">
        <f>(K23-K24-K25)</f>
        <v>0.39805157864197582</v>
      </c>
      <c r="L26" s="1">
        <f t="shared" si="13"/>
        <v>0.19902578932098791</v>
      </c>
      <c r="M26" s="1">
        <f>(L26/L27)</f>
        <v>0.20092232192964996</v>
      </c>
      <c r="N26" s="1" t="str">
        <f t="shared" si="14"/>
        <v>tn</v>
      </c>
      <c r="O26" s="1">
        <f>FINV(5%,$J26,$J27)</f>
        <v>4.1028210151304032</v>
      </c>
      <c r="P26" s="1">
        <f>FINV(1%,$J26,$J27)</f>
        <v>7.5594321575479011</v>
      </c>
    </row>
    <row r="27" spans="1:17" x14ac:dyDescent="0.25">
      <c r="A27" s="1" t="s">
        <v>35</v>
      </c>
      <c r="B27" s="2">
        <f>(E16)</f>
        <v>4.4146666666666663</v>
      </c>
      <c r="C27" s="2">
        <f>(E17)</f>
        <v>3.8126666666666664</v>
      </c>
      <c r="D27" s="2">
        <f>(E18)</f>
        <v>5.7591333333333328</v>
      </c>
      <c r="E27" s="2">
        <f>SUM(B27:D27)</f>
        <v>13.986466666666665</v>
      </c>
      <c r="F27" s="2">
        <f>E27/9</f>
        <v>1.5540518518518516</v>
      </c>
      <c r="H27" s="4"/>
      <c r="I27" s="1" t="s">
        <v>36</v>
      </c>
      <c r="J27" s="1">
        <f>(J28-J22-J23)</f>
        <v>10</v>
      </c>
      <c r="K27" s="1">
        <f>(K28-K23-K22)</f>
        <v>9.9056086655555333</v>
      </c>
      <c r="L27" s="1">
        <f t="shared" si="13"/>
        <v>0.99056086655555331</v>
      </c>
      <c r="M27" s="5"/>
      <c r="N27" s="5"/>
      <c r="O27" s="5"/>
      <c r="P27" s="5"/>
    </row>
    <row r="28" spans="1:17" x14ac:dyDescent="0.25">
      <c r="A28" s="1" t="s">
        <v>37</v>
      </c>
      <c r="B28" s="2">
        <f>(E19)</f>
        <v>3.1203666666666665</v>
      </c>
      <c r="C28" s="2">
        <f>(E20)</f>
        <v>1.8461333333333334</v>
      </c>
      <c r="D28" s="2">
        <f>(E21)</f>
        <v>2.3277333333333332</v>
      </c>
      <c r="E28" s="2">
        <f>SUM(B28:D28)</f>
        <v>7.2942333333333327</v>
      </c>
      <c r="F28" s="2">
        <f>E28/9</f>
        <v>0.81047037037037029</v>
      </c>
      <c r="I28" s="1" t="s">
        <v>27</v>
      </c>
      <c r="J28" s="1">
        <f>(J14*J15*J16-1)</f>
        <v>17</v>
      </c>
      <c r="K28" s="1">
        <f>SUMSQ(B16:D21)-J17</f>
        <v>16.293331502777761</v>
      </c>
      <c r="L28" s="5"/>
      <c r="M28" s="5"/>
      <c r="N28" s="5"/>
      <c r="O28" s="5"/>
      <c r="P28" s="5"/>
    </row>
    <row r="29" spans="1:17" x14ac:dyDescent="0.25">
      <c r="A29" s="1" t="s">
        <v>27</v>
      </c>
      <c r="B29" s="2">
        <f>SUM(B27:B28)</f>
        <v>7.5350333333333328</v>
      </c>
      <c r="C29" s="2">
        <f t="shared" ref="C29:E29" si="15">SUM(C27:C28)</f>
        <v>5.6587999999999994</v>
      </c>
      <c r="D29" s="2">
        <f t="shared" si="15"/>
        <v>8.0868666666666655</v>
      </c>
      <c r="E29" s="2">
        <f t="shared" si="15"/>
        <v>21.280699999999996</v>
      </c>
      <c r="F29" s="5"/>
      <c r="H29" s="4"/>
    </row>
    <row r="30" spans="1:17" x14ac:dyDescent="0.25">
      <c r="A30" s="1" t="s">
        <v>2</v>
      </c>
      <c r="B30" s="2">
        <f>(B29/6)</f>
        <v>1.2558388888888887</v>
      </c>
      <c r="C30" s="2">
        <f>(C29/6)</f>
        <v>0.94313333333333327</v>
      </c>
      <c r="D30" s="2">
        <f>(D29/6)</f>
        <v>1.3478111111111108</v>
      </c>
      <c r="E30" s="5"/>
      <c r="F30" s="5"/>
    </row>
    <row r="31" spans="1:17" x14ac:dyDescent="0.25">
      <c r="I31" t="s">
        <v>0</v>
      </c>
      <c r="J31" t="s">
        <v>40</v>
      </c>
      <c r="K31" t="s">
        <v>44</v>
      </c>
    </row>
    <row r="32" spans="1:17" x14ac:dyDescent="0.25">
      <c r="I32" t="s">
        <v>35</v>
      </c>
      <c r="J32">
        <f>(E27/9)</f>
        <v>1.5540518518518516</v>
      </c>
      <c r="K32" t="s">
        <v>45</v>
      </c>
    </row>
    <row r="33" spans="7:21" x14ac:dyDescent="0.25">
      <c r="H33" s="9"/>
      <c r="I33" t="s">
        <v>37</v>
      </c>
      <c r="J33">
        <f>(E28/9)</f>
        <v>0.81047037037037029</v>
      </c>
      <c r="K33" t="s">
        <v>45</v>
      </c>
      <c r="L33">
        <f>(J34+J33)</f>
        <v>1.8558348321952427</v>
      </c>
    </row>
    <row r="34" spans="7:21" x14ac:dyDescent="0.25">
      <c r="G34" t="s">
        <v>42</v>
      </c>
      <c r="H34" s="9">
        <v>3.1509999999999998</v>
      </c>
      <c r="I34" t="s">
        <v>41</v>
      </c>
      <c r="J34">
        <f>(H34*(L27/9)^0.5)</f>
        <v>1.0453644618248723</v>
      </c>
      <c r="L34">
        <f>(J34+J32)</f>
        <v>2.5994163136767239</v>
      </c>
      <c r="U34" t="s">
        <v>46</v>
      </c>
    </row>
    <row r="35" spans="7:21" x14ac:dyDescent="0.25">
      <c r="H35" s="9"/>
      <c r="I35" t="s">
        <v>32</v>
      </c>
      <c r="J35">
        <f>(B29/6)</f>
        <v>1.2558388888888887</v>
      </c>
      <c r="K35" t="s">
        <v>45</v>
      </c>
    </row>
    <row r="36" spans="7:21" x14ac:dyDescent="0.25">
      <c r="H36" s="9"/>
      <c r="I36" t="s">
        <v>33</v>
      </c>
      <c r="J36">
        <f>(C29/6)</f>
        <v>0.94313333333333327</v>
      </c>
      <c r="K36" t="s">
        <v>45</v>
      </c>
    </row>
    <row r="37" spans="7:21" x14ac:dyDescent="0.25">
      <c r="H37" s="9"/>
      <c r="I37" t="s">
        <v>34</v>
      </c>
      <c r="J37">
        <f>(D29/6)</f>
        <v>1.3478111111111108</v>
      </c>
      <c r="K37" t="s">
        <v>45</v>
      </c>
      <c r="L37">
        <f>(J38+J36)</f>
        <v>2.5184242148082601</v>
      </c>
    </row>
    <row r="38" spans="7:21" x14ac:dyDescent="0.25">
      <c r="G38" t="s">
        <v>43</v>
      </c>
      <c r="H38" s="9">
        <v>3.8769999999999998</v>
      </c>
      <c r="I38" t="s">
        <v>41</v>
      </c>
      <c r="J38">
        <f>(H38*(L27/6)^0.5)</f>
        <v>1.5752908814749267</v>
      </c>
      <c r="L38">
        <f>(J38+J35)</f>
        <v>2.8311297703638152</v>
      </c>
    </row>
    <row r="39" spans="7:21" x14ac:dyDescent="0.25">
      <c r="H39" s="9"/>
    </row>
    <row r="40" spans="7:21" x14ac:dyDescent="0.25">
      <c r="H40" s="9"/>
    </row>
  </sheetData>
  <mergeCells count="17">
    <mergeCell ref="F25:F26"/>
    <mergeCell ref="E25:E26"/>
    <mergeCell ref="B25:D25"/>
    <mergeCell ref="A25:A26"/>
    <mergeCell ref="F14:F15"/>
    <mergeCell ref="E14:E15"/>
    <mergeCell ref="A14:A15"/>
    <mergeCell ref="B14:D14"/>
    <mergeCell ref="E3:E4"/>
    <mergeCell ref="B3:D3"/>
    <mergeCell ref="A3:A4"/>
    <mergeCell ref="Q3:Q4"/>
    <mergeCell ref="N3:P3"/>
    <mergeCell ref="M3:M4"/>
    <mergeCell ref="K3:K4"/>
    <mergeCell ref="H3:J3"/>
    <mergeCell ref="G3:G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9"/>
  <sheetViews>
    <sheetView topLeftCell="A17" workbookViewId="0">
      <selection activeCell="J38" sqref="J38"/>
    </sheetView>
  </sheetViews>
  <sheetFormatPr defaultRowHeight="15" x14ac:dyDescent="0.25"/>
  <cols>
    <col min="1" max="1" width="9.42578125" customWidth="1"/>
    <col min="7" max="7" width="9.5703125" customWidth="1"/>
    <col min="9" max="9" width="10" customWidth="1"/>
    <col min="13" max="13" width="9.7109375" customWidth="1"/>
  </cols>
  <sheetData>
    <row r="1" spans="1:17" x14ac:dyDescent="0.25">
      <c r="A1" t="s">
        <v>38</v>
      </c>
    </row>
    <row r="3" spans="1:17" x14ac:dyDescent="0.25">
      <c r="A3" s="13" t="s">
        <v>0</v>
      </c>
      <c r="B3" s="15" t="s">
        <v>1</v>
      </c>
      <c r="C3" s="16"/>
      <c r="D3" s="17"/>
      <c r="E3" s="13" t="s">
        <v>2</v>
      </c>
      <c r="G3" s="13" t="s">
        <v>0</v>
      </c>
      <c r="H3" s="15" t="s">
        <v>3</v>
      </c>
      <c r="I3" s="16"/>
      <c r="J3" s="17"/>
      <c r="K3" s="13" t="s">
        <v>2</v>
      </c>
      <c r="M3" s="13" t="s">
        <v>0</v>
      </c>
      <c r="N3" s="15" t="s">
        <v>4</v>
      </c>
      <c r="O3" s="16"/>
      <c r="P3" s="17"/>
      <c r="Q3" s="13" t="s">
        <v>2</v>
      </c>
    </row>
    <row r="4" spans="1:17" x14ac:dyDescent="0.25">
      <c r="A4" s="14"/>
      <c r="B4" s="6">
        <v>1</v>
      </c>
      <c r="C4" s="6">
        <v>2</v>
      </c>
      <c r="D4" s="6">
        <v>3</v>
      </c>
      <c r="E4" s="14"/>
      <c r="G4" s="14"/>
      <c r="H4" s="8">
        <v>1</v>
      </c>
      <c r="I4" s="6">
        <v>2</v>
      </c>
      <c r="J4" s="6">
        <v>3</v>
      </c>
      <c r="K4" s="14"/>
      <c r="M4" s="14"/>
      <c r="N4" s="6">
        <v>1</v>
      </c>
      <c r="O4" s="6">
        <v>2</v>
      </c>
      <c r="P4" s="6">
        <v>3</v>
      </c>
      <c r="Q4" s="14"/>
    </row>
    <row r="5" spans="1:17" x14ac:dyDescent="0.25">
      <c r="A5" s="1" t="s">
        <v>5</v>
      </c>
      <c r="B5" s="2">
        <f>(4*2.5*0.602)</f>
        <v>6.02</v>
      </c>
      <c r="C5" s="2">
        <f>(1.5*2*0.602)</f>
        <v>1.806</v>
      </c>
      <c r="D5" s="2"/>
      <c r="E5" s="2">
        <f>AVERAGE(B5:D5)</f>
        <v>3.9129999999999998</v>
      </c>
      <c r="G5" s="1" t="s">
        <v>5</v>
      </c>
      <c r="H5" s="2">
        <f>(2*1.5*0.602)</f>
        <v>1.806</v>
      </c>
      <c r="I5" s="2">
        <f>(1.5*1*0.602)</f>
        <v>0.90300000000000002</v>
      </c>
      <c r="J5" s="2"/>
      <c r="K5" s="2">
        <f>AVERAGE(H5:J5)</f>
        <v>1.3545</v>
      </c>
      <c r="M5" s="1" t="s">
        <v>5</v>
      </c>
      <c r="N5" s="2">
        <f>(2*2.5*0.602)</f>
        <v>3.01</v>
      </c>
      <c r="O5" s="2">
        <f>(2.5*1.6*0.602)</f>
        <v>2.4079999999999999</v>
      </c>
      <c r="P5" s="2"/>
      <c r="Q5" s="2">
        <f>AVERAGE(N5:P5)</f>
        <v>2.7089999999999996</v>
      </c>
    </row>
    <row r="6" spans="1:17" x14ac:dyDescent="0.25">
      <c r="A6" s="1" t="s">
        <v>6</v>
      </c>
      <c r="B6" s="2">
        <f>(3.5*3*0.602)</f>
        <v>6.3209999999999997</v>
      </c>
      <c r="C6" s="2">
        <f>(2.5*2*0.602)</f>
        <v>3.01</v>
      </c>
      <c r="D6" s="2"/>
      <c r="E6" s="2">
        <f t="shared" ref="E6:E10" si="0">AVERAGE(B6:D6)</f>
        <v>4.6654999999999998</v>
      </c>
      <c r="G6" s="1" t="s">
        <v>6</v>
      </c>
      <c r="H6" s="2">
        <f>(2*1.5*0.602)</f>
        <v>1.806</v>
      </c>
      <c r="I6" s="2">
        <f>(2*2.5*0.602)</f>
        <v>3.01</v>
      </c>
      <c r="J6" s="2"/>
      <c r="K6" s="2">
        <f t="shared" ref="K6:K10" si="1">AVERAGE(H6:J6)</f>
        <v>2.4079999999999999</v>
      </c>
      <c r="M6" s="1" t="s">
        <v>6</v>
      </c>
      <c r="N6" s="2">
        <f>(1*2.3*0.602)</f>
        <v>1.3845999999999998</v>
      </c>
      <c r="O6" s="2">
        <f>(2*2.5*0.602)</f>
        <v>3.01</v>
      </c>
      <c r="P6" s="2"/>
      <c r="Q6" s="2">
        <f t="shared" ref="Q6:Q10" si="2">AVERAGE(N6:P6)</f>
        <v>2.1972999999999998</v>
      </c>
    </row>
    <row r="7" spans="1:17" x14ac:dyDescent="0.25">
      <c r="A7" s="1" t="s">
        <v>7</v>
      </c>
      <c r="B7" s="2">
        <f>(2*2.5*0.602)</f>
        <v>3.01</v>
      </c>
      <c r="C7" s="2">
        <f>(2*2.5*0.602)</f>
        <v>3.01</v>
      </c>
      <c r="D7" s="2">
        <f>(2*2*0.602)</f>
        <v>2.4079999999999999</v>
      </c>
      <c r="E7" s="2">
        <f t="shared" si="0"/>
        <v>2.809333333333333</v>
      </c>
      <c r="G7" s="1" t="s">
        <v>7</v>
      </c>
      <c r="H7" s="2">
        <f>(2.5*2*0.602)</f>
        <v>3.01</v>
      </c>
      <c r="I7" s="2">
        <f>(2*2.8*0.602)</f>
        <v>3.3711999999999995</v>
      </c>
      <c r="J7" s="2"/>
      <c r="K7" s="2">
        <f t="shared" si="1"/>
        <v>3.1905999999999999</v>
      </c>
      <c r="M7" s="1" t="s">
        <v>7</v>
      </c>
      <c r="N7" s="2">
        <f>(2*2.5*0.602)</f>
        <v>3.01</v>
      </c>
      <c r="O7" s="2">
        <f>(2*1.5*0.602)</f>
        <v>1.806</v>
      </c>
      <c r="P7" s="2"/>
      <c r="Q7" s="2">
        <f t="shared" si="2"/>
        <v>2.4079999999999999</v>
      </c>
    </row>
    <row r="8" spans="1:17" x14ac:dyDescent="0.25">
      <c r="A8" s="1" t="s">
        <v>8</v>
      </c>
      <c r="B8" s="2">
        <f>(2*1.5*0.602)</f>
        <v>1.806</v>
      </c>
      <c r="C8" s="2">
        <f>(2*2.5*0.602)</f>
        <v>3.01</v>
      </c>
      <c r="D8" s="2">
        <f>(2*2.3*0.602)</f>
        <v>2.7691999999999997</v>
      </c>
      <c r="E8" s="2">
        <f t="shared" si="0"/>
        <v>2.5284</v>
      </c>
      <c r="G8" s="1" t="s">
        <v>8</v>
      </c>
      <c r="H8" s="2">
        <f>(2*2*0.602)</f>
        <v>2.4079999999999999</v>
      </c>
      <c r="I8" s="2">
        <f>(2*2.5*0.602)</f>
        <v>3.01</v>
      </c>
      <c r="J8" s="2"/>
      <c r="K8" s="2">
        <f t="shared" si="1"/>
        <v>2.7089999999999996</v>
      </c>
      <c r="M8" s="1" t="s">
        <v>8</v>
      </c>
      <c r="N8" s="2">
        <f>(1*1.5*0.602)</f>
        <v>0.90300000000000002</v>
      </c>
      <c r="O8" s="2">
        <f>(1.5*2*0.602)</f>
        <v>1.806</v>
      </c>
      <c r="P8" s="2">
        <f>(1*1.5*0.602)</f>
        <v>0.90300000000000002</v>
      </c>
      <c r="Q8" s="2">
        <f t="shared" si="2"/>
        <v>1.204</v>
      </c>
    </row>
    <row r="9" spans="1:17" x14ac:dyDescent="0.25">
      <c r="A9" s="1" t="s">
        <v>9</v>
      </c>
      <c r="B9" s="2">
        <f>(3.5*3*0.602)</f>
        <v>6.3209999999999997</v>
      </c>
      <c r="C9" s="2">
        <f>(3*2*0.602)</f>
        <v>3.6120000000000001</v>
      </c>
      <c r="D9" s="2"/>
      <c r="E9" s="2">
        <f t="shared" si="0"/>
        <v>4.9664999999999999</v>
      </c>
      <c r="G9" s="1" t="s">
        <v>9</v>
      </c>
      <c r="H9" s="2">
        <f>(3.5*2.4*0.602)</f>
        <v>5.0568</v>
      </c>
      <c r="I9" s="2">
        <f>(1.5*1*0.602)</f>
        <v>0.90300000000000002</v>
      </c>
      <c r="J9" s="2">
        <f>(1*1*0.602)</f>
        <v>0.60199999999999998</v>
      </c>
      <c r="K9" s="2">
        <f t="shared" si="1"/>
        <v>2.1872666666666665</v>
      </c>
      <c r="M9" s="1" t="s">
        <v>9</v>
      </c>
      <c r="N9" s="2">
        <f>(1*0.5*0.602)</f>
        <v>0.30099999999999999</v>
      </c>
      <c r="O9" s="2">
        <f>(1*1.5*0.602)</f>
        <v>0.90300000000000002</v>
      </c>
      <c r="P9" s="2">
        <f>(1*2*0.602)</f>
        <v>1.204</v>
      </c>
      <c r="Q9" s="2">
        <f t="shared" si="2"/>
        <v>0.80266666666666664</v>
      </c>
    </row>
    <row r="10" spans="1:17" x14ac:dyDescent="0.25">
      <c r="A10" s="1" t="s">
        <v>10</v>
      </c>
      <c r="B10" s="2">
        <f>(2*2*0.602)</f>
        <v>2.4079999999999999</v>
      </c>
      <c r="C10" s="2">
        <f>(2.5*2*0.602)</f>
        <v>3.01</v>
      </c>
      <c r="D10" s="2"/>
      <c r="E10" s="2">
        <f t="shared" si="0"/>
        <v>2.7089999999999996</v>
      </c>
      <c r="G10" s="1" t="s">
        <v>10</v>
      </c>
      <c r="H10" s="2">
        <f>(2.5*2.3*0.602)</f>
        <v>3.4615</v>
      </c>
      <c r="I10" s="2">
        <f>(1.9*1.7*0.602)</f>
        <v>1.9444599999999999</v>
      </c>
      <c r="J10" s="2">
        <f>(1*1.5*0.602)</f>
        <v>0.90300000000000002</v>
      </c>
      <c r="K10" s="2">
        <f t="shared" si="1"/>
        <v>2.1029866666666668</v>
      </c>
      <c r="M10" s="1" t="s">
        <v>10</v>
      </c>
      <c r="N10" s="2">
        <f>(1*1*0.602)</f>
        <v>0.60199999999999998</v>
      </c>
      <c r="O10" s="2">
        <f>(2*1.5*0.602)</f>
        <v>1.806</v>
      </c>
      <c r="P10" s="2">
        <f>(2*1.6*0.602)</f>
        <v>1.9264000000000001</v>
      </c>
      <c r="Q10" s="2">
        <f t="shared" si="2"/>
        <v>1.4448000000000001</v>
      </c>
    </row>
    <row r="12" spans="1:17" x14ac:dyDescent="0.25">
      <c r="A12" t="s">
        <v>47</v>
      </c>
      <c r="I12" t="s">
        <v>11</v>
      </c>
    </row>
    <row r="14" spans="1:17" x14ac:dyDescent="0.25">
      <c r="A14" s="13" t="s">
        <v>0</v>
      </c>
      <c r="B14" s="15" t="s">
        <v>12</v>
      </c>
      <c r="C14" s="16"/>
      <c r="D14" s="17"/>
      <c r="E14" s="13" t="s">
        <v>13</v>
      </c>
      <c r="F14" s="13" t="s">
        <v>2</v>
      </c>
      <c r="I14" s="1" t="s">
        <v>14</v>
      </c>
      <c r="J14" s="1">
        <v>2</v>
      </c>
    </row>
    <row r="15" spans="1:17" x14ac:dyDescent="0.25">
      <c r="A15" s="14"/>
      <c r="B15" s="6">
        <v>1</v>
      </c>
      <c r="C15" s="6">
        <v>2</v>
      </c>
      <c r="D15" s="6">
        <v>3</v>
      </c>
      <c r="E15" s="14"/>
      <c r="F15" s="14"/>
      <c r="H15" s="4"/>
      <c r="I15" s="1" t="s">
        <v>15</v>
      </c>
      <c r="J15" s="1">
        <v>3</v>
      </c>
      <c r="Q15" s="4"/>
    </row>
    <row r="16" spans="1:17" x14ac:dyDescent="0.25">
      <c r="A16" s="1" t="s">
        <v>5</v>
      </c>
      <c r="B16" s="2">
        <f t="shared" ref="B16:B21" si="3">(E5)</f>
        <v>3.9129999999999998</v>
      </c>
      <c r="C16" s="2">
        <f t="shared" ref="C16:C21" si="4">(K5)</f>
        <v>1.3545</v>
      </c>
      <c r="D16" s="2">
        <f>(Q5)</f>
        <v>2.7089999999999996</v>
      </c>
      <c r="E16" s="2">
        <f>SUM(B16:D16)</f>
        <v>7.9764999999999997</v>
      </c>
      <c r="F16" s="2">
        <f>AVERAGE(B16:D16)</f>
        <v>2.6588333333333334</v>
      </c>
      <c r="I16" s="1" t="s">
        <v>16</v>
      </c>
      <c r="J16" s="1">
        <v>3</v>
      </c>
    </row>
    <row r="17" spans="1:17" x14ac:dyDescent="0.25">
      <c r="A17" s="1" t="s">
        <v>6</v>
      </c>
      <c r="B17" s="2">
        <f t="shared" si="3"/>
        <v>4.6654999999999998</v>
      </c>
      <c r="C17" s="2">
        <f t="shared" si="4"/>
        <v>2.4079999999999999</v>
      </c>
      <c r="D17" s="2">
        <f t="shared" ref="D17:D20" si="5">(Q6)</f>
        <v>2.1972999999999998</v>
      </c>
      <c r="E17" s="2">
        <f t="shared" ref="E17:E21" si="6">SUM(B17:D17)</f>
        <v>9.2707999999999995</v>
      </c>
      <c r="F17" s="2">
        <f t="shared" ref="F17:F21" si="7">AVERAGE(B17:D17)</f>
        <v>3.0902666666666665</v>
      </c>
      <c r="H17" s="4"/>
      <c r="I17" s="1" t="s">
        <v>17</v>
      </c>
      <c r="J17" s="3">
        <f>(E22^2)/(J14*J15*J16)</f>
        <v>119.14458420860245</v>
      </c>
    </row>
    <row r="18" spans="1:17" x14ac:dyDescent="0.25">
      <c r="A18" s="1" t="s">
        <v>7</v>
      </c>
      <c r="B18" s="2">
        <f t="shared" si="3"/>
        <v>2.809333333333333</v>
      </c>
      <c r="C18" s="2">
        <f t="shared" si="4"/>
        <v>3.1905999999999999</v>
      </c>
      <c r="D18" s="2">
        <f t="shared" si="5"/>
        <v>2.4079999999999999</v>
      </c>
      <c r="E18" s="2">
        <f t="shared" si="6"/>
        <v>8.4079333333333324</v>
      </c>
      <c r="F18" s="2">
        <f t="shared" si="7"/>
        <v>2.8026444444444443</v>
      </c>
    </row>
    <row r="19" spans="1:17" x14ac:dyDescent="0.25">
      <c r="A19" s="1" t="s">
        <v>8</v>
      </c>
      <c r="B19" s="2">
        <f t="shared" si="3"/>
        <v>2.5284</v>
      </c>
      <c r="C19" s="2">
        <f t="shared" si="4"/>
        <v>2.7089999999999996</v>
      </c>
      <c r="D19" s="2">
        <f t="shared" si="5"/>
        <v>1.204</v>
      </c>
      <c r="E19" s="2">
        <f t="shared" si="6"/>
        <v>6.4413999999999989</v>
      </c>
      <c r="F19" s="2">
        <f t="shared" si="7"/>
        <v>2.1471333333333331</v>
      </c>
      <c r="I19" t="s">
        <v>18</v>
      </c>
    </row>
    <row r="20" spans="1:17" x14ac:dyDescent="0.25">
      <c r="A20" s="1" t="s">
        <v>9</v>
      </c>
      <c r="B20" s="2">
        <f t="shared" si="3"/>
        <v>4.9664999999999999</v>
      </c>
      <c r="C20" s="2">
        <f t="shared" si="4"/>
        <v>2.1872666666666665</v>
      </c>
      <c r="D20" s="2">
        <f t="shared" si="5"/>
        <v>0.80266666666666664</v>
      </c>
      <c r="E20" s="2">
        <f t="shared" si="6"/>
        <v>7.956433333333333</v>
      </c>
      <c r="F20" s="2">
        <f t="shared" si="7"/>
        <v>2.6521444444444442</v>
      </c>
      <c r="Q20" s="4"/>
    </row>
    <row r="21" spans="1:17" x14ac:dyDescent="0.25">
      <c r="A21" s="1" t="s">
        <v>10</v>
      </c>
      <c r="B21" s="2">
        <f t="shared" si="3"/>
        <v>2.7089999999999996</v>
      </c>
      <c r="C21" s="2">
        <f t="shared" si="4"/>
        <v>2.1029866666666668</v>
      </c>
      <c r="D21" s="2">
        <f>(Q10)</f>
        <v>1.4448000000000001</v>
      </c>
      <c r="E21" s="2">
        <f t="shared" si="6"/>
        <v>6.2567866666666658</v>
      </c>
      <c r="F21" s="2">
        <f t="shared" si="7"/>
        <v>2.0855955555555554</v>
      </c>
      <c r="I21" s="7" t="s">
        <v>19</v>
      </c>
      <c r="J21" s="7" t="s">
        <v>20</v>
      </c>
      <c r="K21" s="7" t="s">
        <v>21</v>
      </c>
      <c r="L21" s="7" t="s">
        <v>22</v>
      </c>
      <c r="M21" s="7" t="s">
        <v>23</v>
      </c>
      <c r="N21" s="7" t="s">
        <v>24</v>
      </c>
      <c r="O21" s="7" t="s">
        <v>25</v>
      </c>
      <c r="P21" s="7" t="s">
        <v>26</v>
      </c>
    </row>
    <row r="22" spans="1:17" x14ac:dyDescent="0.25">
      <c r="A22" s="1" t="s">
        <v>27</v>
      </c>
      <c r="B22" s="2">
        <f>SUM(B16:B21)</f>
        <v>21.591733333333334</v>
      </c>
      <c r="C22" s="2">
        <f t="shared" ref="C22:E22" si="8">SUM(C16:C21)</f>
        <v>13.952353333333331</v>
      </c>
      <c r="D22" s="2">
        <f t="shared" si="8"/>
        <v>10.765766666666668</v>
      </c>
      <c r="E22" s="2">
        <f t="shared" si="8"/>
        <v>46.309853333333329</v>
      </c>
      <c r="F22" s="2">
        <f>SUM(F16:F21)</f>
        <v>15.436617777777776</v>
      </c>
      <c r="I22" s="1" t="s">
        <v>28</v>
      </c>
      <c r="J22" s="1">
        <f>(J16-1)</f>
        <v>2</v>
      </c>
      <c r="K22" s="1">
        <f>SUMSQ(B22:D22)/6-J17</f>
        <v>10.317556424241985</v>
      </c>
      <c r="L22" s="1">
        <f>(K22/J22)</f>
        <v>5.1587782121209926</v>
      </c>
      <c r="M22" s="1">
        <f>(L22/L27)</f>
        <v>6.3276541192914966</v>
      </c>
      <c r="N22" s="1" t="str">
        <f>IF(M22&lt;O22,"tn",IF(M22&lt;P22,"*","**"))</f>
        <v>*</v>
      </c>
      <c r="O22" s="1">
        <f>FINV(5%,$J22,$J27)</f>
        <v>4.1028210151304032</v>
      </c>
      <c r="P22" s="1">
        <f>FINV(1%,$J22,$J27)</f>
        <v>7.5594321575479011</v>
      </c>
    </row>
    <row r="23" spans="1:17" x14ac:dyDescent="0.25">
      <c r="I23" s="1" t="s">
        <v>0</v>
      </c>
      <c r="J23" s="1">
        <f>(J14*J15)-1</f>
        <v>5</v>
      </c>
      <c r="K23" s="1">
        <f>SUMSQ(E16:E21)/J16-J17</f>
        <v>2.2585733139753046</v>
      </c>
      <c r="L23" s="1">
        <f t="shared" ref="L23:L27" si="9">(K23/J23)</f>
        <v>0.4517146627950609</v>
      </c>
      <c r="M23" s="1">
        <f>(L23/L27)</f>
        <v>0.55406416582587881</v>
      </c>
      <c r="N23" s="1" t="str">
        <f t="shared" ref="N23:N26" si="10">IF(M23&lt;O23,"tn",IF(M23&lt;P23,"*","**"))</f>
        <v>tn</v>
      </c>
      <c r="O23" s="1">
        <f>FINV(5%, $J23,$J27)</f>
        <v>3.325834530413013</v>
      </c>
      <c r="P23" s="1">
        <f>FINV(1%,$J23,$J27)</f>
        <v>5.6363261876690833</v>
      </c>
    </row>
    <row r="24" spans="1:17" x14ac:dyDescent="0.25">
      <c r="A24" t="s">
        <v>29</v>
      </c>
      <c r="I24" s="1" t="s">
        <v>30</v>
      </c>
      <c r="J24" s="1">
        <f>(J14-1)</f>
        <v>1</v>
      </c>
      <c r="K24" s="1">
        <f>SUMSQ(E27:E28)/(J16*J15)-J17</f>
        <v>1.3892296505283781</v>
      </c>
      <c r="L24" s="1">
        <f t="shared" si="9"/>
        <v>1.3892296505283781</v>
      </c>
      <c r="M24" s="1">
        <f>(L24/L27)</f>
        <v>1.7040012885519269</v>
      </c>
      <c r="N24" s="1" t="str">
        <f t="shared" si="10"/>
        <v>tn</v>
      </c>
      <c r="O24" s="1">
        <f>FINV(5%,$J24,$J27)</f>
        <v>4.9646027437307128</v>
      </c>
      <c r="P24" s="1">
        <f>FINV(1%,$J24,$J27)</f>
        <v>10.044289273396597</v>
      </c>
    </row>
    <row r="25" spans="1:17" x14ac:dyDescent="0.25">
      <c r="A25" s="13" t="s">
        <v>30</v>
      </c>
      <c r="B25" s="15" t="s">
        <v>31</v>
      </c>
      <c r="C25" s="16"/>
      <c r="D25" s="17"/>
      <c r="E25" s="13" t="s">
        <v>27</v>
      </c>
      <c r="F25" s="13" t="s">
        <v>2</v>
      </c>
      <c r="I25" s="1" t="s">
        <v>31</v>
      </c>
      <c r="J25" s="1">
        <f>(J15-1)</f>
        <v>2</v>
      </c>
      <c r="K25" s="1">
        <f>SUMSQ(B29:D29)/(J16*J14)-J17</f>
        <v>0.80665269298270914</v>
      </c>
      <c r="L25" s="1">
        <f t="shared" si="9"/>
        <v>0.40332634649135457</v>
      </c>
      <c r="M25" s="11">
        <f>(L25/L27)</f>
        <v>0.49471202537810371</v>
      </c>
      <c r="N25" s="1" t="str">
        <f t="shared" si="10"/>
        <v>tn</v>
      </c>
      <c r="O25" s="1">
        <f>FINV(5%,$J25,$J27)</f>
        <v>4.1028210151304032</v>
      </c>
      <c r="P25" s="1">
        <f>FINV(1%,$J25,$J27)</f>
        <v>7.5594321575479011</v>
      </c>
    </row>
    <row r="26" spans="1:17" x14ac:dyDescent="0.25">
      <c r="A26" s="14"/>
      <c r="B26" s="6" t="s">
        <v>32</v>
      </c>
      <c r="C26" s="6" t="s">
        <v>33</v>
      </c>
      <c r="D26" s="6" t="s">
        <v>34</v>
      </c>
      <c r="E26" s="14"/>
      <c r="F26" s="14"/>
      <c r="I26" s="1" t="s">
        <v>39</v>
      </c>
      <c r="J26" s="1">
        <f>(J23-J24-J25)</f>
        <v>2</v>
      </c>
      <c r="K26" s="1">
        <f>(K23-K24-K25)</f>
        <v>6.2690970464217344E-2</v>
      </c>
      <c r="L26" s="1">
        <f t="shared" si="9"/>
        <v>3.1345485232108672E-2</v>
      </c>
      <c r="M26" s="1">
        <f>(L26/L27)</f>
        <v>3.8447744910629876E-2</v>
      </c>
      <c r="N26" s="1" t="str">
        <f t="shared" si="10"/>
        <v>tn</v>
      </c>
      <c r="O26" s="1">
        <f>FINV(5%,$J26,$J27)</f>
        <v>4.1028210151304032</v>
      </c>
      <c r="P26" s="1">
        <f>FINV(1%,$J26,$J27)</f>
        <v>7.5594321575479011</v>
      </c>
    </row>
    <row r="27" spans="1:17" x14ac:dyDescent="0.25">
      <c r="A27" s="1" t="s">
        <v>35</v>
      </c>
      <c r="B27" s="2">
        <f>(E16)</f>
        <v>7.9764999999999997</v>
      </c>
      <c r="C27" s="2">
        <f>(E17)</f>
        <v>9.2707999999999995</v>
      </c>
      <c r="D27" s="2">
        <f>(E18)</f>
        <v>8.4079333333333324</v>
      </c>
      <c r="E27" s="2">
        <f>SUM(B27:D27)</f>
        <v>25.655233333333332</v>
      </c>
      <c r="F27" s="2">
        <f>E27/9</f>
        <v>2.8505814814814814</v>
      </c>
      <c r="H27" s="4"/>
      <c r="I27" s="1" t="s">
        <v>36</v>
      </c>
      <c r="J27" s="1">
        <f>(J28-J22-J23)</f>
        <v>10</v>
      </c>
      <c r="K27" s="1">
        <f>(K28-K23-K22)</f>
        <v>8.1527500000246818</v>
      </c>
      <c r="L27" s="1">
        <f t="shared" si="9"/>
        <v>0.81527500000246822</v>
      </c>
      <c r="M27" s="5"/>
      <c r="N27" s="5"/>
      <c r="O27" s="5"/>
      <c r="P27" s="5"/>
    </row>
    <row r="28" spans="1:17" x14ac:dyDescent="0.25">
      <c r="A28" s="1" t="s">
        <v>37</v>
      </c>
      <c r="B28" s="2">
        <f>(E19)</f>
        <v>6.4413999999999989</v>
      </c>
      <c r="C28" s="2">
        <f>(E20)</f>
        <v>7.956433333333333</v>
      </c>
      <c r="D28" s="2">
        <f>(E21)</f>
        <v>6.2567866666666658</v>
      </c>
      <c r="E28" s="2">
        <f>SUM(B28:D28)</f>
        <v>20.654619999999998</v>
      </c>
      <c r="F28" s="2">
        <f>E28/9</f>
        <v>2.2949577777777774</v>
      </c>
      <c r="I28" s="1" t="s">
        <v>27</v>
      </c>
      <c r="J28" s="1">
        <f>(J14*J15*J16-1)</f>
        <v>17</v>
      </c>
      <c r="K28" s="1">
        <f>SUMSQ(B16:D21)-J17</f>
        <v>20.728879738241972</v>
      </c>
      <c r="L28" s="5"/>
      <c r="M28" s="5"/>
      <c r="N28" s="5"/>
      <c r="O28" s="5"/>
      <c r="P28" s="5"/>
    </row>
    <row r="29" spans="1:17" x14ac:dyDescent="0.25">
      <c r="A29" s="1" t="s">
        <v>27</v>
      </c>
      <c r="B29" s="2">
        <f>SUM(B27:B28)</f>
        <v>14.417899999999999</v>
      </c>
      <c r="C29" s="2">
        <f t="shared" ref="C29:E29" si="11">SUM(C27:C28)</f>
        <v>17.227233333333331</v>
      </c>
      <c r="D29" s="2">
        <f t="shared" si="11"/>
        <v>14.664719999999999</v>
      </c>
      <c r="E29" s="2">
        <f t="shared" si="11"/>
        <v>46.309853333333329</v>
      </c>
      <c r="F29" s="5"/>
      <c r="H29" s="4"/>
    </row>
    <row r="30" spans="1:17" x14ac:dyDescent="0.25">
      <c r="A30" s="1" t="s">
        <v>2</v>
      </c>
      <c r="B30" s="2">
        <f>(B29/6)</f>
        <v>2.4029833333333332</v>
      </c>
      <c r="C30" s="2">
        <f>(C29/6)</f>
        <v>2.8712055555555551</v>
      </c>
      <c r="D30" s="2">
        <f>(D29/6)</f>
        <v>2.4441199999999998</v>
      </c>
      <c r="E30" s="5"/>
      <c r="F30" s="5"/>
    </row>
    <row r="31" spans="1:17" x14ac:dyDescent="0.25">
      <c r="I31" t="s">
        <v>0</v>
      </c>
      <c r="J31" t="s">
        <v>40</v>
      </c>
      <c r="K31" t="s">
        <v>44</v>
      </c>
    </row>
    <row r="32" spans="1:17" x14ac:dyDescent="0.25">
      <c r="H32" s="9"/>
      <c r="I32" t="s">
        <v>35</v>
      </c>
      <c r="J32">
        <f>(E27/9)</f>
        <v>2.8505814814814814</v>
      </c>
      <c r="K32" t="s">
        <v>45</v>
      </c>
    </row>
    <row r="33" spans="7:12" x14ac:dyDescent="0.25">
      <c r="H33" s="9"/>
      <c r="I33" t="s">
        <v>37</v>
      </c>
      <c r="J33">
        <f>(E28/9)</f>
        <v>2.2949577777777774</v>
      </c>
      <c r="K33" t="s">
        <v>45</v>
      </c>
      <c r="L33">
        <f>(J34+J33)</f>
        <v>3.2433308428681107</v>
      </c>
    </row>
    <row r="34" spans="7:12" x14ac:dyDescent="0.25">
      <c r="G34" t="s">
        <v>42</v>
      </c>
      <c r="H34" s="9">
        <v>3.1509999999999998</v>
      </c>
      <c r="I34" t="s">
        <v>41</v>
      </c>
      <c r="J34">
        <f>(H34*(L27/9)^0.5)</f>
        <v>0.94837306509033348</v>
      </c>
      <c r="L34">
        <f>(J34+J32)</f>
        <v>3.7989545465718146</v>
      </c>
    </row>
    <row r="35" spans="7:12" x14ac:dyDescent="0.25">
      <c r="H35" s="9"/>
      <c r="I35" t="s">
        <v>32</v>
      </c>
      <c r="J35">
        <f>(B29/6)</f>
        <v>2.4029833333333332</v>
      </c>
      <c r="K35" t="s">
        <v>45</v>
      </c>
    </row>
    <row r="36" spans="7:12" x14ac:dyDescent="0.25">
      <c r="H36" s="9"/>
      <c r="I36" t="s">
        <v>33</v>
      </c>
      <c r="J36">
        <f>(C29/6)</f>
        <v>2.8712055555555551</v>
      </c>
      <c r="K36" t="s">
        <v>45</v>
      </c>
    </row>
    <row r="37" spans="7:12" x14ac:dyDescent="0.25">
      <c r="H37" s="9"/>
      <c r="I37" t="s">
        <v>34</v>
      </c>
      <c r="J37">
        <f>(D29/6)</f>
        <v>2.4441199999999998</v>
      </c>
      <c r="K37" t="s">
        <v>45</v>
      </c>
      <c r="L37">
        <f>(J38+J36)</f>
        <v>4.3003372088980143</v>
      </c>
    </row>
    <row r="38" spans="7:12" x14ac:dyDescent="0.25">
      <c r="G38" t="s">
        <v>43</v>
      </c>
      <c r="H38" s="9">
        <v>3.8769999999999998</v>
      </c>
      <c r="I38" t="s">
        <v>41</v>
      </c>
      <c r="J38">
        <f>(H38*(L27/6)^0.5)</f>
        <v>1.4291316533424587</v>
      </c>
      <c r="L38">
        <f>(J38+J35)</f>
        <v>3.832114986675792</v>
      </c>
    </row>
    <row r="39" spans="7:12" x14ac:dyDescent="0.25">
      <c r="H39" s="9"/>
    </row>
  </sheetData>
  <mergeCells count="17">
    <mergeCell ref="Q3:Q4"/>
    <mergeCell ref="H3:J3"/>
    <mergeCell ref="N3:P3"/>
    <mergeCell ref="B3:D3"/>
    <mergeCell ref="A3:A4"/>
    <mergeCell ref="E3:E4"/>
    <mergeCell ref="G3:G4"/>
    <mergeCell ref="K3:K4"/>
    <mergeCell ref="M3:M4"/>
    <mergeCell ref="A14:A15"/>
    <mergeCell ref="E14:E15"/>
    <mergeCell ref="F14:F15"/>
    <mergeCell ref="A25:A26"/>
    <mergeCell ref="E25:E26"/>
    <mergeCell ref="F25:F26"/>
    <mergeCell ref="B25:D25"/>
    <mergeCell ref="B14:D14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9"/>
  <sheetViews>
    <sheetView topLeftCell="A17" workbookViewId="0">
      <selection activeCell="J38" sqref="J38"/>
    </sheetView>
  </sheetViews>
  <sheetFormatPr defaultRowHeight="15" x14ac:dyDescent="0.25"/>
  <sheetData>
    <row r="1" spans="1:17" x14ac:dyDescent="0.25">
      <c r="A1" t="s">
        <v>38</v>
      </c>
    </row>
    <row r="3" spans="1:17" x14ac:dyDescent="0.25">
      <c r="A3" s="13" t="s">
        <v>0</v>
      </c>
      <c r="B3" s="15" t="s">
        <v>1</v>
      </c>
      <c r="C3" s="16"/>
      <c r="D3" s="17"/>
      <c r="E3" s="13" t="s">
        <v>2</v>
      </c>
      <c r="G3" s="13" t="s">
        <v>0</v>
      </c>
      <c r="H3" s="15" t="s">
        <v>3</v>
      </c>
      <c r="I3" s="16"/>
      <c r="J3" s="17"/>
      <c r="K3" s="13" t="s">
        <v>2</v>
      </c>
      <c r="M3" s="13" t="s">
        <v>0</v>
      </c>
      <c r="N3" s="15" t="s">
        <v>4</v>
      </c>
      <c r="O3" s="16"/>
      <c r="P3" s="17"/>
      <c r="Q3" s="13" t="s">
        <v>2</v>
      </c>
    </row>
    <row r="4" spans="1:17" x14ac:dyDescent="0.25">
      <c r="A4" s="14"/>
      <c r="B4" s="6">
        <v>1</v>
      </c>
      <c r="C4" s="6">
        <v>2</v>
      </c>
      <c r="D4" s="6">
        <v>3</v>
      </c>
      <c r="E4" s="14"/>
      <c r="G4" s="14"/>
      <c r="H4" s="8">
        <v>1</v>
      </c>
      <c r="I4" s="6">
        <v>2</v>
      </c>
      <c r="J4" s="6">
        <v>3</v>
      </c>
      <c r="K4" s="14"/>
      <c r="M4" s="14"/>
      <c r="N4" s="6">
        <v>1</v>
      </c>
      <c r="O4" s="6">
        <v>2</v>
      </c>
      <c r="P4" s="6">
        <v>3</v>
      </c>
      <c r="Q4" s="14"/>
    </row>
    <row r="5" spans="1:17" x14ac:dyDescent="0.25">
      <c r="A5" s="1" t="s">
        <v>5</v>
      </c>
      <c r="B5" s="2">
        <f>(7*4.8*0.602)</f>
        <v>20.2272</v>
      </c>
      <c r="C5" s="2">
        <f>(4*3*0.602)</f>
        <v>7.2240000000000002</v>
      </c>
      <c r="D5" s="2"/>
      <c r="E5" s="2">
        <f>AVERAGE(B5:D5)</f>
        <v>13.7256</v>
      </c>
      <c r="G5" s="1" t="s">
        <v>5</v>
      </c>
      <c r="H5" s="2">
        <f>(3.5*2.7*0.602)</f>
        <v>5.6889000000000003</v>
      </c>
      <c r="I5" s="2">
        <f>(3*2.5*0.602)</f>
        <v>4.5149999999999997</v>
      </c>
      <c r="J5" s="2"/>
      <c r="K5" s="2">
        <f>AVERAGE(H5:J5)</f>
        <v>5.1019500000000004</v>
      </c>
      <c r="M5" s="1" t="s">
        <v>5</v>
      </c>
      <c r="N5" s="2">
        <f>(4*3*0.602)</f>
        <v>7.2240000000000002</v>
      </c>
      <c r="O5" s="2">
        <f>(3.3*2.1*0.602)</f>
        <v>4.1718599999999997</v>
      </c>
      <c r="P5" s="2"/>
      <c r="Q5" s="2">
        <f>AVERAGE(N5:P5)</f>
        <v>5.6979299999999995</v>
      </c>
    </row>
    <row r="6" spans="1:17" x14ac:dyDescent="0.25">
      <c r="A6" s="1" t="s">
        <v>6</v>
      </c>
      <c r="B6" s="2">
        <f>(3.5*4*0.602)</f>
        <v>8.427999999999999</v>
      </c>
      <c r="C6" s="2">
        <f>(2.5*4*0.602)</f>
        <v>6.02</v>
      </c>
      <c r="D6" s="2"/>
      <c r="E6" s="2">
        <f t="shared" ref="E6:E10" si="0">AVERAGE(B6:D6)</f>
        <v>7.2239999999999993</v>
      </c>
      <c r="G6" s="1" t="s">
        <v>6</v>
      </c>
      <c r="H6" s="2">
        <f>(3.6*2.5*0.602)</f>
        <v>5.4180000000000001</v>
      </c>
      <c r="I6" s="2">
        <f>(3.2*2.5*0.602)</f>
        <v>4.8159999999999998</v>
      </c>
      <c r="J6" s="2"/>
      <c r="K6" s="2">
        <f t="shared" ref="K6:K10" si="1">AVERAGE(H6:J6)</f>
        <v>5.117</v>
      </c>
      <c r="M6" s="1" t="s">
        <v>6</v>
      </c>
      <c r="N6" s="2">
        <f>(3*2.3*0.602)</f>
        <v>4.1537999999999995</v>
      </c>
      <c r="O6" s="2">
        <f>(3*2.7*0.602)</f>
        <v>4.8762000000000008</v>
      </c>
      <c r="P6" s="2"/>
      <c r="Q6" s="2">
        <f t="shared" ref="Q6:Q10" si="2">AVERAGE(N6:P6)</f>
        <v>4.5150000000000006</v>
      </c>
    </row>
    <row r="7" spans="1:17" x14ac:dyDescent="0.25">
      <c r="A7" s="1" t="s">
        <v>7</v>
      </c>
      <c r="B7" s="2">
        <f>(3*2.5*0.602)</f>
        <v>4.5149999999999997</v>
      </c>
      <c r="C7" s="2">
        <f>(2*3.3*0.602)</f>
        <v>3.9731999999999998</v>
      </c>
      <c r="D7" s="2">
        <f>(2.5*2*0.602)</f>
        <v>3.01</v>
      </c>
      <c r="E7" s="2">
        <f t="shared" si="0"/>
        <v>3.8327333333333331</v>
      </c>
      <c r="G7" s="1" t="s">
        <v>7</v>
      </c>
      <c r="H7" s="2">
        <f>(4.9*4*0.602)</f>
        <v>11.799200000000001</v>
      </c>
      <c r="I7" s="2">
        <f>(4*3.5*0.602)</f>
        <v>8.427999999999999</v>
      </c>
      <c r="J7" s="2"/>
      <c r="K7" s="2">
        <f t="shared" si="1"/>
        <v>10.1136</v>
      </c>
      <c r="M7" s="1" t="s">
        <v>7</v>
      </c>
      <c r="N7" s="2">
        <f>(3.4*2.5*0.602)</f>
        <v>5.117</v>
      </c>
      <c r="O7" s="2">
        <f>(2*3.5*0.602)</f>
        <v>4.2139999999999995</v>
      </c>
      <c r="P7" s="2"/>
      <c r="Q7" s="2">
        <f t="shared" si="2"/>
        <v>4.6654999999999998</v>
      </c>
    </row>
    <row r="8" spans="1:17" x14ac:dyDescent="0.25">
      <c r="A8" s="1" t="s">
        <v>8</v>
      </c>
      <c r="B8" s="2">
        <f>(4*2.5*0.602)</f>
        <v>6.02</v>
      </c>
      <c r="C8" s="2">
        <f>(2*2.5*0.602)</f>
        <v>3.01</v>
      </c>
      <c r="D8" s="2">
        <f>(2.5*2.3*0.602)</f>
        <v>3.4615</v>
      </c>
      <c r="E8" s="2">
        <f t="shared" si="0"/>
        <v>4.1638333333333328</v>
      </c>
      <c r="G8" s="1" t="s">
        <v>8</v>
      </c>
      <c r="H8" s="2">
        <f>(3.5*3*0.602)</f>
        <v>6.3209999999999997</v>
      </c>
      <c r="I8" s="2">
        <f>(3.4*3*0.602)</f>
        <v>6.1403999999999996</v>
      </c>
      <c r="J8" s="2"/>
      <c r="K8" s="2">
        <f t="shared" si="1"/>
        <v>6.2306999999999997</v>
      </c>
      <c r="M8" s="1" t="s">
        <v>8</v>
      </c>
      <c r="N8" s="2">
        <f>(2*2.6*0.602)</f>
        <v>3.1303999999999998</v>
      </c>
      <c r="O8" s="2">
        <f>(2.6*2*0.602)</f>
        <v>3.1303999999999998</v>
      </c>
      <c r="P8" s="2">
        <f>(1*1.5*0.602)</f>
        <v>0.90300000000000002</v>
      </c>
      <c r="Q8" s="2">
        <f t="shared" si="2"/>
        <v>2.3879333333333332</v>
      </c>
    </row>
    <row r="9" spans="1:17" x14ac:dyDescent="0.25">
      <c r="A9" s="1" t="s">
        <v>9</v>
      </c>
      <c r="B9" s="2">
        <f>(6*4.2*0.602)</f>
        <v>15.170400000000001</v>
      </c>
      <c r="C9" s="2">
        <f>(4*3.3*0.602)</f>
        <v>7.9463999999999997</v>
      </c>
      <c r="D9" s="2"/>
      <c r="E9" s="2">
        <f t="shared" si="0"/>
        <v>11.558400000000001</v>
      </c>
      <c r="G9" s="1" t="s">
        <v>9</v>
      </c>
      <c r="H9" s="2">
        <f>(6*4.2*0.602)</f>
        <v>15.170400000000001</v>
      </c>
      <c r="I9" s="2">
        <f>(3*3.7*0.602)</f>
        <v>6.6822000000000008</v>
      </c>
      <c r="J9" s="2">
        <f>(3*3.2*0.602)</f>
        <v>5.7792000000000003</v>
      </c>
      <c r="K9" s="2">
        <f t="shared" si="1"/>
        <v>9.2106000000000012</v>
      </c>
      <c r="M9" s="1" t="s">
        <v>9</v>
      </c>
      <c r="N9" s="2">
        <f>(3*2.5*0.602)</f>
        <v>4.5149999999999997</v>
      </c>
      <c r="O9" s="2">
        <f>(3*2.5*0.602)</f>
        <v>4.5149999999999997</v>
      </c>
      <c r="P9" s="2">
        <f>(3*2*0.602)</f>
        <v>3.6120000000000001</v>
      </c>
      <c r="Q9" s="2">
        <f t="shared" si="2"/>
        <v>4.2139999999999995</v>
      </c>
    </row>
    <row r="10" spans="1:17" x14ac:dyDescent="0.25">
      <c r="A10" s="1" t="s">
        <v>10</v>
      </c>
      <c r="B10" s="2">
        <f>(4*2.7*0.602)</f>
        <v>6.5015999999999998</v>
      </c>
      <c r="C10" s="2">
        <f>(2.5*2.3*0.602)</f>
        <v>3.4615</v>
      </c>
      <c r="D10" s="2"/>
      <c r="E10" s="2">
        <f t="shared" si="0"/>
        <v>4.9815500000000004</v>
      </c>
      <c r="G10" s="1" t="s">
        <v>10</v>
      </c>
      <c r="H10" s="2">
        <f>(3.9*3.7*0.602)</f>
        <v>8.6868599999999994</v>
      </c>
      <c r="I10" s="2">
        <f>(3.5*2.6*0.602)</f>
        <v>5.4781999999999993</v>
      </c>
      <c r="J10" s="2">
        <f>(2.9*1.7*0.602)</f>
        <v>2.9678599999999999</v>
      </c>
      <c r="K10" s="2">
        <f t="shared" si="1"/>
        <v>5.7109733333333326</v>
      </c>
      <c r="M10" s="1" t="s">
        <v>10</v>
      </c>
      <c r="N10" s="2">
        <f>(3*1.5*0.602)</f>
        <v>2.7090000000000001</v>
      </c>
      <c r="O10" s="2">
        <f>(2*3*0.602)</f>
        <v>3.6120000000000001</v>
      </c>
      <c r="P10" s="2">
        <f>(3*2.6*0.602)</f>
        <v>4.6956000000000007</v>
      </c>
      <c r="Q10" s="2">
        <f t="shared" si="2"/>
        <v>3.6722000000000001</v>
      </c>
    </row>
    <row r="12" spans="1:17" x14ac:dyDescent="0.25">
      <c r="A12" t="s">
        <v>47</v>
      </c>
      <c r="I12" t="s">
        <v>11</v>
      </c>
    </row>
    <row r="14" spans="1:17" x14ac:dyDescent="0.25">
      <c r="A14" s="13" t="s">
        <v>0</v>
      </c>
      <c r="B14" s="15" t="s">
        <v>12</v>
      </c>
      <c r="C14" s="16"/>
      <c r="D14" s="17"/>
      <c r="E14" s="13" t="s">
        <v>13</v>
      </c>
      <c r="F14" s="13" t="s">
        <v>2</v>
      </c>
      <c r="I14" s="1" t="s">
        <v>14</v>
      </c>
      <c r="J14" s="1">
        <v>2</v>
      </c>
    </row>
    <row r="15" spans="1:17" x14ac:dyDescent="0.25">
      <c r="A15" s="14"/>
      <c r="B15" s="6">
        <v>1</v>
      </c>
      <c r="C15" s="6">
        <v>2</v>
      </c>
      <c r="D15" s="6">
        <v>3</v>
      </c>
      <c r="E15" s="14"/>
      <c r="F15" s="14"/>
      <c r="H15" s="4"/>
      <c r="I15" s="1" t="s">
        <v>15</v>
      </c>
      <c r="J15" s="1">
        <v>3</v>
      </c>
      <c r="Q15" s="4"/>
    </row>
    <row r="16" spans="1:17" x14ac:dyDescent="0.25">
      <c r="A16" s="1" t="s">
        <v>5</v>
      </c>
      <c r="B16" s="2">
        <f t="shared" ref="B16:B21" si="3">(E5)</f>
        <v>13.7256</v>
      </c>
      <c r="C16" s="2">
        <f t="shared" ref="C16:C21" si="4">(K5)</f>
        <v>5.1019500000000004</v>
      </c>
      <c r="D16" s="2">
        <f>(Q5)</f>
        <v>5.6979299999999995</v>
      </c>
      <c r="E16" s="2">
        <f>SUM(B16:D16)</f>
        <v>24.525480000000002</v>
      </c>
      <c r="F16" s="2">
        <f>AVERAGE(B16:D16)</f>
        <v>8.17516</v>
      </c>
      <c r="I16" s="1" t="s">
        <v>16</v>
      </c>
      <c r="J16" s="1">
        <v>3</v>
      </c>
    </row>
    <row r="17" spans="1:17" x14ac:dyDescent="0.25">
      <c r="A17" s="1" t="s">
        <v>6</v>
      </c>
      <c r="B17" s="2">
        <f t="shared" si="3"/>
        <v>7.2239999999999993</v>
      </c>
      <c r="C17" s="2">
        <f t="shared" si="4"/>
        <v>5.117</v>
      </c>
      <c r="D17" s="2">
        <f t="shared" ref="D17:D20" si="5">(Q6)</f>
        <v>4.5150000000000006</v>
      </c>
      <c r="E17" s="2">
        <f t="shared" ref="E17:E21" si="6">SUM(B17:D17)</f>
        <v>16.856000000000002</v>
      </c>
      <c r="F17" s="2">
        <f t="shared" ref="F17:F21" si="7">AVERAGE(B17:D17)</f>
        <v>5.6186666666666669</v>
      </c>
      <c r="H17" s="4"/>
      <c r="I17" s="1" t="s">
        <v>17</v>
      </c>
      <c r="J17" s="3">
        <f>(E22^2)/(J14*J15*J16)</f>
        <v>698.42666665222282</v>
      </c>
    </row>
    <row r="18" spans="1:17" x14ac:dyDescent="0.25">
      <c r="A18" s="1" t="s">
        <v>7</v>
      </c>
      <c r="B18" s="2">
        <f t="shared" si="3"/>
        <v>3.8327333333333331</v>
      </c>
      <c r="C18" s="2">
        <f t="shared" si="4"/>
        <v>10.1136</v>
      </c>
      <c r="D18" s="2">
        <f t="shared" si="5"/>
        <v>4.6654999999999998</v>
      </c>
      <c r="E18" s="2">
        <f t="shared" si="6"/>
        <v>18.611833333333333</v>
      </c>
      <c r="F18" s="2">
        <f t="shared" si="7"/>
        <v>6.2039444444444447</v>
      </c>
    </row>
    <row r="19" spans="1:17" x14ac:dyDescent="0.25">
      <c r="A19" s="1" t="s">
        <v>8</v>
      </c>
      <c r="B19" s="2">
        <f t="shared" si="3"/>
        <v>4.1638333333333328</v>
      </c>
      <c r="C19" s="2">
        <f t="shared" si="4"/>
        <v>6.2306999999999997</v>
      </c>
      <c r="D19" s="2">
        <f t="shared" si="5"/>
        <v>2.3879333333333332</v>
      </c>
      <c r="E19" s="2">
        <f t="shared" si="6"/>
        <v>12.782466666666664</v>
      </c>
      <c r="F19" s="2">
        <f t="shared" si="7"/>
        <v>4.2608222222222212</v>
      </c>
      <c r="I19" t="s">
        <v>18</v>
      </c>
    </row>
    <row r="20" spans="1:17" x14ac:dyDescent="0.25">
      <c r="A20" s="1" t="s">
        <v>9</v>
      </c>
      <c r="B20" s="2">
        <f t="shared" si="3"/>
        <v>11.558400000000001</v>
      </c>
      <c r="C20" s="2">
        <f t="shared" si="4"/>
        <v>9.2106000000000012</v>
      </c>
      <c r="D20" s="2">
        <f t="shared" si="5"/>
        <v>4.2139999999999995</v>
      </c>
      <c r="E20" s="2">
        <f t="shared" si="6"/>
        <v>24.983000000000001</v>
      </c>
      <c r="F20" s="2">
        <f t="shared" si="7"/>
        <v>8.3276666666666674</v>
      </c>
      <c r="Q20" s="4"/>
    </row>
    <row r="21" spans="1:17" x14ac:dyDescent="0.25">
      <c r="A21" s="1" t="s">
        <v>10</v>
      </c>
      <c r="B21" s="2">
        <f t="shared" si="3"/>
        <v>4.9815500000000004</v>
      </c>
      <c r="C21" s="2">
        <f t="shared" si="4"/>
        <v>5.7109733333333326</v>
      </c>
      <c r="D21" s="2">
        <f>(Q10)</f>
        <v>3.6722000000000001</v>
      </c>
      <c r="E21" s="2">
        <f t="shared" si="6"/>
        <v>14.364723333333334</v>
      </c>
      <c r="F21" s="2">
        <f t="shared" si="7"/>
        <v>4.7882411111111116</v>
      </c>
      <c r="I21" s="7" t="s">
        <v>19</v>
      </c>
      <c r="J21" s="7" t="s">
        <v>20</v>
      </c>
      <c r="K21" s="7" t="s">
        <v>21</v>
      </c>
      <c r="L21" s="7" t="s">
        <v>22</v>
      </c>
      <c r="M21" s="7" t="s">
        <v>23</v>
      </c>
      <c r="N21" s="7" t="s">
        <v>24</v>
      </c>
      <c r="O21" s="7" t="s">
        <v>25</v>
      </c>
      <c r="P21" s="7" t="s">
        <v>26</v>
      </c>
    </row>
    <row r="22" spans="1:17" x14ac:dyDescent="0.25">
      <c r="A22" s="1" t="s">
        <v>27</v>
      </c>
      <c r="B22" s="2">
        <f>SUM(B16:B21)</f>
        <v>45.486116666666668</v>
      </c>
      <c r="C22" s="2">
        <f t="shared" ref="C22:E22" si="8">SUM(C16:C21)</f>
        <v>41.484823333333331</v>
      </c>
      <c r="D22" s="2">
        <f t="shared" si="8"/>
        <v>25.152563333333333</v>
      </c>
      <c r="E22" s="2">
        <f t="shared" si="8"/>
        <v>112.12350333333333</v>
      </c>
      <c r="F22" s="2">
        <f>SUM(F16:F21)</f>
        <v>37.374501111111115</v>
      </c>
      <c r="I22" s="1" t="s">
        <v>28</v>
      </c>
      <c r="J22" s="1">
        <f>(J16-1)</f>
        <v>2</v>
      </c>
      <c r="K22" s="1">
        <f>SUMSQ(B22:D22)/6-J17</f>
        <v>38.67813645591616</v>
      </c>
      <c r="L22" s="1">
        <f>(K22/J22)</f>
        <v>19.33906822795808</v>
      </c>
      <c r="M22" s="1">
        <f>(L22/L27)</f>
        <v>2.6599879960337094</v>
      </c>
      <c r="N22" s="1" t="str">
        <f>IF(M22&lt;O22,"tn",IF(M22&lt;P22,"*","**"))</f>
        <v>tn</v>
      </c>
      <c r="O22" s="1">
        <f>FINV(5%,$J22,$J27)</f>
        <v>4.1028210151304032</v>
      </c>
      <c r="P22" s="1">
        <f>FINV(1%,$J22,$J27)</f>
        <v>7.5594321575479011</v>
      </c>
    </row>
    <row r="23" spans="1:17" x14ac:dyDescent="0.25">
      <c r="I23" s="1" t="s">
        <v>0</v>
      </c>
      <c r="J23" s="1">
        <f>(J14*J15)-1</f>
        <v>5</v>
      </c>
      <c r="K23" s="1">
        <f>SUMSQ(E16:E21)/J16-J17</f>
        <v>43.543754943055092</v>
      </c>
      <c r="L23" s="1">
        <f t="shared" ref="L23:L27" si="9">(K23/J23)</f>
        <v>8.708750988611019</v>
      </c>
      <c r="M23" s="1">
        <f>(L23/L27)</f>
        <v>1.1978432888851704</v>
      </c>
      <c r="N23" s="1" t="str">
        <f t="shared" ref="N23:N26" si="10">IF(M23&lt;O23,"tn",IF(M23&lt;P23,"*","**"))</f>
        <v>tn</v>
      </c>
      <c r="O23" s="1">
        <f>FINV(5%, $J23,$J27)</f>
        <v>3.325834530413013</v>
      </c>
      <c r="P23" s="1">
        <f>FINV(1%,$J23,$J27)</f>
        <v>5.6363261876690833</v>
      </c>
    </row>
    <row r="24" spans="1:17" x14ac:dyDescent="0.25">
      <c r="A24" t="s">
        <v>29</v>
      </c>
      <c r="I24" s="1" t="s">
        <v>30</v>
      </c>
      <c r="J24" s="1">
        <f>(J14-1)</f>
        <v>1</v>
      </c>
      <c r="K24" s="1">
        <f>SUMSQ(E27:E28)/(J16*J15)-J17</f>
        <v>3.434928253067369</v>
      </c>
      <c r="L24" s="1">
        <f t="shared" si="9"/>
        <v>3.434928253067369</v>
      </c>
      <c r="M24" s="1">
        <f>(L24/L27)</f>
        <v>0.47245647063736324</v>
      </c>
      <c r="N24" s="1" t="str">
        <f t="shared" si="10"/>
        <v>tn</v>
      </c>
      <c r="O24" s="1">
        <f>FINV(5%,$J24,$J27)</f>
        <v>4.9646027437307128</v>
      </c>
      <c r="P24" s="1">
        <f>FINV(1%,$J24,$J27)</f>
        <v>10.044289273396597</v>
      </c>
    </row>
    <row r="25" spans="1:17" x14ac:dyDescent="0.25">
      <c r="A25" s="13" t="s">
        <v>30</v>
      </c>
      <c r="B25" s="15" t="s">
        <v>31</v>
      </c>
      <c r="C25" s="16"/>
      <c r="D25" s="17"/>
      <c r="E25" s="13" t="s">
        <v>27</v>
      </c>
      <c r="F25" s="13" t="s">
        <v>2</v>
      </c>
      <c r="I25" s="1" t="s">
        <v>31</v>
      </c>
      <c r="J25" s="1">
        <f>(J15-1)</f>
        <v>2</v>
      </c>
      <c r="K25" s="1">
        <f>SUMSQ(B29:D29)/(J16*J14)-J17</f>
        <v>6.5463491932308671</v>
      </c>
      <c r="L25" s="1">
        <f t="shared" si="9"/>
        <v>3.2731745966154335</v>
      </c>
      <c r="M25" s="1">
        <f>(L25/L27)</f>
        <v>0.45020809861628069</v>
      </c>
      <c r="N25" s="1" t="str">
        <f t="shared" si="10"/>
        <v>tn</v>
      </c>
      <c r="O25" s="1">
        <f>FINV(5%,$J25,$J27)</f>
        <v>4.1028210151304032</v>
      </c>
      <c r="P25" s="1">
        <f>FINV(1%,$J25,$J27)</f>
        <v>7.5594321575479011</v>
      </c>
    </row>
    <row r="26" spans="1:17" x14ac:dyDescent="0.25">
      <c r="A26" s="14"/>
      <c r="B26" s="6" t="s">
        <v>32</v>
      </c>
      <c r="C26" s="6" t="s">
        <v>33</v>
      </c>
      <c r="D26" s="6" t="s">
        <v>34</v>
      </c>
      <c r="E26" s="14"/>
      <c r="F26" s="14"/>
      <c r="I26" s="1" t="s">
        <v>39</v>
      </c>
      <c r="J26" s="1">
        <f>(J23-J24-J25)</f>
        <v>2</v>
      </c>
      <c r="K26" s="1">
        <f>(K23-K24-K25)</f>
        <v>33.562477496756856</v>
      </c>
      <c r="L26" s="1">
        <f t="shared" si="9"/>
        <v>16.781238748378428</v>
      </c>
      <c r="M26" s="1">
        <f>(L26/L27)</f>
        <v>2.3081718882779634</v>
      </c>
      <c r="N26" s="1" t="str">
        <f t="shared" si="10"/>
        <v>tn</v>
      </c>
      <c r="O26" s="1">
        <f>FINV(5%,$J26,$J27)</f>
        <v>4.1028210151304032</v>
      </c>
      <c r="P26" s="1">
        <f>FINV(1%,$J26,$J27)</f>
        <v>7.5594321575479011</v>
      </c>
    </row>
    <row r="27" spans="1:17" x14ac:dyDescent="0.25">
      <c r="A27" s="1" t="s">
        <v>35</v>
      </c>
      <c r="B27" s="2">
        <f>(E16)</f>
        <v>24.525480000000002</v>
      </c>
      <c r="C27" s="2">
        <f>(E17)</f>
        <v>16.856000000000002</v>
      </c>
      <c r="D27" s="2">
        <f>(E18)</f>
        <v>18.611833333333333</v>
      </c>
      <c r="E27" s="2">
        <f>SUM(B27:D27)</f>
        <v>59.993313333333333</v>
      </c>
      <c r="F27" s="2">
        <f>E27/9</f>
        <v>6.6659237037037036</v>
      </c>
      <c r="H27" s="4"/>
      <c r="I27" s="1" t="s">
        <v>36</v>
      </c>
      <c r="J27" s="1">
        <f>(J28-J22-J23)</f>
        <v>10</v>
      </c>
      <c r="K27" s="1">
        <f>(K28-K23-K22)</f>
        <v>72.703592109417173</v>
      </c>
      <c r="L27" s="1">
        <f t="shared" si="9"/>
        <v>7.2703592109417174</v>
      </c>
      <c r="M27" s="5"/>
      <c r="N27" s="5"/>
      <c r="O27" s="5"/>
      <c r="P27" s="5"/>
    </row>
    <row r="28" spans="1:17" x14ac:dyDescent="0.25">
      <c r="A28" s="1" t="s">
        <v>37</v>
      </c>
      <c r="B28" s="2">
        <f>(E19)</f>
        <v>12.782466666666664</v>
      </c>
      <c r="C28" s="2">
        <f>(E20)</f>
        <v>24.983000000000001</v>
      </c>
      <c r="D28" s="2">
        <f>(E21)</f>
        <v>14.364723333333334</v>
      </c>
      <c r="E28" s="2">
        <f>SUM(B28:D28)</f>
        <v>52.130189999999999</v>
      </c>
      <c r="F28" s="2">
        <f>E28/9</f>
        <v>5.7922433333333334</v>
      </c>
      <c r="I28" s="1" t="s">
        <v>27</v>
      </c>
      <c r="J28" s="1">
        <f>(J14*J15*J16-1)</f>
        <v>17</v>
      </c>
      <c r="K28" s="1">
        <f>SUMSQ(B16:D21)-J17</f>
        <v>154.92548350838842</v>
      </c>
      <c r="L28" s="5"/>
      <c r="M28" s="5"/>
      <c r="N28" s="5"/>
      <c r="O28" s="5"/>
      <c r="P28" s="5"/>
    </row>
    <row r="29" spans="1:17" x14ac:dyDescent="0.25">
      <c r="A29" s="1" t="s">
        <v>27</v>
      </c>
      <c r="B29" s="2">
        <f>SUM(B27:B28)</f>
        <v>37.307946666666666</v>
      </c>
      <c r="C29" s="2">
        <f t="shared" ref="C29:E29" si="11">SUM(C27:C28)</f>
        <v>41.838999999999999</v>
      </c>
      <c r="D29" s="2">
        <f t="shared" si="11"/>
        <v>32.976556666666667</v>
      </c>
      <c r="E29" s="2">
        <f t="shared" si="11"/>
        <v>112.12350333333333</v>
      </c>
      <c r="F29" s="5"/>
      <c r="H29" s="4"/>
    </row>
    <row r="30" spans="1:17" x14ac:dyDescent="0.25">
      <c r="A30" s="1" t="s">
        <v>2</v>
      </c>
      <c r="B30" s="2">
        <f>(B29/6)</f>
        <v>6.217991111111111</v>
      </c>
      <c r="C30" s="2">
        <f>(C29/6)</f>
        <v>6.9731666666666667</v>
      </c>
      <c r="D30" s="2">
        <f>(D29/6)</f>
        <v>5.4960927777777782</v>
      </c>
      <c r="E30" s="5"/>
      <c r="F30" s="5"/>
    </row>
    <row r="31" spans="1:17" x14ac:dyDescent="0.25">
      <c r="I31" t="s">
        <v>0</v>
      </c>
      <c r="J31" t="s">
        <v>40</v>
      </c>
      <c r="K31" t="s">
        <v>44</v>
      </c>
    </row>
    <row r="32" spans="1:17" x14ac:dyDescent="0.25">
      <c r="I32" t="s">
        <v>35</v>
      </c>
      <c r="J32">
        <f>(E27/9)</f>
        <v>6.6659237037037036</v>
      </c>
      <c r="K32" t="s">
        <v>45</v>
      </c>
    </row>
    <row r="33" spans="7:12" x14ac:dyDescent="0.25">
      <c r="H33" s="9"/>
      <c r="I33" t="s">
        <v>37</v>
      </c>
      <c r="J33">
        <f>(E28/9)</f>
        <v>5.7922433333333334</v>
      </c>
      <c r="K33" t="s">
        <v>45</v>
      </c>
      <c r="L33">
        <f>(J34+J33)</f>
        <v>8.6243205020080485</v>
      </c>
    </row>
    <row r="34" spans="7:12" x14ac:dyDescent="0.25">
      <c r="G34" t="s">
        <v>42</v>
      </c>
      <c r="H34" s="9">
        <v>3.1509999999999998</v>
      </c>
      <c r="I34" t="s">
        <v>41</v>
      </c>
      <c r="J34">
        <f>(H34*(L27/9)^0.5)</f>
        <v>2.832077168674715</v>
      </c>
      <c r="L34">
        <f>(J34+J32)</f>
        <v>9.4980008723784195</v>
      </c>
    </row>
    <row r="35" spans="7:12" x14ac:dyDescent="0.25">
      <c r="H35" s="9"/>
      <c r="I35" t="s">
        <v>32</v>
      </c>
      <c r="J35">
        <f>(B29/6)</f>
        <v>6.217991111111111</v>
      </c>
      <c r="K35" t="s">
        <v>45</v>
      </c>
    </row>
    <row r="36" spans="7:12" x14ac:dyDescent="0.25">
      <c r="I36" t="s">
        <v>33</v>
      </c>
      <c r="J36">
        <f>(C29/6)</f>
        <v>6.9731666666666667</v>
      </c>
      <c r="K36" t="s">
        <v>45</v>
      </c>
    </row>
    <row r="37" spans="7:12" x14ac:dyDescent="0.25">
      <c r="H37" s="9"/>
      <c r="I37" t="s">
        <v>34</v>
      </c>
      <c r="J37">
        <f>(D29/6)</f>
        <v>5.4960927777777782</v>
      </c>
      <c r="K37" t="s">
        <v>45</v>
      </c>
      <c r="L37">
        <f>(J38+J36)</f>
        <v>11.240908207888111</v>
      </c>
    </row>
    <row r="38" spans="7:12" x14ac:dyDescent="0.25">
      <c r="G38" t="s">
        <v>43</v>
      </c>
      <c r="H38" s="9">
        <v>3.8769999999999998</v>
      </c>
      <c r="I38" t="s">
        <v>41</v>
      </c>
      <c r="J38">
        <f>(H38*(L27/6)^0.5)</f>
        <v>4.2677415412214446</v>
      </c>
      <c r="L38">
        <f>(J38+J35)</f>
        <v>10.485732652332555</v>
      </c>
    </row>
    <row r="39" spans="7:12" x14ac:dyDescent="0.25">
      <c r="H39" s="9"/>
    </row>
  </sheetData>
  <mergeCells count="17">
    <mergeCell ref="A25:A26"/>
    <mergeCell ref="B25:D25"/>
    <mergeCell ref="E25:E26"/>
    <mergeCell ref="F25:F26"/>
    <mergeCell ref="M3:M4"/>
    <mergeCell ref="N3:P3"/>
    <mergeCell ref="Q3:Q4"/>
    <mergeCell ref="A14:A15"/>
    <mergeCell ref="B14:D14"/>
    <mergeCell ref="E14:E15"/>
    <mergeCell ref="F14:F15"/>
    <mergeCell ref="A3:A4"/>
    <mergeCell ref="B3:D3"/>
    <mergeCell ref="E3:E4"/>
    <mergeCell ref="G3:G4"/>
    <mergeCell ref="H3:J3"/>
    <mergeCell ref="K3:K4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9"/>
  <sheetViews>
    <sheetView tabSelected="1" topLeftCell="A17" workbookViewId="0">
      <selection activeCell="J38" sqref="J38"/>
    </sheetView>
  </sheetViews>
  <sheetFormatPr defaultRowHeight="15" x14ac:dyDescent="0.25"/>
  <sheetData>
    <row r="1" spans="1:17" x14ac:dyDescent="0.25">
      <c r="A1" t="s">
        <v>38</v>
      </c>
    </row>
    <row r="3" spans="1:17" x14ac:dyDescent="0.25">
      <c r="A3" s="13" t="s">
        <v>0</v>
      </c>
      <c r="B3" s="15" t="s">
        <v>1</v>
      </c>
      <c r="C3" s="16"/>
      <c r="D3" s="17"/>
      <c r="E3" s="13" t="s">
        <v>2</v>
      </c>
      <c r="G3" s="13" t="s">
        <v>0</v>
      </c>
      <c r="H3" s="15" t="s">
        <v>3</v>
      </c>
      <c r="I3" s="16"/>
      <c r="J3" s="17"/>
      <c r="K3" s="13" t="s">
        <v>2</v>
      </c>
      <c r="M3" s="13" t="s">
        <v>0</v>
      </c>
      <c r="N3" s="15" t="s">
        <v>4</v>
      </c>
      <c r="O3" s="16"/>
      <c r="P3" s="17"/>
      <c r="Q3" s="13" t="s">
        <v>2</v>
      </c>
    </row>
    <row r="4" spans="1:17" x14ac:dyDescent="0.25">
      <c r="A4" s="14"/>
      <c r="B4" s="6">
        <v>1</v>
      </c>
      <c r="C4" s="6">
        <v>2</v>
      </c>
      <c r="D4" s="6">
        <v>3</v>
      </c>
      <c r="E4" s="14"/>
      <c r="G4" s="14"/>
      <c r="H4" s="8">
        <v>1</v>
      </c>
      <c r="I4" s="6">
        <v>2</v>
      </c>
      <c r="J4" s="6">
        <v>3</v>
      </c>
      <c r="K4" s="14"/>
      <c r="M4" s="14"/>
      <c r="N4" s="6">
        <v>1</v>
      </c>
      <c r="O4" s="6">
        <v>2</v>
      </c>
      <c r="P4" s="6">
        <v>3</v>
      </c>
      <c r="Q4" s="14"/>
    </row>
    <row r="5" spans="1:17" x14ac:dyDescent="0.25">
      <c r="A5" s="1" t="s">
        <v>5</v>
      </c>
      <c r="B5" s="2">
        <f>(9*5*0.602)</f>
        <v>27.09</v>
      </c>
      <c r="C5" s="2">
        <f>(5*5.2*0.602)</f>
        <v>15.651999999999999</v>
      </c>
      <c r="D5" s="2"/>
      <c r="E5" s="2">
        <f>AVERAGE(B5:D5)</f>
        <v>21.370999999999999</v>
      </c>
      <c r="G5" s="1" t="s">
        <v>5</v>
      </c>
      <c r="H5" s="2">
        <f>(4.5*4.7*0.602)</f>
        <v>12.7323</v>
      </c>
      <c r="I5" s="2">
        <f>(4.9*5*0.602)</f>
        <v>14.748999999999999</v>
      </c>
      <c r="J5" s="2"/>
      <c r="K5" s="2">
        <f>AVERAGE(H5:J5)</f>
        <v>13.740649999999999</v>
      </c>
      <c r="M5" s="1" t="s">
        <v>5</v>
      </c>
      <c r="N5" s="2">
        <f>(5*4.3*0.602)</f>
        <v>12.943</v>
      </c>
      <c r="O5" s="2">
        <f>(4.5*4.1*0.602)</f>
        <v>11.1069</v>
      </c>
      <c r="P5" s="2"/>
      <c r="Q5" s="2">
        <f>AVERAGE(N5:P5)</f>
        <v>12.02495</v>
      </c>
    </row>
    <row r="6" spans="1:17" x14ac:dyDescent="0.25">
      <c r="A6" s="1" t="s">
        <v>6</v>
      </c>
      <c r="B6" s="2">
        <f>(5.2*4.5*0.602)</f>
        <v>14.0868</v>
      </c>
      <c r="C6" s="2">
        <f>(4.2*4.5*0.602)</f>
        <v>11.377800000000001</v>
      </c>
      <c r="D6" s="2"/>
      <c r="E6" s="2">
        <f t="shared" ref="E6:E10" si="0">AVERAGE(B6:D6)</f>
        <v>12.7323</v>
      </c>
      <c r="G6" s="1" t="s">
        <v>6</v>
      </c>
      <c r="H6" s="2">
        <f>(5.2*4.5*0.602)</f>
        <v>14.0868</v>
      </c>
      <c r="I6" s="2">
        <f>(4*4.5*0.602)</f>
        <v>10.836</v>
      </c>
      <c r="J6" s="2"/>
      <c r="K6" s="2">
        <f t="shared" ref="K6:K10" si="1">AVERAGE(H6:J6)</f>
        <v>12.461400000000001</v>
      </c>
      <c r="M6" s="1" t="s">
        <v>6</v>
      </c>
      <c r="N6" s="2">
        <f>(4.2*3.5*0.602)</f>
        <v>8.849400000000001</v>
      </c>
      <c r="O6" s="2">
        <f>(4.2*3.9*0.602)</f>
        <v>9.8607599999999991</v>
      </c>
      <c r="P6" s="2"/>
      <c r="Q6" s="2">
        <f t="shared" ref="Q6:Q10" si="2">AVERAGE(N6:P6)</f>
        <v>9.355080000000001</v>
      </c>
    </row>
    <row r="7" spans="1:17" x14ac:dyDescent="0.25">
      <c r="A7" s="1" t="s">
        <v>7</v>
      </c>
      <c r="B7" s="2">
        <f>(4*4.5*0.602)</f>
        <v>10.836</v>
      </c>
      <c r="C7" s="2">
        <f>(4*4.3*0.602)</f>
        <v>10.3544</v>
      </c>
      <c r="D7" s="2">
        <f>(4*3.4*0.602)</f>
        <v>8.1871999999999989</v>
      </c>
      <c r="E7" s="2">
        <f t="shared" si="0"/>
        <v>9.7925333333333331</v>
      </c>
      <c r="G7" s="1" t="s">
        <v>7</v>
      </c>
      <c r="H7" s="2">
        <f>(6.2*7.2*0.602)</f>
        <v>26.873280000000001</v>
      </c>
      <c r="I7" s="2">
        <f>(5.5*5.2*0.602)</f>
        <v>17.217200000000002</v>
      </c>
      <c r="J7" s="2"/>
      <c r="K7" s="2">
        <f t="shared" si="1"/>
        <v>22.04524</v>
      </c>
      <c r="M7" s="1" t="s">
        <v>7</v>
      </c>
      <c r="N7" s="2">
        <f>(4.6*4*0.602)</f>
        <v>11.076799999999999</v>
      </c>
      <c r="O7" s="2">
        <f>(3.9*4.4*0.602)</f>
        <v>10.33032</v>
      </c>
      <c r="P7" s="2"/>
      <c r="Q7" s="2">
        <f t="shared" si="2"/>
        <v>10.70356</v>
      </c>
    </row>
    <row r="8" spans="1:17" x14ac:dyDescent="0.25">
      <c r="A8" s="1" t="s">
        <v>8</v>
      </c>
      <c r="B8" s="2">
        <f>(4.2*4*0.602)</f>
        <v>10.1136</v>
      </c>
      <c r="C8" s="2">
        <f>(4*5*0.602)</f>
        <v>12.04</v>
      </c>
      <c r="D8" s="2">
        <f>(4.5*3.5*0.602)</f>
        <v>9.4815000000000005</v>
      </c>
      <c r="E8" s="2">
        <f t="shared" si="0"/>
        <v>10.545033333333333</v>
      </c>
      <c r="G8" s="1" t="s">
        <v>8</v>
      </c>
      <c r="H8" s="2">
        <f>(5.3*5*0.602)</f>
        <v>15.952999999999999</v>
      </c>
      <c r="I8" s="2">
        <f>(5.1*4.2*0.602)</f>
        <v>12.894839999999999</v>
      </c>
      <c r="J8" s="2"/>
      <c r="K8" s="2">
        <f t="shared" si="1"/>
        <v>14.423919999999999</v>
      </c>
      <c r="M8" s="1" t="s">
        <v>8</v>
      </c>
      <c r="N8" s="2">
        <f>(4.2*3.4*0.602)</f>
        <v>8.5965600000000002</v>
      </c>
      <c r="O8" s="2">
        <f>(3.9*4.2*0.602)</f>
        <v>9.8607599999999991</v>
      </c>
      <c r="P8" s="2">
        <f>(3.5*3*0.602)</f>
        <v>6.3209999999999997</v>
      </c>
      <c r="Q8" s="2">
        <f t="shared" si="2"/>
        <v>8.2594399999999997</v>
      </c>
    </row>
    <row r="9" spans="1:17" x14ac:dyDescent="0.25">
      <c r="A9" s="1" t="s">
        <v>9</v>
      </c>
      <c r="B9" s="2">
        <f>(8*4.6*0.602)</f>
        <v>22.153599999999997</v>
      </c>
      <c r="C9" s="2">
        <f>(4.9*5*0.602)</f>
        <v>14.748999999999999</v>
      </c>
      <c r="D9" s="2"/>
      <c r="E9" s="2">
        <f t="shared" si="0"/>
        <v>18.451299999999996</v>
      </c>
      <c r="G9" s="1" t="s">
        <v>9</v>
      </c>
      <c r="H9" s="2">
        <f>(8.2*6.1*0.602)</f>
        <v>30.112039999999997</v>
      </c>
      <c r="I9" s="2">
        <f>(5.2*5*0.602)</f>
        <v>15.651999999999999</v>
      </c>
      <c r="J9" s="2">
        <f>(5*4.2*0.602)</f>
        <v>12.641999999999999</v>
      </c>
      <c r="K9" s="2">
        <f t="shared" si="1"/>
        <v>19.468679999999996</v>
      </c>
      <c r="M9" s="1" t="s">
        <v>9</v>
      </c>
      <c r="N9" s="2">
        <f>(4*3.5*0.602)</f>
        <v>8.427999999999999</v>
      </c>
      <c r="O9" s="2">
        <f>(4.5*4.2*0.602)</f>
        <v>11.377800000000001</v>
      </c>
      <c r="P9" s="2">
        <f>(4.9*3.5*0.602)</f>
        <v>10.324300000000001</v>
      </c>
      <c r="Q9" s="2">
        <f t="shared" si="2"/>
        <v>10.043366666666666</v>
      </c>
    </row>
    <row r="10" spans="1:17" x14ac:dyDescent="0.25">
      <c r="A10" s="1" t="s">
        <v>10</v>
      </c>
      <c r="B10" s="2">
        <f>(4.9*4.7*0.602)</f>
        <v>13.86406</v>
      </c>
      <c r="C10" s="2">
        <f>(3.5*5*0.602)</f>
        <v>10.535</v>
      </c>
      <c r="D10" s="2"/>
      <c r="E10" s="2">
        <f t="shared" si="0"/>
        <v>12.199529999999999</v>
      </c>
      <c r="G10" s="1" t="s">
        <v>10</v>
      </c>
      <c r="H10" s="2">
        <f>(5.2*5*0.602)</f>
        <v>15.651999999999999</v>
      </c>
      <c r="I10" s="2">
        <f>(5*4.4*0.602)</f>
        <v>13.244</v>
      </c>
      <c r="J10" s="2">
        <f>(4*3.5*0.602)</f>
        <v>8.427999999999999</v>
      </c>
      <c r="K10" s="2">
        <f t="shared" si="1"/>
        <v>12.441333333333333</v>
      </c>
      <c r="M10" s="1" t="s">
        <v>10</v>
      </c>
      <c r="N10" s="2">
        <f>(4.2*3.3*0.602)</f>
        <v>8.3437199999999994</v>
      </c>
      <c r="O10" s="2">
        <f>(3.9*4.5*0.602)</f>
        <v>10.565099999999999</v>
      </c>
      <c r="P10" s="2">
        <f>(4.2*3.6*0.602)</f>
        <v>9.1022400000000001</v>
      </c>
      <c r="Q10" s="2">
        <f t="shared" si="2"/>
        <v>9.3370200000000008</v>
      </c>
    </row>
    <row r="12" spans="1:17" x14ac:dyDescent="0.25">
      <c r="A12" t="s">
        <v>47</v>
      </c>
      <c r="I12" t="s">
        <v>11</v>
      </c>
    </row>
    <row r="14" spans="1:17" x14ac:dyDescent="0.25">
      <c r="A14" s="13" t="s">
        <v>0</v>
      </c>
      <c r="B14" s="15" t="s">
        <v>12</v>
      </c>
      <c r="C14" s="16"/>
      <c r="D14" s="17"/>
      <c r="E14" s="13" t="s">
        <v>13</v>
      </c>
      <c r="F14" s="13" t="s">
        <v>2</v>
      </c>
      <c r="I14" s="1" t="s">
        <v>14</v>
      </c>
      <c r="J14" s="1">
        <v>2</v>
      </c>
    </row>
    <row r="15" spans="1:17" x14ac:dyDescent="0.25">
      <c r="A15" s="14"/>
      <c r="B15" s="6">
        <v>1</v>
      </c>
      <c r="C15" s="6">
        <v>2</v>
      </c>
      <c r="D15" s="6">
        <v>3</v>
      </c>
      <c r="E15" s="14"/>
      <c r="F15" s="14"/>
      <c r="H15" s="4"/>
      <c r="I15" s="1" t="s">
        <v>15</v>
      </c>
      <c r="J15" s="1">
        <v>3</v>
      </c>
      <c r="Q15" s="4"/>
    </row>
    <row r="16" spans="1:17" x14ac:dyDescent="0.25">
      <c r="A16" s="1" t="s">
        <v>5</v>
      </c>
      <c r="B16" s="2">
        <f t="shared" ref="B16:B21" si="3">(E5)</f>
        <v>21.370999999999999</v>
      </c>
      <c r="C16" s="2">
        <f t="shared" ref="C16:C21" si="4">(K5)</f>
        <v>13.740649999999999</v>
      </c>
      <c r="D16" s="2">
        <f>(Q5)</f>
        <v>12.02495</v>
      </c>
      <c r="E16" s="2">
        <f>SUM(B16:D16)</f>
        <v>47.136600000000001</v>
      </c>
      <c r="F16" s="2">
        <f>AVERAGE(B16:D16)</f>
        <v>15.712200000000001</v>
      </c>
      <c r="I16" s="1" t="s">
        <v>16</v>
      </c>
      <c r="J16" s="1">
        <v>3</v>
      </c>
    </row>
    <row r="17" spans="1:17" x14ac:dyDescent="0.25">
      <c r="A17" s="1" t="s">
        <v>6</v>
      </c>
      <c r="B17" s="2">
        <f t="shared" si="3"/>
        <v>12.7323</v>
      </c>
      <c r="C17" s="2">
        <f t="shared" si="4"/>
        <v>12.461400000000001</v>
      </c>
      <c r="D17" s="2">
        <f t="shared" ref="D17:D20" si="5">(Q6)</f>
        <v>9.355080000000001</v>
      </c>
      <c r="E17" s="2">
        <f t="shared" ref="E17:E21" si="6">SUM(B17:D17)</f>
        <v>34.548780000000001</v>
      </c>
      <c r="F17" s="2">
        <f t="shared" ref="F17:F21" si="7">AVERAGE(B17:D17)</f>
        <v>11.516260000000001</v>
      </c>
      <c r="H17" s="4"/>
      <c r="I17" s="1" t="s">
        <v>17</v>
      </c>
      <c r="J17" s="3">
        <f>(E22^2)/(J14*J15*J16)</f>
        <v>3183.9225560788891</v>
      </c>
    </row>
    <row r="18" spans="1:17" x14ac:dyDescent="0.25">
      <c r="A18" s="1" t="s">
        <v>7</v>
      </c>
      <c r="B18" s="2">
        <f t="shared" si="3"/>
        <v>9.7925333333333331</v>
      </c>
      <c r="C18" s="2">
        <f t="shared" si="4"/>
        <v>22.04524</v>
      </c>
      <c r="D18" s="2">
        <f t="shared" si="5"/>
        <v>10.70356</v>
      </c>
      <c r="E18" s="2">
        <f t="shared" si="6"/>
        <v>42.541333333333327</v>
      </c>
      <c r="F18" s="2">
        <f t="shared" si="7"/>
        <v>14.180444444444442</v>
      </c>
    </row>
    <row r="19" spans="1:17" x14ac:dyDescent="0.25">
      <c r="A19" s="1" t="s">
        <v>8</v>
      </c>
      <c r="B19" s="2">
        <f t="shared" si="3"/>
        <v>10.545033333333333</v>
      </c>
      <c r="C19" s="2">
        <f t="shared" si="4"/>
        <v>14.423919999999999</v>
      </c>
      <c r="D19" s="2">
        <f t="shared" si="5"/>
        <v>8.2594399999999997</v>
      </c>
      <c r="E19" s="2">
        <f t="shared" si="6"/>
        <v>33.228393333333329</v>
      </c>
      <c r="F19" s="2">
        <f t="shared" si="7"/>
        <v>11.07613111111111</v>
      </c>
      <c r="I19" t="s">
        <v>18</v>
      </c>
    </row>
    <row r="20" spans="1:17" x14ac:dyDescent="0.25">
      <c r="A20" s="1" t="s">
        <v>9</v>
      </c>
      <c r="B20" s="2">
        <f t="shared" si="3"/>
        <v>18.451299999999996</v>
      </c>
      <c r="C20" s="2">
        <f t="shared" si="4"/>
        <v>19.468679999999996</v>
      </c>
      <c r="D20" s="2">
        <f t="shared" si="5"/>
        <v>10.043366666666666</v>
      </c>
      <c r="E20" s="2">
        <f t="shared" si="6"/>
        <v>47.963346666666659</v>
      </c>
      <c r="F20" s="2">
        <f t="shared" si="7"/>
        <v>15.98778222222222</v>
      </c>
      <c r="Q20" s="4"/>
    </row>
    <row r="21" spans="1:17" x14ac:dyDescent="0.25">
      <c r="A21" s="1" t="s">
        <v>10</v>
      </c>
      <c r="B21" s="2">
        <f t="shared" si="3"/>
        <v>12.199529999999999</v>
      </c>
      <c r="C21" s="2">
        <f t="shared" si="4"/>
        <v>12.441333333333333</v>
      </c>
      <c r="D21" s="2">
        <f>(Q10)</f>
        <v>9.3370200000000008</v>
      </c>
      <c r="E21" s="2">
        <f t="shared" si="6"/>
        <v>33.977883333333331</v>
      </c>
      <c r="F21" s="2">
        <f t="shared" si="7"/>
        <v>11.325961111111111</v>
      </c>
      <c r="I21" s="7" t="s">
        <v>19</v>
      </c>
      <c r="J21" s="7" t="s">
        <v>20</v>
      </c>
      <c r="K21" s="7" t="s">
        <v>21</v>
      </c>
      <c r="L21" s="7" t="s">
        <v>22</v>
      </c>
      <c r="M21" s="7" t="s">
        <v>23</v>
      </c>
      <c r="N21" s="7" t="s">
        <v>24</v>
      </c>
      <c r="O21" s="7" t="s">
        <v>25</v>
      </c>
      <c r="P21" s="7" t="s">
        <v>26</v>
      </c>
    </row>
    <row r="22" spans="1:17" x14ac:dyDescent="0.25">
      <c r="A22" s="1" t="s">
        <v>27</v>
      </c>
      <c r="B22" s="2">
        <f>SUM(B16:B21)</f>
        <v>85.091696666666664</v>
      </c>
      <c r="C22" s="2">
        <f t="shared" ref="C22:E22" si="8">SUM(C16:C21)</f>
        <v>94.581223333333327</v>
      </c>
      <c r="D22" s="2">
        <f t="shared" si="8"/>
        <v>59.723416666666665</v>
      </c>
      <c r="E22" s="2">
        <f t="shared" si="8"/>
        <v>239.39633666666666</v>
      </c>
      <c r="F22" s="2">
        <f>SUM(F16:F21)</f>
        <v>79.79877888888889</v>
      </c>
      <c r="I22" s="1" t="s">
        <v>28</v>
      </c>
      <c r="J22" s="1">
        <f>(J16-1)</f>
        <v>2</v>
      </c>
      <c r="K22" s="1">
        <f>SUMSQ(B22:D22)/6-J17</f>
        <v>108.25930178480485</v>
      </c>
      <c r="L22" s="1">
        <f>(K22/J22)</f>
        <v>54.129650892402424</v>
      </c>
      <c r="M22" s="1">
        <f>(L22/L27)</f>
        <v>4.4960425295128852</v>
      </c>
      <c r="N22" s="1" t="str">
        <f>IF(M22&lt;O22,"tn",IF(M22&lt;P22,"*","**"))</f>
        <v>*</v>
      </c>
      <c r="O22" s="1">
        <f>FINV(5%,$J22,$J27)</f>
        <v>4.1028210151304032</v>
      </c>
      <c r="P22" s="1">
        <f>FINV(1%,$J22,$J27)</f>
        <v>7.5594321575479011</v>
      </c>
    </row>
    <row r="23" spans="1:17" x14ac:dyDescent="0.25">
      <c r="I23" s="1" t="s">
        <v>0</v>
      </c>
      <c r="J23" s="1">
        <f>(J14*J15)-1</f>
        <v>5</v>
      </c>
      <c r="K23" s="1">
        <f>SUMSQ(E16:E21)/J16-J17</f>
        <v>77.526645128225482</v>
      </c>
      <c r="L23" s="1">
        <f t="shared" ref="L23:L27" si="9">(K23/J23)</f>
        <v>15.505329025645096</v>
      </c>
      <c r="M23" s="1">
        <f>(L23/L27)</f>
        <v>1.2878822897262714</v>
      </c>
      <c r="N23" s="1" t="str">
        <f t="shared" ref="N23:N26" si="10">IF(M23&lt;O23,"tn",IF(M23&lt;P23,"*","**"))</f>
        <v>tn</v>
      </c>
      <c r="O23" s="1">
        <f>FINV(5%, $J23,$J27)</f>
        <v>3.325834530413013</v>
      </c>
      <c r="P23" s="1">
        <f>FINV(1%,$J23,$J27)</f>
        <v>5.6363261876690833</v>
      </c>
    </row>
    <row r="24" spans="1:17" x14ac:dyDescent="0.25">
      <c r="A24" t="s">
        <v>29</v>
      </c>
      <c r="I24" s="1" t="s">
        <v>30</v>
      </c>
      <c r="J24" s="1">
        <f>(J14-1)</f>
        <v>1</v>
      </c>
      <c r="K24" s="1">
        <f>SUMSQ(E27:E28)/(J16*J15)-J17</f>
        <v>4.5572710704495876</v>
      </c>
      <c r="L24" s="1">
        <f t="shared" si="9"/>
        <v>4.5572710704495876</v>
      </c>
      <c r="M24" s="12">
        <f>(L24/L27)</f>
        <v>0.37852977459597781</v>
      </c>
      <c r="N24" s="1" t="str">
        <f t="shared" si="10"/>
        <v>tn</v>
      </c>
      <c r="O24" s="1">
        <f>FINV(5%,$J24,$J27)</f>
        <v>4.9646027437307128</v>
      </c>
      <c r="P24" s="1">
        <f>FINV(1%,$J24,$J27)</f>
        <v>10.044289273396597</v>
      </c>
    </row>
    <row r="25" spans="1:17" x14ac:dyDescent="0.25">
      <c r="A25" s="13" t="s">
        <v>30</v>
      </c>
      <c r="B25" s="15" t="s">
        <v>31</v>
      </c>
      <c r="C25" s="16"/>
      <c r="D25" s="17"/>
      <c r="E25" s="13" t="s">
        <v>27</v>
      </c>
      <c r="F25" s="13" t="s">
        <v>2</v>
      </c>
      <c r="I25" s="1" t="s">
        <v>31</v>
      </c>
      <c r="J25" s="1">
        <f>(J15-1)</f>
        <v>2</v>
      </c>
      <c r="K25" s="1">
        <f>SUMSQ(B29:D29)/(J16*J14)-J17</f>
        <v>3.0730638882828316</v>
      </c>
      <c r="L25" s="1">
        <f t="shared" si="9"/>
        <v>1.5365319441414158</v>
      </c>
      <c r="M25" s="1">
        <f>(L25/L27)</f>
        <v>0.12762530064247218</v>
      </c>
      <c r="N25" s="1" t="str">
        <f t="shared" si="10"/>
        <v>tn</v>
      </c>
      <c r="O25" s="1">
        <f>FINV(5%,$J25,$J27)</f>
        <v>4.1028210151304032</v>
      </c>
      <c r="P25" s="1">
        <f>FINV(1%,$J25,$J27)</f>
        <v>7.5594321575479011</v>
      </c>
    </row>
    <row r="26" spans="1:17" x14ac:dyDescent="0.25">
      <c r="A26" s="14"/>
      <c r="B26" s="6" t="s">
        <v>32</v>
      </c>
      <c r="C26" s="6" t="s">
        <v>33</v>
      </c>
      <c r="D26" s="6" t="s">
        <v>34</v>
      </c>
      <c r="E26" s="14"/>
      <c r="F26" s="14"/>
      <c r="I26" s="1" t="s">
        <v>39</v>
      </c>
      <c r="J26" s="1">
        <f>(J23-J24-J25)</f>
        <v>2</v>
      </c>
      <c r="K26" s="1">
        <f>(K23-K24-K25)</f>
        <v>69.896310169493063</v>
      </c>
      <c r="L26" s="1">
        <f t="shared" si="9"/>
        <v>34.948155084746531</v>
      </c>
      <c r="M26" s="1">
        <f>(L26/L27)</f>
        <v>2.9028155363752175</v>
      </c>
      <c r="N26" s="1" t="str">
        <f t="shared" si="10"/>
        <v>tn</v>
      </c>
      <c r="O26" s="1">
        <f>FINV(5%,$J26,$J27)</f>
        <v>4.1028210151304032</v>
      </c>
      <c r="P26" s="1">
        <f>FINV(1%,$J26,$J27)</f>
        <v>7.5594321575479011</v>
      </c>
    </row>
    <row r="27" spans="1:17" x14ac:dyDescent="0.25">
      <c r="A27" s="1" t="s">
        <v>35</v>
      </c>
      <c r="B27" s="2">
        <f>(E16)</f>
        <v>47.136600000000001</v>
      </c>
      <c r="C27" s="2">
        <f>(E17)</f>
        <v>34.548780000000001</v>
      </c>
      <c r="D27" s="2">
        <f>(E18)</f>
        <v>42.541333333333327</v>
      </c>
      <c r="E27" s="2">
        <f>SUM(B27:D27)</f>
        <v>124.22671333333334</v>
      </c>
      <c r="F27" s="2">
        <f>E27/9</f>
        <v>13.802968148148148</v>
      </c>
      <c r="H27" s="4"/>
      <c r="I27" s="1" t="s">
        <v>36</v>
      </c>
      <c r="J27" s="1">
        <f>(J28-J22-J23)</f>
        <v>10</v>
      </c>
      <c r="K27" s="1">
        <f>(K28-K23-K22)</f>
        <v>120.39399213215847</v>
      </c>
      <c r="L27" s="1">
        <f t="shared" si="9"/>
        <v>12.039399213215848</v>
      </c>
      <c r="M27" s="5"/>
      <c r="N27" s="5"/>
      <c r="O27" s="5"/>
      <c r="P27" s="5"/>
    </row>
    <row r="28" spans="1:17" x14ac:dyDescent="0.25">
      <c r="A28" s="1" t="s">
        <v>37</v>
      </c>
      <c r="B28" s="2">
        <f>(E19)</f>
        <v>33.228393333333329</v>
      </c>
      <c r="C28" s="2">
        <f>(E20)</f>
        <v>47.963346666666659</v>
      </c>
      <c r="D28" s="2">
        <f>(E21)</f>
        <v>33.977883333333331</v>
      </c>
      <c r="E28" s="2">
        <f>SUM(B28:D28)</f>
        <v>115.16962333333331</v>
      </c>
      <c r="F28" s="2">
        <f>E28/9</f>
        <v>12.796624814814813</v>
      </c>
      <c r="I28" s="1" t="s">
        <v>27</v>
      </c>
      <c r="J28" s="1">
        <f>(J14*J15*J16-1)</f>
        <v>17</v>
      </c>
      <c r="K28" s="1">
        <f>SUMSQ(B16:D21)-J17</f>
        <v>306.1799390451888</v>
      </c>
      <c r="L28" s="5"/>
      <c r="M28" s="5"/>
      <c r="N28" s="5"/>
      <c r="O28" s="5"/>
      <c r="P28" s="5"/>
    </row>
    <row r="29" spans="1:17" x14ac:dyDescent="0.25">
      <c r="A29" s="1" t="s">
        <v>27</v>
      </c>
      <c r="B29" s="2">
        <f>SUM(B27:B28)</f>
        <v>80.364993333333331</v>
      </c>
      <c r="C29" s="2">
        <f t="shared" ref="C29:E29" si="11">SUM(C27:C28)</f>
        <v>82.51212666666666</v>
      </c>
      <c r="D29" s="2">
        <f t="shared" si="11"/>
        <v>76.519216666666665</v>
      </c>
      <c r="E29" s="2">
        <f t="shared" si="11"/>
        <v>239.39633666666663</v>
      </c>
      <c r="F29" s="5"/>
      <c r="H29" s="4"/>
    </row>
    <row r="30" spans="1:17" x14ac:dyDescent="0.25">
      <c r="A30" s="1" t="s">
        <v>2</v>
      </c>
      <c r="B30" s="2">
        <f>(B29/6)</f>
        <v>13.394165555555555</v>
      </c>
      <c r="C30" s="2">
        <f>(C29/6)</f>
        <v>13.752021111111111</v>
      </c>
      <c r="D30" s="2">
        <f>(D29/6)</f>
        <v>12.753202777777778</v>
      </c>
      <c r="E30" s="5"/>
      <c r="F30" s="5"/>
    </row>
    <row r="31" spans="1:17" x14ac:dyDescent="0.25">
      <c r="I31" t="s">
        <v>0</v>
      </c>
      <c r="J31" t="s">
        <v>40</v>
      </c>
      <c r="K31" t="s">
        <v>44</v>
      </c>
    </row>
    <row r="32" spans="1:17" x14ac:dyDescent="0.25">
      <c r="I32" t="s">
        <v>35</v>
      </c>
      <c r="J32">
        <f>(E27/9)</f>
        <v>13.802968148148148</v>
      </c>
      <c r="K32" t="s">
        <v>45</v>
      </c>
    </row>
    <row r="33" spans="7:12" x14ac:dyDescent="0.25">
      <c r="H33" s="9"/>
      <c r="I33" t="s">
        <v>37</v>
      </c>
      <c r="J33">
        <f>(E28/9)</f>
        <v>12.796624814814813</v>
      </c>
      <c r="K33" t="s">
        <v>45</v>
      </c>
      <c r="L33">
        <f>(J34+J33)</f>
        <v>16.441054338036622</v>
      </c>
    </row>
    <row r="34" spans="7:12" x14ac:dyDescent="0.25">
      <c r="G34" t="s">
        <v>42</v>
      </c>
      <c r="H34" s="9">
        <v>3.1509999999999998</v>
      </c>
      <c r="I34" t="s">
        <v>41</v>
      </c>
      <c r="J34">
        <f>(H34*(L27/9)^0.5)</f>
        <v>3.6444295232218096</v>
      </c>
      <c r="L34">
        <f>(J34+J32)</f>
        <v>17.447397671369956</v>
      </c>
    </row>
    <row r="35" spans="7:12" x14ac:dyDescent="0.25">
      <c r="H35" s="9"/>
      <c r="I35" t="s">
        <v>32</v>
      </c>
      <c r="J35">
        <f>(B29/6)</f>
        <v>13.394165555555555</v>
      </c>
      <c r="K35" t="s">
        <v>45</v>
      </c>
    </row>
    <row r="36" spans="7:12" x14ac:dyDescent="0.25">
      <c r="I36" t="s">
        <v>33</v>
      </c>
      <c r="J36">
        <f>(C29/6)</f>
        <v>13.752021111111111</v>
      </c>
      <c r="K36" t="s">
        <v>45</v>
      </c>
    </row>
    <row r="37" spans="7:12" x14ac:dyDescent="0.25">
      <c r="H37" s="9"/>
      <c r="I37" t="s">
        <v>34</v>
      </c>
      <c r="J37">
        <f>(D29/6)</f>
        <v>12.753202777777778</v>
      </c>
      <c r="K37" t="s">
        <v>45</v>
      </c>
      <c r="L37">
        <f>(J38+J36)</f>
        <v>19.24392064066592</v>
      </c>
    </row>
    <row r="38" spans="7:12" x14ac:dyDescent="0.25">
      <c r="G38" t="s">
        <v>43</v>
      </c>
      <c r="H38" s="9">
        <v>3.8769999999999998</v>
      </c>
      <c r="I38" t="s">
        <v>41</v>
      </c>
      <c r="J38">
        <f>(H38*(L27/6)^0.5)</f>
        <v>5.4918995295548072</v>
      </c>
      <c r="L38">
        <f>(J38+J35)</f>
        <v>18.88606508511036</v>
      </c>
    </row>
    <row r="39" spans="7:12" x14ac:dyDescent="0.25">
      <c r="H39" s="9"/>
    </row>
  </sheetData>
  <mergeCells count="17">
    <mergeCell ref="A25:A26"/>
    <mergeCell ref="B25:D25"/>
    <mergeCell ref="E25:E26"/>
    <mergeCell ref="F25:F26"/>
    <mergeCell ref="M3:M4"/>
    <mergeCell ref="N3:P3"/>
    <mergeCell ref="Q3:Q4"/>
    <mergeCell ref="A14:A15"/>
    <mergeCell ref="B14:D14"/>
    <mergeCell ref="E14:E15"/>
    <mergeCell ref="F14:F15"/>
    <mergeCell ref="A3:A4"/>
    <mergeCell ref="B3:D3"/>
    <mergeCell ref="E3:E4"/>
    <mergeCell ref="G3:G4"/>
    <mergeCell ref="H3:J3"/>
    <mergeCell ref="K3:K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7 HST</vt:lpstr>
      <vt:lpstr>14 HST</vt:lpstr>
      <vt:lpstr>21 HST</vt:lpstr>
      <vt:lpstr>28 HST</vt:lpstr>
      <vt:lpstr>35 HST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dcterms:created xsi:type="dcterms:W3CDTF">2023-03-06T06:06:33Z</dcterms:created>
  <dcterms:modified xsi:type="dcterms:W3CDTF">2023-05-15T00:42:04Z</dcterms:modified>
</cp:coreProperties>
</file>